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026"/>
  <workbookPr codeName="ThisWorkbook" defaultThemeVersion="124226"/>
  <bookViews>
    <workbookView xWindow="65416" yWindow="65416" windowWidth="29040" windowHeight="1584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 name="Time Series" sheetId="15" r:id="rId14"/>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Comment_Type">#N/A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9" r:id="rId15"/>
  </pivotCaches>
  <extLst>
    <ext xmlns:x14="http://schemas.microsoft.com/office/spreadsheetml/2009/9/main" uri="{BBE1A952-AA13-448e-AADC-164F8A28A991}">
      <x14:slicerCaches>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<sst xmlns="http://schemas.openxmlformats.org/spreadsheetml/2006/main" count="22482" uniqueCount="4657">
  <si>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</si>
  <si>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</si>
  <si>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</si>
  <si>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</si>
  <si>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</si>
  <si>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</si>
  <si>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</si>
  <si>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</si>
  <si>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</si>
  <si>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</si>
  <si>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</si>
  <si>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</si>
  <si>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</si>
  <si>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</si>
  <si>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</si>
  <si>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</si>
  <si>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</si>
  <si>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</si>
  <si>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</si>
  <si>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</si>
  <si>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</si>
  <si>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</si>
  <si>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</si>
  <si>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</si>
  <si>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</si>
  <si>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</si>
  <si>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</si>
  <si>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</si>
  <si>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</si>
  <si>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</si>
  <si>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</si>
  <si>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</si>
  <si>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</si>
  <si>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</si>
  <si>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</si>
  <si>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</si>
  <si>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</si>
  <si>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</si>
  <si>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</si>
  <si>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</si>
  <si>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</si>
  <si>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</si>
  <si>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</si>
  <si>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</si>
  <si>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</si>
  <si>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</si>
  <si>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</si>
  <si>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</si>
  <si>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</si>
  <si>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</si>
  <si>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</si>
  <si>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</si>
  <si>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</si>
  <si>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</si>
  <si>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</si>
  <si>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</si>
  <si>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</si>
  <si>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</si>
  <si>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</si>
  <si>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</si>
  <si>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</si>
  <si>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</si>
  <si>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</si>
  <si>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</si>
  <si>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</si>
  <si>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</si>
  <si>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</si>
  <si>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</si>
  <si>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</si>
  <si>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</si>
  <si>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</si>
  <si>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</si>
  <si>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</si>
  <si>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</si>
  <si>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</si>
  <si>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</si>
  <si>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</si>
  <si>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</si>
  <si>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</si>
  <si>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</si>
  <si>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</si>
  <si>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</si>
  <si>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</si>
  <si>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</si>
  <si>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</si>
  <si>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</si>
  <si>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</si>
  <si>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</si>
  <si>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</si>
  <si>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</si>
  <si>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</si>
  <si>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</si>
  <si>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</si>
  <si>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</si>
  <si>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</si>
  <si>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</si>
  <si>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</si>
  <si>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</si>
  <si>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</si>
  <si>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</si>
  <si>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</si>
  <si>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</si>
  <si>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</si>
  <si>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</si>
  <si>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</si>
  <si>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</si>
  <si>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</si>
  <si>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</si>
  <si>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</si>
  <si>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</si>
  <si>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</si>
  <si>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</si>
  <si>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</si>
  <si>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</si>
  <si>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</si>
  <si>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</si>
  <si>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</si>
  <si>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</si>
  <si>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</si>
  <si>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</si>
  <si>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</si>
  <si>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</si>
  <si>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</si>
  <si>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</si>
  <si>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</si>
  <si>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</si>
  <si>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</si>
  <si>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</si>
  <si>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</si>
  <si>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</si>
  <si>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</si>
  <si>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</si>
  <si>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</si>
  <si>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</si>
  <si>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</si>
  <si>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</si>
  <si>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</si>
  <si>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</si>
  <si>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</si>
  <si>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</si>
  <si>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</si>
  <si>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</si>
  <si>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</si>
  <si>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</si>
  <si>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</si>
  <si>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</si>
  <si>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</si>
  <si>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</si>
  <si>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</si>
  <si>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</si>
  <si>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</si>
  <si>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</si>
  <si>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</si>
  <si>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</si>
  <si>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</si>
  <si>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</si>
  <si>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</si>
  <si>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</si>
  <si>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</si>
  <si>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</si>
  <si>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</si>
  <si>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</si>
  <si>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</si>
  <si>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</si>
  <si>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</si>
  <si>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</si>
  <si>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</si>
  <si>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</si>
  <si>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</si>
  <si>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</si>
  <si>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</si>
  <si>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</si>
  <si>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</si>
  <si>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</si>
  <si>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&lt;value&gt;D:\NodeXL\_youtube&lt;/value&gt;
      &lt;/setting&gt;
    &lt;/ExportToPowerPointUserSettings&gt;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t>
  </si>
  <si>
    <t>Workbook Settings 2</t>
  </si>
  <si>
    <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&lt;value&gt;D:\Dropbox\_NodeXL\NodeXL Addins&lt;/value&gt;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&lt;ExportToNodeXLGraphGalleryUserSettings&gt;
      &lt;setting name="SpaceDelimitedTags" serializeAs="String"&gt;
        &lt;value&gt;#NodeXL #nxlyoutube&lt;/value&gt;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t>
  </si>
  <si>
    <t>Workbook Settings 3</t>
  </si>
  <si>
    <t>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</si>
  <si>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</si>
  <si>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</si>
  <si>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</si>
  <si>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</si>
  <si>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</si>
  <si>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</si>
  <si>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</si>
  <si>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</si>
  <si>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</si>
  <si>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</si>
  <si>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</si>
  <si>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</si>
  <si>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</si>
  <si>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</si>
  <si>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</si>
  <si>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</si>
  <si>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Autofill Workbook Results</t>
  </si>
  <si>
    <t>Graph History</t>
  </si>
  <si>
    <t>Relationship</t>
  </si>
  <si>
    <t>Comment Type</t>
  </si>
  <si>
    <t>Comment</t>
  </si>
  <si>
    <t>Author Channel ID</t>
  </si>
  <si>
    <t>Author Display Name</t>
  </si>
  <si>
    <t>Author Channel URL</t>
  </si>
  <si>
    <t>Parent ID</t>
  </si>
  <si>
    <t>Video ID</t>
  </si>
  <si>
    <t>Video URL</t>
  </si>
  <si>
    <t>Viewer Rating</t>
  </si>
  <si>
    <t>Like Count</t>
  </si>
  <si>
    <t>Published At</t>
  </si>
  <si>
    <t>Updated At</t>
  </si>
  <si>
    <t>URLs In Comment</t>
  </si>
  <si>
    <t>Domains In Comment</t>
  </si>
  <si>
    <t>Hashtags In Comment</t>
  </si>
  <si>
    <t>UChdCBVkVOVEZC1LjXC1bQKA</t>
  </si>
  <si>
    <t>UCg8fNMPdpfyWTaK4RkbHIww</t>
  </si>
  <si>
    <t>UCECxyw41C61CP-yhmtzK02w</t>
  </si>
  <si>
    <t>UCMr9gM8IZN33Dbm1e63m28Q</t>
  </si>
  <si>
    <t>UCPbxTWdxy1z5zqJaBynwR8Q</t>
  </si>
  <si>
    <t>UCmkshF5gRU2SO2Cn41u0wOg</t>
  </si>
  <si>
    <t>UCiv_m513LBuHJXotguB5f2w</t>
  </si>
  <si>
    <t>UCCS5en6PdF5csB6x3zxXVUg</t>
  </si>
  <si>
    <t>UCWEIu_CbS5G5PHSBmO-xaqQ</t>
  </si>
  <si>
    <t>UCE45HGa3YfE89GC3GI1b_nw</t>
  </si>
  <si>
    <t>UCmmMbh6_u2aj20gWrGceXqg</t>
  </si>
  <si>
    <t>UCQKeM6bcY1hvm4pHlUy-qLg</t>
  </si>
  <si>
    <t>UC1Jbn83hU4aM3-nm3GGi1wg</t>
  </si>
  <si>
    <t>UCSDSr4CmlzQfu2TdvE6CTGg</t>
  </si>
  <si>
    <t>UCF2F1awR25IW11NKzyqDLug</t>
  </si>
  <si>
    <t>UCs_6FjyM2UKFf8Ec6JvMhQg</t>
  </si>
  <si>
    <t>UCDiv9tp_msbtpaIhI1uBh1A</t>
  </si>
  <si>
    <t>UC9ZkNLtd_4RHPtMK3tmZpyA</t>
  </si>
  <si>
    <t>UCYw80g2XXMm9nxC55wwfVqQ</t>
  </si>
  <si>
    <t>UCqhOxD6789KcGJ6lSk-aovQ</t>
  </si>
  <si>
    <t>UCSdmsFGa3ZNWmfpASt-hRng</t>
  </si>
  <si>
    <t>UCL1VTD4cUl2vAw1cvOOO5iw</t>
  </si>
  <si>
    <t>UCp9Jrlj2dgFXMyo5xMA3QQA</t>
  </si>
  <si>
    <t>UC8o2WZrbBgyYAKQCgfEzF_w</t>
  </si>
  <si>
    <t>UCuTYjCMs0KegX5xrv-0tjJQ</t>
  </si>
  <si>
    <t>UCq9sUq7pKOLECILFy7pFbuw</t>
  </si>
  <si>
    <t>UCYF_cZa5umMhfurNbMM-1eA</t>
  </si>
  <si>
    <t>UCGImaUpKw6xjuB_WhtzsEWQ</t>
  </si>
  <si>
    <t>UCyQj-gFcpG1NwOPoHvg1Big</t>
  </si>
  <si>
    <t>UCSmTWaprDRVLkw6btjGCe_Q</t>
  </si>
  <si>
    <t>UCCupaZozpHYhmG8HZ31dxag</t>
  </si>
  <si>
    <t>UCq0RNNBZe955RDZ807o4TFA</t>
  </si>
  <si>
    <t>UCo-OrwyKkRJYqX44Ep2s9Tg</t>
  </si>
  <si>
    <t>UC-vqDFZg2NHjXoMUPH8RM0g</t>
  </si>
  <si>
    <t>UC5hQmzesQ1Fv6y9dtc3cR2Q</t>
  </si>
  <si>
    <t>UC7mSYrGLJ10bGDewX51CMNQ</t>
  </si>
  <si>
    <t>UCV9zUot2FXwMhXpf_mCXfLA</t>
  </si>
  <si>
    <t>UCrKVp1JUCrPxeErnkBi_gwg</t>
  </si>
  <si>
    <t>UCEnMPIukh-2_fr6WKr-uIEQ</t>
  </si>
  <si>
    <t>UCzE45SQ5TZPTsrUDeAO3-uA</t>
  </si>
  <si>
    <t>UC5W6WNCv9bCcVuPxP9Pi5eA</t>
  </si>
  <si>
    <t>UCT4BT7IzxI6WhH6ga32D0AA</t>
  </si>
  <si>
    <t>UCXwH9WULW-ZTkmtuLdSNLiA</t>
  </si>
  <si>
    <t>UCUDSOXPIsHHXL-EEaCIDKBg</t>
  </si>
  <si>
    <t>UCAI-AnI40vDGPZubkywkEaQ</t>
  </si>
  <si>
    <t>UCTN22SieDcp5m3-HcQIbHGA</t>
  </si>
  <si>
    <t>UCcd2GcYNu_n7ibQIAdq1ySA</t>
  </si>
  <si>
    <t>UCj5snfisk52ZiIiADGqPKWg</t>
  </si>
  <si>
    <t>UCoFfJgEEMYLWWUkitmc4qWw</t>
  </si>
  <si>
    <t>UCLhVgpWa8lCp2nS3QWg7hUg</t>
  </si>
  <si>
    <t>UCLDIAVidJKT_P0hmLl_FTjQ</t>
  </si>
  <si>
    <t>UCDmdHkPKAJXcbU5LHMfGt-w</t>
  </si>
  <si>
    <t>UC6ttFk4vCfkPUbeU2eEjiXg</t>
  </si>
  <si>
    <t>UC9oS5EybP3wJiFN56fnrJcw</t>
  </si>
  <si>
    <t>UCkjCRdjjNJOna_mCd6P7Zpw</t>
  </si>
  <si>
    <t>UC_Y_86BAtwlLH75k1z7QVmA</t>
  </si>
  <si>
    <t>UCmpeF05gyl2aq-ptkasSa7w</t>
  </si>
  <si>
    <t>UCOfVfWf8jMT4ouAJeEJ-K1Q</t>
  </si>
  <si>
    <t>UCmUFhJtrl73v6pSC9_aiHWw</t>
  </si>
  <si>
    <t>UC6VRkxwooMQZLgKrbCW_FSA</t>
  </si>
  <si>
    <t>UCo08T_MPUyNbixbGtoQ3Rlw</t>
  </si>
  <si>
    <t>UCwxpRcCsoT-kG0kw9PQIetg</t>
  </si>
  <si>
    <t>UC1puFizBB5Q0oC9N2w_gBgg</t>
  </si>
  <si>
    <t>UCuORhab6yzFvslf7K4hf-JA</t>
  </si>
  <si>
    <t>UCTVBReUiRCcbH515R0A3H5g</t>
  </si>
  <si>
    <t>UC2n-crjvBxftpzxRnMeX3aQ</t>
  </si>
  <si>
    <t>UCnTRh4faSwpb4I1Ll1-0bxQ</t>
  </si>
  <si>
    <t>UCOhfuwekGSzur00a544CcKQ</t>
  </si>
  <si>
    <t>UC5E4J1Vfn-v9KQDKVi4yp2g</t>
  </si>
  <si>
    <t>UCkJH3uTlOycsfIcz2s3PMEg</t>
  </si>
  <si>
    <t>UCjGT0lta_Eo161Bq3stpoxA</t>
  </si>
  <si>
    <t>UCNjkUz7OUSNlD7bwt5kcH3g</t>
  </si>
  <si>
    <t>UCefdQZdi3Ebj2eJiiCbKxhg</t>
  </si>
  <si>
    <t>UCEz8QTxYWSTBiT-1ZeK77JQ</t>
  </si>
  <si>
    <t>UCWOce0cS2w22jY4EAn50YHQ</t>
  </si>
  <si>
    <t>UCPU93CojGLhCv_kf2CDpgMQ</t>
  </si>
  <si>
    <t>UC0J-DiMUBDkD3krfD5VkTXQ</t>
  </si>
  <si>
    <t>UC_k3eP9m8U3bW2ByWs3BRlg</t>
  </si>
  <si>
    <t>UC7h7zWh5PPw8yxDsDOgj23A</t>
  </si>
  <si>
    <t>UCc0tkX1OwQl203TbmyJJGqA</t>
  </si>
  <si>
    <t>UCT2sMMbR8glNSt-SOF2wHDg</t>
  </si>
  <si>
    <t>UCGt7qYOzYd53e1ZDyGy-p-Q</t>
  </si>
  <si>
    <t>UCHcnCMwUpuuI8ihbzlHVh3g</t>
  </si>
  <si>
    <t>UCpVgM4WUtUtTtdCq_kBwy0Q</t>
  </si>
  <si>
    <t>UCH1ojNgoWP7UJQlAjY3g1Rw</t>
  </si>
  <si>
    <t>UCk8wQAmCOo5X037Z6NEn6TA</t>
  </si>
  <si>
    <t>UCUL_0RJJ6jOvcM7p3ZpCmMQ</t>
  </si>
  <si>
    <t>UCemRVN5Sbnxv17T4x-Dj3IA</t>
  </si>
  <si>
    <t>UCAMZryzGVYLCaIz-nWWcThw</t>
  </si>
  <si>
    <t>UCs0zeoq1hCZ4kpzkJAk4d-A</t>
  </si>
  <si>
    <t>UCkY79Ha7ZmdiBsxtDiOF-Eg</t>
  </si>
  <si>
    <t>UCpJIpZ4keoop_uhVhlZGAMg</t>
  </si>
  <si>
    <t>UCe8vg21U7drDp4xuaVjU2kw</t>
  </si>
  <si>
    <t>UCfg6c8urWYaJJOqIhpPkuTw</t>
  </si>
  <si>
    <t>UCe_yln_7VXIDkMvJilIX5bg</t>
  </si>
  <si>
    <t>UCxy6Tuf_ksQ5egQdxwYXJMA</t>
  </si>
  <si>
    <t>UC3UC3alxwtdTFGQIqY2xYtw</t>
  </si>
  <si>
    <t>UCYF7iFl00_1lAvf4zyOYCVg</t>
  </si>
  <si>
    <t>UCQG4AgX7CwIPNmjzexjKdfA</t>
  </si>
  <si>
    <t>UCliPFvBl3yH2uyGZHI2lcqg</t>
  </si>
  <si>
    <t>UCfDAkBaAdKSTL133UX0I7Xw</t>
  </si>
  <si>
    <t>UCpk2BuOuwhPc16sXlfOdiyg</t>
  </si>
  <si>
    <t>UCn5FBvjUlYQBUFu_2nwyPDg</t>
  </si>
  <si>
    <t>UCVt_hRn0DxHLPKVM-E3T1gQ</t>
  </si>
  <si>
    <t>UCdGMILgjKkt3yFobo1qwNxQ</t>
  </si>
  <si>
    <t>UCWrvRrVUPEYzS9gcmvugRXw</t>
  </si>
  <si>
    <t>UC6EBoOUiusNM7Tk7OcY8ljg</t>
  </si>
  <si>
    <t>UCcg7hpzgNJU-8d33PBDEAmg</t>
  </si>
  <si>
    <t>UCNkgHJez9ThFzjZbfGp0meg</t>
  </si>
  <si>
    <t>UCjNtXvpzLfFO_U-1zw4TD3g</t>
  </si>
  <si>
    <t>UCHaSyW6beXgBHgIVRxulg1Q</t>
  </si>
  <si>
    <t>UChKaNMuqrOYPeC3qNtAlouQ</t>
  </si>
  <si>
    <t>UCk54dTDeL3itKr1s9RExZ0g</t>
  </si>
  <si>
    <t>UC7BhXPzyrxo8GYXtOpWMfaQ</t>
  </si>
  <si>
    <t>UCoRiIi240DGZFMU-GdSM2uQ</t>
  </si>
  <si>
    <t>UChu_F4PvpOCkYC7OucP4izA</t>
  </si>
  <si>
    <t>UC3CZMToTwqMZNRiHmDKaUMw</t>
  </si>
  <si>
    <t>UCk4RmdXiRi_Ad_l4rvGXvhg</t>
  </si>
  <si>
    <t>UC0-9DqPDBZuUlkte_JxRorA</t>
  </si>
  <si>
    <t>UCW1cxUDBPmXb9Uaiw3gcl5g</t>
  </si>
  <si>
    <t>UCdeCufBUMozc9vUfN0DiUwg</t>
  </si>
  <si>
    <t>UCyAvQ66sltINGcJeA0gOLZw</t>
  </si>
  <si>
    <t>UCmcCU9CY86IsTMggOzc9c1w</t>
  </si>
  <si>
    <t>UCnq6GOWcAMgieiQL0GoPhPA</t>
  </si>
  <si>
    <t>UCCh2ckjPJ7h0mTb7jsiqEtg</t>
  </si>
  <si>
    <t>UCp8ZgTPmxFx3Byn4FrNseNw</t>
  </si>
  <si>
    <t>UCje3PxipWZYavjpN0rQ6KIA</t>
  </si>
  <si>
    <t>UCJ9K3iJG-Y9q1T1ob7boPWA</t>
  </si>
  <si>
    <t>UCegghkfUlTirnZe1VpjgrrQ</t>
  </si>
  <si>
    <t>UCFxc9HtSJfGsoM343LVWIYw</t>
  </si>
  <si>
    <t>UCMy1HbkjoOgpHJYtdMENr_w</t>
  </si>
  <si>
    <t>UC87q_c5ZLiL--c2y5ecFsXQ</t>
  </si>
  <si>
    <t>UCaGEe4KXZrjou9kQx6ezG2w</t>
  </si>
  <si>
    <t>UC6fFQW6FPEYzN3hpzQ2Aa1A</t>
  </si>
  <si>
    <t>UCJyxx3causzxZ0ia8ZrS7kw</t>
  </si>
  <si>
    <t>UCTiTw_hbT1GeA4lqCvmVYOw</t>
  </si>
  <si>
    <t>UChTFk9B9ufIln_tsgG1wdvg</t>
  </si>
  <si>
    <t>UC5SyxPuKWP1YO_ArRAYulCA</t>
  </si>
  <si>
    <t>UCt87IY3pyScZ-Rt-qhc7l-w</t>
  </si>
  <si>
    <t>UC9Ja7kVyx1c4iXmhhXOV44A</t>
  </si>
  <si>
    <t>UC-C8T0nZiwU0BHa_udThlIw</t>
  </si>
  <si>
    <t>UCx8pBVLDTEfBfEt8hT7NRxA</t>
  </si>
  <si>
    <t>UCquZCe1F2ez9EO_0-FKj3kA</t>
  </si>
  <si>
    <t>UCCvEc_XGu9DQ2GGv34u71vw</t>
  </si>
  <si>
    <t>UCNBzhuZVqfO4lQS1eSMokLw</t>
  </si>
  <si>
    <t>UCHoiWtniOfz8Avpww_0UVnQ</t>
  </si>
  <si>
    <t>UClfh30g-tJ5OshRVhyFrGMg</t>
  </si>
  <si>
    <t>UCT1QRFUF5lMy0ECMKFIMeDw</t>
  </si>
  <si>
    <t>UCrMaHGk5LbL3alwvmnOM1QA</t>
  </si>
  <si>
    <t>UCg4d6l9MowtoLE4uqrcBnxA</t>
  </si>
  <si>
    <t>UC-FODGYAtQLqV-hJyi7ruUg</t>
  </si>
  <si>
    <t>UCLZGKzxpgCoNQapxvw-l3yg</t>
  </si>
  <si>
    <t>UCd5710HgazmFpHjs2qhyQSQ</t>
  </si>
  <si>
    <t>UCcBdotqqwzvvVi_YKbWgYEQ</t>
  </si>
  <si>
    <t>UCxD0CiqPOHP_TSayw3Fb9ZA</t>
  </si>
  <si>
    <t>UCUl9KDDIT4qcONZlN-PC_GQ</t>
  </si>
  <si>
    <t>UCog_Pc1wioSN5u5VND3Ua_w</t>
  </si>
  <si>
    <t>UCN8v8nA8KPlvLKvu2hjBqXQ</t>
  </si>
  <si>
    <t>UCGpGyrZukGxN7EqHaLZ3tww</t>
  </si>
  <si>
    <t>UCNBgyqCMQA5ZDLlJ0vPUx0g</t>
  </si>
  <si>
    <t>UCbe-qpl6Hqfkw7zhko17fZw</t>
  </si>
  <si>
    <t>UCQk56KBdgzcZalZlDKPKRQQ</t>
  </si>
  <si>
    <t>UCEzn6-8Kq1hB0rtosTVDXhA</t>
  </si>
  <si>
    <t>UCWf2pD8fClkUEIIJjq4B5nw</t>
  </si>
  <si>
    <t>UCbCbuXFHCOUQwmP-3W4caqg</t>
  </si>
  <si>
    <t>UCZlF6sHHNC54_00VdC7D-eA</t>
  </si>
  <si>
    <t>UCM_eFu-EWA4EMOpou6yG8Mw</t>
  </si>
  <si>
    <t>UCNxtGauI9YwI_ANZwHVgNIg</t>
  </si>
  <si>
    <t>UCEmhBmKML16KTwTejRJ9ZpQ</t>
  </si>
  <si>
    <t>UCWc6Iu66HSngtF-8ylCZJSQ</t>
  </si>
  <si>
    <t>UCxqv514twWSq0AK__OAPlBQ</t>
  </si>
  <si>
    <t>UCWVdzKevS3_H77zZgSJoHlA</t>
  </si>
  <si>
    <t>UCpfWAL5jCTom1iIoRhQUg4w</t>
  </si>
  <si>
    <t>UC50kqnAFV1i8YVdc4VGzKCw</t>
  </si>
  <si>
    <t>UCzECW1QYDLBlfE5KIA2WyLw</t>
  </si>
  <si>
    <t>UC6Ay0pZCXvOaPaPPYOy6s0A</t>
  </si>
  <si>
    <t>UC-YSMJTWUtL5hAeon8YDW4Q</t>
  </si>
  <si>
    <t>UCdq_WSt0JCjBKXydTu1rgTQ</t>
  </si>
  <si>
    <t>UCrUysV9Hi3CdSQ--IqmXjVw</t>
  </si>
  <si>
    <t>UCcR3lvb6rzItuTw9H5_I2TQ</t>
  </si>
  <si>
    <t>UChIdhlau-9aLJ_ClYaiTwxQ</t>
  </si>
  <si>
    <t>UCu6wTkukAyVqunE0TaKrzWw</t>
  </si>
  <si>
    <t>UCe5vN9iYzWRu3MV8QdPaSoQ</t>
  </si>
  <si>
    <t>UC-VTJt8mzfTG9fa7HIrL9Vw</t>
  </si>
  <si>
    <t>UCkzFL--FtYlc5M3mnc7OGXg</t>
  </si>
  <si>
    <t>UCvmQhoFmgW3rsTU4GyQCu1g</t>
  </si>
  <si>
    <t>UCTMw1rCPwuwDtqqcvLAteDA</t>
  </si>
  <si>
    <t>UC1Fn1d4s9_LnzWLvE46XEHg</t>
  </si>
  <si>
    <t>UCkq2IuGxraDeCE3kqw3djhw</t>
  </si>
  <si>
    <t>UCGw3Q99dPOmo5iKTfOmjOfA</t>
  </si>
  <si>
    <t>UCsiXQ64RiLu_TWdbckHC5fw</t>
  </si>
  <si>
    <t>UCMVjhNSQ0xPZhsCnClvDkcA</t>
  </si>
  <si>
    <t>UCgRF6tj16DWwM-ZT_4cKXOw</t>
  </si>
  <si>
    <t>UCfpDVjI-jTfsho8N61m84gw</t>
  </si>
  <si>
    <t>UCkly-VZIpn72lNjXcuCWW9w</t>
  </si>
  <si>
    <t>UCSRWGg0boBMbHebODEMU54Q</t>
  </si>
  <si>
    <t>UCNMtMMfBNi2ltGUrzpCSg9w</t>
  </si>
  <si>
    <t>UCeqN6aYZ3_2yOtxMYSAIR5A</t>
  </si>
  <si>
    <t>UCq4Xqp4npGleWuOEfWLOsLw</t>
  </si>
  <si>
    <t>UCbpHmbOD5MTu7DzhZXZdzPg</t>
  </si>
  <si>
    <t>UC3Qsj1mJvYnpN9eT3sN1buw</t>
  </si>
  <si>
    <t>UCGo0zwvmGTyrPhIfxqzfV6A</t>
  </si>
  <si>
    <t>UClVpvZXsBpevMFsvyo126Sg</t>
  </si>
  <si>
    <t>UCNtS0FKXhokuCLCIRHUhpuQ</t>
  </si>
  <si>
    <t>UCKV1NkUh1xjX8Nm3j5nP-rQ</t>
  </si>
  <si>
    <t>UC3OdxrcUKm7hxEjt_05vNAg</t>
  </si>
  <si>
    <t>UCYPdADqT4AVkx1fZS9sIbpQ</t>
  </si>
  <si>
    <t>UC_gk4RP_wHVZdqkFrZ8SMZQ</t>
  </si>
  <si>
    <t>UCL83fivuM6bm_DNu_caNzcA</t>
  </si>
  <si>
    <t>UCs6LqhJ9r0BHGS04Bv85x-Q</t>
  </si>
  <si>
    <t>UCLNTQyP2KodLEA0QHEDSWnA</t>
  </si>
  <si>
    <t>UCaiwUmql4DEAqsN-FWUgoLQ</t>
  </si>
  <si>
    <t>UCmkfwnFpXrrsHSxXmdgmCLg</t>
  </si>
  <si>
    <t>UCfqvjDtJ56SzG8sWiIG4Txw</t>
  </si>
  <si>
    <t>UCq1q117t2Vk1Unor5hn5X7A</t>
  </si>
  <si>
    <t>UClqII0Yg_DO1VekNPD9hY6w</t>
  </si>
  <si>
    <t>UCMsjtkQjBJQTAHgen-aDNBA</t>
  </si>
  <si>
    <t>UCiamsAfM2zYhgpZAV_X7H2g</t>
  </si>
  <si>
    <t>UCh86aG9eDxMiQaISQdtv9zA</t>
  </si>
  <si>
    <t>UCMnSie2ldazA13s1pbTiUYw</t>
  </si>
  <si>
    <t>UCHIpOdCr-NFQRR_OQcwa4Sg</t>
  </si>
  <si>
    <t>UCwCF8Ic6Lgs32CrljeWydrw</t>
  </si>
  <si>
    <t>UC4VHPTjnxvlkd8NrT8wDd8g</t>
  </si>
  <si>
    <t>UCmoHhgVdE0VFusUvKRD2pKA</t>
  </si>
  <si>
    <t>UCe9hfK183Q1xmpYMTJgULKQ</t>
  </si>
  <si>
    <t>UCcC4IZqNHmwGIYAC3e6Y-ng</t>
  </si>
  <si>
    <t>UCxhbi6OhggzKnO7bUeXbliw</t>
  </si>
  <si>
    <t>UCQmnCtBS2LgVNb7hVmDsvEQ</t>
  </si>
  <si>
    <t>UCSxjlinkH_dpcqvI4gaOIqg</t>
  </si>
  <si>
    <t>UCEGWyDisp2t9CSLMhOCUjcg</t>
  </si>
  <si>
    <t>UCVPA_jZSz-I4Au3RCo9LHTg</t>
  </si>
  <si>
    <t>UC8Y45KtVOj8uJg3cnNzI_-Q</t>
  </si>
  <si>
    <t>UCwCK4I1ApV4gDpWxv3EvPAg</t>
  </si>
  <si>
    <t>UCFA76NhvEp8Fck7qolxM5nQ</t>
  </si>
  <si>
    <t>UC41RPWl3MoEeDf9pNzNbOzw</t>
  </si>
  <si>
    <t>UCGygswvJxod6i7MCGCBlKIg</t>
  </si>
  <si>
    <t>UCuS9KW_UfhJhTv1vI1kAH8Q</t>
  </si>
  <si>
    <t>UCaM4QVw7iINFe5FN4o6_BZw</t>
  </si>
  <si>
    <t>UCAVnoqUAcRIbdq0972CYydw</t>
  </si>
  <si>
    <t>UCp7UdmlpZZ_S1QhablUDVIA</t>
  </si>
  <si>
    <t>UC7Dg-uPxILqD_10CuPzQyCw</t>
  </si>
  <si>
    <t>UCK7RRG51B5BR-oMcsoIVtJQ</t>
  </si>
  <si>
    <t>UCIujpQDjxt8TLzSMzuXAjjw</t>
  </si>
  <si>
    <t>UC4IiAFu3l6cfMMeJIU2TjzQ</t>
  </si>
  <si>
    <t>UCVS6ZFwdDcrSBNkpaTw8sYw</t>
  </si>
  <si>
    <t>UC7gf4_Jvu_tlYUwoQHXHJjA</t>
  </si>
  <si>
    <t>UCqiBrHNTtizRMCUevmvfouw</t>
  </si>
  <si>
    <t>UCAlZ6G359QGDKenPlmFZMXg</t>
  </si>
  <si>
    <t>UC6akKqRI4KiNYpwFdOMa2lg</t>
  </si>
  <si>
    <t>UC4YZR11kdjGyGDHhEkXptmQ</t>
  </si>
  <si>
    <t>UCrmQ6-MSQwoB-yglmWm4OFA</t>
  </si>
  <si>
    <t>UCGEym27HkmD-2LaPugtHCig</t>
  </si>
  <si>
    <t>UCb230vB4eVv_L-0M53yNGxQ</t>
  </si>
  <si>
    <t>UCraN_8sc6GDjLQeDT22OAFw</t>
  </si>
  <si>
    <t>UCYn8uPJhCUl9uolI0hLM2Qg</t>
  </si>
  <si>
    <t>UCapJ7xVlHB20PKPeJFFCeOQ</t>
  </si>
  <si>
    <t>UCBL7PZewOdecU9J_-LkUefg</t>
  </si>
  <si>
    <t>UC2J5M9P0rhxNR7GHdQMBKmw</t>
  </si>
  <si>
    <t>UCpp0iU7fUjHMhJutFJ5hqwQ</t>
  </si>
  <si>
    <t>UCkgiLQlD4U6Hz6srDd_ULHQ</t>
  </si>
  <si>
    <t>UCosx9YdqYSNwk9N7QU_jTaA</t>
  </si>
  <si>
    <t>UC-jkgnXBbcyl-ltsL2wQvFQ</t>
  </si>
  <si>
    <t>UC4b5UQmRxkVpw80Pvt5G46w</t>
  </si>
  <si>
    <t>UC8Dzjd3fPgqbSNyL4U9nqoQ</t>
  </si>
  <si>
    <t>UCB2VhTqhEoxcgWBy4mXQCwA</t>
  </si>
  <si>
    <t>UCLFvswvwPxHnO35giE2ez0w</t>
  </si>
  <si>
    <t>UCcclz3LfM5N7tD6YClELfvw</t>
  </si>
  <si>
    <t>UCemdRq8VR5OiophHxaKdFfA</t>
  </si>
  <si>
    <t>UChq4mVpPVEDxRxXtT-rBX1w</t>
  </si>
  <si>
    <t>UCQ2Lgfym1M6v50JEm5P7uJw</t>
  </si>
  <si>
    <t>UCS0bq3n9kirVOTorva8UKJg</t>
  </si>
  <si>
    <t>UC4JxCdHEY3pnZFueFf7Irug</t>
  </si>
  <si>
    <t>UCABafRXyzThI13jVSDdTMBA</t>
  </si>
  <si>
    <t>UCbwAbzjiQXy7VMT5cCINu2w</t>
  </si>
  <si>
    <t>UCQC4_qoaL5N9-AzVgjC_5-A</t>
  </si>
  <si>
    <t>UCSzS5KSQvkpkPNiF8hmr0zw</t>
  </si>
  <si>
    <t>UCzur-Z2eeJUb_J3ELxWqO4w</t>
  </si>
  <si>
    <t>UCqpfqBGy1f6H9b4WVeFAa9w</t>
  </si>
  <si>
    <t>UConxZesAFmzNl8tlMQfL4EQ</t>
  </si>
  <si>
    <t>UCKXwB75VUB7r9f9UfdNF7QQ</t>
  </si>
  <si>
    <t>UC-ZdhLrOmcewlverLd0xGkw</t>
  </si>
  <si>
    <t>UCtEIxnWLQaJKNvsM3kgdv-A</t>
  </si>
  <si>
    <t>UCjcG2FUpnj3wTx3rmW3fT_w</t>
  </si>
  <si>
    <t>UCez-57V3o53c0ySZNCeqR2A</t>
  </si>
  <si>
    <t>UCnfuX9dN8a--5ptIge7wYJw</t>
  </si>
  <si>
    <t>UCcVY4PNhKTStBqbmWBBXJsw</t>
  </si>
  <si>
    <t>UCoXa-0RdNxTdWehirvqAvbQ</t>
  </si>
  <si>
    <t>UCfcdeSgCO4v25ymgnOybN5g</t>
  </si>
  <si>
    <t>UCjU5msKQEe1Bpc-z4WT6CsA</t>
  </si>
  <si>
    <t>UCc75Eb2KclgOOUnkerIIHjw</t>
  </si>
  <si>
    <t>UCwlIuUEYNSbAfoGgoEx2nIg</t>
  </si>
  <si>
    <t>UCBncj-o42hfPG0TRJkaRWYw</t>
  </si>
  <si>
    <t>UCUDtZqrtk59W9NYBMVzLfEw</t>
  </si>
  <si>
    <t>UCUOSzv2bpjlN9dUF6AVGzlQ</t>
  </si>
  <si>
    <t>UCZUtl9CB3LvYHTFIQ7rkMPQ</t>
  </si>
  <si>
    <t>UCe6oxU_T8mj_K-r5deB1Mkg</t>
  </si>
  <si>
    <t>UC6_tiK1bj4l8UmfrAcCuV1Q</t>
  </si>
  <si>
    <t>UClBN0jShxrWa70rM-9O6dCQ</t>
  </si>
  <si>
    <t>UCb1r9sNaQG8VV2wmNcPlCHw</t>
  </si>
  <si>
    <t>UCH-CAPoK2f1La6ITUKe5xsQ</t>
  </si>
  <si>
    <t>UCq3GPCRAUpLZJmZ-SAomWwg</t>
  </si>
  <si>
    <t>UCrjCeiq-TQ1mxwSVrb56_tw</t>
  </si>
  <si>
    <t>UC_45IzWOplbP9I-NwW8zhkw</t>
  </si>
  <si>
    <t>UC1SQ6WLwqCw8z1OFqWrBvlg</t>
  </si>
  <si>
    <t>UCI8a254j9MYepxDRrR7iBBQ</t>
  </si>
  <si>
    <t>UCjnlw6abg_8YOV5FWEOJC-Q</t>
  </si>
  <si>
    <t>UCEKepcrXySgFtDQgmfeg5gA</t>
  </si>
  <si>
    <t>UCAMeifLg83EHL1oqulx7IvQ</t>
  </si>
  <si>
    <t>UCgySfE0SXpRKvRrD6JBhVdg</t>
  </si>
  <si>
    <t>UCY4U7-wx-X0UTCeALjUgsuA</t>
  </si>
  <si>
    <t>UChXypeawFlFg1TNm7chU2hg</t>
  </si>
  <si>
    <t>UCKm4hpcuWTvzF-fk4AQlVBg</t>
  </si>
  <si>
    <t>UCvKp1ptbneYFIHWUpUNYbHQ</t>
  </si>
  <si>
    <t>UCqNRObSCvPqLS8VftXXy9Ow</t>
  </si>
  <si>
    <t>UC5YnhYiAxe6zckSu1_XKeOw</t>
  </si>
  <si>
    <t>UChVLSS6O6Ab542U4MN4OSlw</t>
  </si>
  <si>
    <t>UCNRTjqb1p3Q3AYPAHZtUcVw</t>
  </si>
  <si>
    <t>UClVqXsTx_z51ddq5DKUOOow</t>
  </si>
  <si>
    <t>UCq2bqGge1y2Sm3L4sV3AAvA</t>
  </si>
  <si>
    <t>UC9FbVAgmeDXHDDlBlcKu2_w</t>
  </si>
  <si>
    <t>UCBY7dVxt1Wk9r9SR-EzqsjA</t>
  </si>
  <si>
    <t>UCqP44doV3yxEI-84YUKmhaQ</t>
  </si>
  <si>
    <t>UCpzxC6ePRrHfRDhP8rwPfEg</t>
  </si>
  <si>
    <t>UC0VdA1pckhfXuM31e3szFrw</t>
  </si>
  <si>
    <t>UCZ67Yx8fKQNh54kpgsU_asg</t>
  </si>
  <si>
    <t>UCUtwb0Qr-St_h-OX1pL_iQQ</t>
  </si>
  <si>
    <t>UCPeYFNsWAt25nCX-o5oa4ug</t>
  </si>
  <si>
    <t>UCBUk5buOGR9HCieq9IA37Jg</t>
  </si>
  <si>
    <t>UCZ0FGT_t-KwGJyk9eeegamw</t>
  </si>
  <si>
    <t>UCig0KhrB5NClMvX9QrbXcrw</t>
  </si>
  <si>
    <t>UC7i1o6d7tVtn2I004e0a2Pg</t>
  </si>
  <si>
    <t>UCd9YqD9yL_muyGcFjiJvDbw</t>
  </si>
  <si>
    <t>UCf3n0HOm04_pmgj8PKCo6oA</t>
  </si>
  <si>
    <t>UCspOgcY19gaQ0LVK2SOsHMw</t>
  </si>
  <si>
    <t>UCilVHLxNKoC98Vke9PZIZxA</t>
  </si>
  <si>
    <t>UCguC9iBJti3CgOP95wGmQnw</t>
  </si>
  <si>
    <t>UCIY-WKG4zBHG59bNY3vt27g</t>
  </si>
  <si>
    <t>UCeHjXb2gbbNp8UVz6tv8lgg</t>
  </si>
  <si>
    <t>UCUPcct3wU_fPe5Jz4z9aKBg</t>
  </si>
  <si>
    <t>UCjhTwB83OdNFIX5Z68V5mGg</t>
  </si>
  <si>
    <t>UCqbOeHaAUXw9Il7sBVG3_bw</t>
  </si>
  <si>
    <t>UCyeyCkuIHgXnMCiLXWOBc0w</t>
  </si>
  <si>
    <t>UCapct-0qZHnpMSiPBD8EQHA</t>
  </si>
  <si>
    <t>UCQznmXyQd8I9VMzc-4UISQA</t>
  </si>
  <si>
    <t>UCb1BOZo8RLQpHmPIHT2F1Xw</t>
  </si>
  <si>
    <t>UCDMC7Sr5zY92l060olkC9tg</t>
  </si>
  <si>
    <t>UC7mO_O8XR-C-86AGtSGj_Gg</t>
  </si>
  <si>
    <t>UCfLjyRgLFvB_zaQtDY4e-zg</t>
  </si>
  <si>
    <t>UCL2LP9dATw558s3V6q3JkYw</t>
  </si>
  <si>
    <t>UCmtf4_4EAkoBep4SXTVFZMg</t>
  </si>
  <si>
    <t>UCzmwAs1EMN_EGzNw_cklJkQ</t>
  </si>
  <si>
    <t>UCsR1w2kBQfipEKf1qfoZ8Qg</t>
  </si>
  <si>
    <t>UC4KctW4IVLRpkMn1bc8IO0Q</t>
  </si>
  <si>
    <t>UCAHz4FFVkO9z-flkiU84MlA</t>
  </si>
  <si>
    <t>UC7bbF7uzixVKOh4huPcf2zQ</t>
  </si>
  <si>
    <t>UCnel0MQOYp2zx5oJevfESdQ</t>
  </si>
  <si>
    <t>UCqdoIk8MC9vfjbsCoO3uk0g</t>
  </si>
  <si>
    <t>UC9G7xSI0mqIN9LsJHfZwMGg</t>
  </si>
  <si>
    <t>UC3omO0nu_NbAJgtlCiYCNfg</t>
  </si>
  <si>
    <t>UC-6e6b2pE7UUiqPc1tH889w</t>
  </si>
  <si>
    <t>UC9li3kbNdNCR0oU7L21LLpQ</t>
  </si>
  <si>
    <t>UCVl4b1QLIzWZtTYH1mTH8iQ</t>
  </si>
  <si>
    <t>UCyhN-Q3ELXlH6afNYd3ROoA</t>
  </si>
  <si>
    <t>UCVHDuJ-ytBhl_DEz35zaLfQ</t>
  </si>
  <si>
    <t>UCz9ZLCXJVEG2J7hg_BNZKxg</t>
  </si>
  <si>
    <t>UCIwKnDAfblyJMIMh8StSEeg</t>
  </si>
  <si>
    <t>UCjd7LhTYGEOAHC0WoK4GqwQ</t>
  </si>
  <si>
    <t>UC5SGVZXo0_bh0zNwR8I5bsw</t>
  </si>
  <si>
    <t>UCtYVy7l9RvKZ5rKOsiQsIKg</t>
  </si>
  <si>
    <t>UCYPUDUN5-t9VxaQRI9es0nA</t>
  </si>
  <si>
    <t>UCKO5JUTajV6ph3DvS6yRSag</t>
  </si>
  <si>
    <t>UCeoYd8hiGyx3BWyFTSI_XAg</t>
  </si>
  <si>
    <t>UC3VECJj2CCuhHZcIi79xsPw</t>
  </si>
  <si>
    <t>UCLSO99JZmrEMmSzPlBL4heg</t>
  </si>
  <si>
    <t>UCT4Has8DrnrEjD8HNlzmlWA</t>
  </si>
  <si>
    <t>UCRkIO_Ye5iBesX8EKHcw3SA</t>
  </si>
  <si>
    <t>UC6PDbgG-8UPGLNw5d9dTKXw</t>
  </si>
  <si>
    <t>UCyIRJt5VxYvCitMWCWeKrSw</t>
  </si>
  <si>
    <t>UCEx4zF9gKH647q_tg5zwGGA</t>
  </si>
  <si>
    <t>UC9e6GKzdbAjeq53QQdphLYg</t>
  </si>
  <si>
    <t>UCbTWZL8bwDdWBUegcykuNGw</t>
  </si>
  <si>
    <t>UCnotihKlMoV1dgUtjkLiouA</t>
  </si>
  <si>
    <t>UC8bsh-WSrZ0C1_g4q0uheSw</t>
  </si>
  <si>
    <t>UCbnlzasIDFMA-otUhzPIgsw</t>
  </si>
  <si>
    <t>UCdgATLC3qPTQSezm2lpPRiw</t>
  </si>
  <si>
    <t>UCuyr7c1eKDQOYOTUfTxGMBA</t>
  </si>
  <si>
    <t>UC4LkC8orOfPAL6JcREKcwLg</t>
  </si>
  <si>
    <t>UCkYhBzBLlFWcH49l9vGgylQ</t>
  </si>
  <si>
    <t>UCkje6Mcjq7DR0FIUQtLe82Q</t>
  </si>
  <si>
    <t>UC5svPzYb-Q2h5UgW3fUxIfg</t>
  </si>
  <si>
    <t>UCxNm0L1VAwHS8dZ7yDXOjxA</t>
  </si>
  <si>
    <t>UC3LBkyF05aXlH8CTdYBy_Eg</t>
  </si>
  <si>
    <t>UCtDTJswKfTIo929ea9LuyVA</t>
  </si>
  <si>
    <t>UCVTQwxMQKcjgXSajrmFcadg</t>
  </si>
  <si>
    <t>UCW2mhNoDumoJAeqYxmSBVJA</t>
  </si>
  <si>
    <t>UCdNDDoX2E_HLp9xMTbh7SMg</t>
  </si>
  <si>
    <t>UCk1v-IfRLmWAm-SiRqnxnJQ</t>
  </si>
  <si>
    <t>UCoxUHvB2cSCItSwpVN-V_VQ</t>
  </si>
  <si>
    <t>UCMc7OjtNwZ2L8uXCtPhjM_A</t>
  </si>
  <si>
    <t>UCYyePgFFf8AZiGQvMV1x8vw</t>
  </si>
  <si>
    <t>UCujKLrTPGoMqbsV6ut4h7NQ</t>
  </si>
  <si>
    <t>UC2LMT35ZLfTJwj6tsJVL_Kg</t>
  </si>
  <si>
    <t>UCpdGXkszzXE5LAkaICL6FVQ</t>
  </si>
  <si>
    <t>UCsLEd0PtEtGzKOi9xBLQF8g</t>
  </si>
  <si>
    <t>UCTCSylPHRVXT6mGgWCb2Dmw</t>
  </si>
  <si>
    <t>UCpIxpKzjZTZrYdYQtIPLG1A</t>
  </si>
  <si>
    <t>UCAfKX5atbQk4nK1ELw2nkKQ</t>
  </si>
  <si>
    <t>UCcAmaqdRiS3nG9Zc-X_B4Kw</t>
  </si>
  <si>
    <t>UCtCpsvqYYe32baaJLCRsbuA</t>
  </si>
  <si>
    <t>UC59Y1UyNh5yWSP7pJvOkevw</t>
  </si>
  <si>
    <t>UCE72zxLGsm_AcyQtOqs84SQ</t>
  </si>
  <si>
    <t>UCEbfrWiWbnQOM7KDxO_Evmg</t>
  </si>
  <si>
    <t>UCWEnrt2wJSyJ8UF9gGLxhgA</t>
  </si>
  <si>
    <t>UC9FjksoBHY_UxYRP6tvNnww</t>
  </si>
  <si>
    <t>UC1g2nw6FsShjFX5ycvYjKrQ</t>
  </si>
  <si>
    <t>UCiv0P8ZBx6PUV9CptXEkWKw</t>
  </si>
  <si>
    <t>UClzQpgwaQA51uOv-8VooFlA</t>
  </si>
  <si>
    <t>UC9sz15QtSp_Sr-fg48i3v6A</t>
  </si>
  <si>
    <t>UCnwjwXdjfM_YgmDFTr0NChg</t>
  </si>
  <si>
    <t>UCgC4gwzrL6yC0QKTzYqgdTQ</t>
  </si>
  <si>
    <t>UC21eh8XGrSD2-WounNAwuCw</t>
  </si>
  <si>
    <t>UC1n4O9YInmQOhlVddAdXJDQ</t>
  </si>
  <si>
    <t>UCApCzBa-q9eEYCXJ8bJly4Q</t>
  </si>
  <si>
    <t>UCKoD9Yq28XTm0LetSmQp7DQ</t>
  </si>
  <si>
    <t>UCzAQ3XpcrDTCTfpcUCGc2lg</t>
  </si>
  <si>
    <t>UC9sHHj-4pWZqH11x8rEVxUw</t>
  </si>
  <si>
    <t>UCp9NDK19lWNs_VDxclnH6Bg</t>
  </si>
  <si>
    <t>UCeaFuHORWFXIM18TEF7sZKA</t>
  </si>
  <si>
    <t>UCf84n15qrTY7cWJ-a4mgasQ</t>
  </si>
  <si>
    <t>UCWsgRwPyheJrA0I7r78zcJw</t>
  </si>
  <si>
    <t>UCHD8xkFhaVaTqgpwoX7Luyg</t>
  </si>
  <si>
    <t>UCTXz4iyQyRwhY_dIYOXsqTQ</t>
  </si>
  <si>
    <t>UCMKzekcw_tX5Ne1WY4btIaw</t>
  </si>
  <si>
    <t>UCIw-SUOHuMMyUvWcWmDBPVA</t>
  </si>
  <si>
    <t>UClO8NWqdXkP9gia74DBErJw</t>
  </si>
  <si>
    <t>UCvrlwBjjKeorZbGPZuwQinw</t>
  </si>
  <si>
    <t>UCpt8FjNWOfMDjMIRumx8pgw</t>
  </si>
  <si>
    <t>UCA12YVPW2dPuYgJI_g0szuQ</t>
  </si>
  <si>
    <t>UChJiLn9jB5O_rwknHyL9Jgw</t>
  </si>
  <si>
    <t>UCJpbhVtWvqn4OYkYhdtkDsg</t>
  </si>
  <si>
    <t>UCfUNn3pCTUiMSeOyJcvDiFw</t>
  </si>
  <si>
    <t>UCdqrohw_NmlHlyOEq2jHCWA</t>
  </si>
  <si>
    <t>UC4BJaDRvnalVBUUFZXiCkoQ</t>
  </si>
  <si>
    <t>UCVDCckhaMS9_DCcgrWI4PWw</t>
  </si>
  <si>
    <t>UCTcHD2VmpjSvYcWkN14SRUA</t>
  </si>
  <si>
    <t>UC_utpvdX3jUjizP3SoATdtQ</t>
  </si>
  <si>
    <t>UCTMzvf8g1c1Hl3l9buaIMeg</t>
  </si>
  <si>
    <t>UCLi9I77I67kG_JV0aT1PCqQ</t>
  </si>
  <si>
    <t>UCjN7LTeOOdilDQYZ-eC1xpg</t>
  </si>
  <si>
    <t>UCOuxgaoH-DORb6EsvIVz2tQ</t>
  </si>
  <si>
    <t>UCkyhQjfYcfZUau9Biy8SWVQ</t>
  </si>
  <si>
    <t>UCHvnH0Fq28LF9CX-LOOWwCg</t>
  </si>
  <si>
    <t>UCKdb07gLpfoaRFEHOwmsMDQ</t>
  </si>
  <si>
    <t>UCkdMu2dHteksfRJgJRvgeXA</t>
  </si>
  <si>
    <t>UCIbOrSyowVO5brivr77P7Qw</t>
  </si>
  <si>
    <t>UCrvq4-9ue3zD7zQbC1FhHxQ</t>
  </si>
  <si>
    <t>UC5KdbVBELGZM5PzMhwz_4wA</t>
  </si>
  <si>
    <t>UC48sVYoCWpdhnNhGvTaK81Q</t>
  </si>
  <si>
    <t>UCITVf0ZheF8SsTFvr4P1QmA</t>
  </si>
  <si>
    <t>UCrmJq1swDtEgpnj8Ea89Ksw</t>
  </si>
  <si>
    <t>UC15ptciKdMDVT7X_JU0ly-Q</t>
  </si>
  <si>
    <t>UCeEIcvCp29Ahvn-pX3MuU2g</t>
  </si>
  <si>
    <t>UC78MDprcXiyqLsbcVxuysgw</t>
  </si>
  <si>
    <t>UCJpZnHucve5c5fedvmEovsA</t>
  </si>
  <si>
    <t>UCT7KYqEloUgHKpn3R2dPGwQ</t>
  </si>
  <si>
    <t>UCdRgQZdlDS8Fnsb21g9LC9w</t>
  </si>
  <si>
    <t>UCSsVxmw_XnkCqrW8owfRY8w</t>
  </si>
  <si>
    <t>UCBobk-UZMXzncWw48I2tPZw</t>
  </si>
  <si>
    <t>UCaikVaVCPBW5plHdS5AyPSw</t>
  </si>
  <si>
    <t>UCO_01HMWiGfhgO-LgeFqHAQ</t>
  </si>
  <si>
    <t>UCHmi85wnMi96G2PBhOzL18Q</t>
  </si>
  <si>
    <t>UC0hYEQOJzQENV0fQOjL1hSg</t>
  </si>
  <si>
    <t>UCa5Twd8eG5BjtHJv0kvoA_w</t>
  </si>
  <si>
    <t>UCl1auULeEjUJdgyO00Kzy9A</t>
  </si>
  <si>
    <t>UC_fDWpABeZRT7ZO4gqnLWBQ</t>
  </si>
  <si>
    <t>UCL5N-vp8oWI3Tm_PqycG0Ow</t>
  </si>
  <si>
    <t>UC1bpNQkvNb6XxeMRCYfbfow</t>
  </si>
  <si>
    <t>UCbHzEdAZJb44oRiVIPitwgQ</t>
  </si>
  <si>
    <t>UCcKHG9CH1LRU4yJIUyZw5-w</t>
  </si>
  <si>
    <t>UCRdsglSr8JV0jxanZ1wj0jg</t>
  </si>
  <si>
    <t>UCPSwQNmbkvNuvPJRKmrci_A</t>
  </si>
  <si>
    <t>UCWckxZngxxi1XK4vj-nQApg</t>
  </si>
  <si>
    <t>UCA61Zbq3A1-s34jah9qzy5A</t>
  </si>
  <si>
    <t>UCtK2vyf8QbdpFJYOXCopQXQ</t>
  </si>
  <si>
    <t>UC7l-KSyumktFziw8IDH6Szg</t>
  </si>
  <si>
    <t>UCHssCzbLIeA_Hk82W9mAo3A</t>
  </si>
  <si>
    <t>UCJicsGvDt15udRUOzIS0Hfg</t>
  </si>
  <si>
    <t>UCfNLaHk_QsjWBz4om0JH6UA</t>
  </si>
  <si>
    <t>UC_XXoAre7VHpcNPstdvQnQA</t>
  </si>
  <si>
    <t>UC0i7LThQxYduRaEcYIdrU1g</t>
  </si>
  <si>
    <t>UCZOI5uwoiAZBOOZGV8U8Awg</t>
  </si>
  <si>
    <t>UCMixeMb71H5JegR4sF3O8_Q</t>
  </si>
  <si>
    <t>UCLyTiWHuzU_EuTFdfAAD-EA</t>
  </si>
  <si>
    <t>UCpyxjvX8EybTbZlnyoubqKQ</t>
  </si>
  <si>
    <t>UCJCl1Qw-Uor9xnVdfuhcH0Q</t>
  </si>
  <si>
    <t>UC7rNPh7zNnIm-1yWgTKmYrw</t>
  </si>
  <si>
    <t>UC5f6Lx2sf0O43HKt0G5_4YA</t>
  </si>
  <si>
    <t>UC2m5BR47ai-hasWinpJQIrQ</t>
  </si>
  <si>
    <t>UC4NI7ilrRqfiK8xMUG1dZ0w</t>
  </si>
  <si>
    <t>UCEQkX3yQvmG-23u9b8lvmuw</t>
  </si>
  <si>
    <t>UCNpJn9ONNVoW_DGiP6khUFg</t>
  </si>
  <si>
    <t>UCzIbFH6UUwsRNVzmNkSUjiw</t>
  </si>
  <si>
    <t>UC4v9ixY7tjtvkKVlE8vXygQ</t>
  </si>
  <si>
    <t>UCR035xkdm31BkKQVhUyqB9g</t>
  </si>
  <si>
    <t>UCZjlaVgXMjuKH5ebn207-lQ</t>
  </si>
  <si>
    <t>UCgTNsNpvgKhJTjwXB7aU01w</t>
  </si>
  <si>
    <t>UCvE3AycU51EI-M1VKvfL2QA</t>
  </si>
  <si>
    <t>UCAjsfSZRjfSov7JeArnUf4Q</t>
  </si>
  <si>
    <t>UCHprdtYyCzc5-fcSNXCUd7A</t>
  </si>
  <si>
    <t>UCHwSZKulthy0a03ykIPVEOQ</t>
  </si>
  <si>
    <t>UCX49f7UWiH1B6rW18m9Rhlw</t>
  </si>
  <si>
    <t>UCAmn8fQuS8x3TBLBRXr4QYQ</t>
  </si>
  <si>
    <t>UCIfypgNfXhTaHAQru-uUyxg</t>
  </si>
  <si>
    <t>UCXluBqiQge_RLYUebJShy8w</t>
  </si>
  <si>
    <t>UCwChU2l1801enAbBJJq2c0g</t>
  </si>
  <si>
    <t>UCAwNUJZntOgEy085kqcyyTg</t>
  </si>
  <si>
    <t>UCqCZk9JftPi0q4Ihsz27kDQ</t>
  </si>
  <si>
    <t>UCcPcpbjgONtEip-VGOdTjjQ</t>
  </si>
  <si>
    <t>UCSLzh_2e-fC7yrOAj39TAAw</t>
  </si>
  <si>
    <t>UCwSB6LON4E0a7yTaZxepNZA</t>
  </si>
  <si>
    <t>UC2LxcXUNLqPhJrjxhuQMT3w</t>
  </si>
  <si>
    <t>UCXoIkjZ6kQ_h-NIKNxbOseg</t>
  </si>
  <si>
    <t>UCWKJSLASMS7LgiWB0B3U3VA</t>
  </si>
  <si>
    <t>UCsZFWQYkG-slxqG0PSAeuDg</t>
  </si>
  <si>
    <t>UCcKWKoA7pGXi1W7BUZ2xsfg</t>
  </si>
  <si>
    <t>UCAW8PZ9dS-LxMtpgSGl6srg</t>
  </si>
  <si>
    <t>UCKeFH_4Fq0vPHhSr-GO7kgg</t>
  </si>
  <si>
    <t>UCnOEYCZM5jwEFOFP1NYz82A</t>
  </si>
  <si>
    <t>UCOG_T9dGhVa3Sf4ay-_ZLhA</t>
  </si>
  <si>
    <t>UCy8XLhlIl992JrAP2hgCscQ</t>
  </si>
  <si>
    <t>UC2TB_zzNN7L2i_WPEaWM-LQ</t>
  </si>
  <si>
    <t>UCjWUEivaRP01IGG5QFmYZBA</t>
  </si>
  <si>
    <t>UCg_EfW_2gQANwFQOUyaDa2g</t>
  </si>
  <si>
    <t>UCx54iSl43fUz1XysXN5bugg</t>
  </si>
  <si>
    <t>UCEVgc19AwijyWr7r4Ujk9LQ</t>
  </si>
  <si>
    <t>UCSJfXviTNs8Tce09VU_uAKw</t>
  </si>
  <si>
    <t>UCSqoJhY0KeLismXnsp2wbGg</t>
  </si>
  <si>
    <t>UCaXUE4Eg9DIxjSu3GuKHHJA</t>
  </si>
  <si>
    <t>UCZPWJbdvBBrMxnzF6FiKm_A</t>
  </si>
  <si>
    <t>UCNW4s2hXa_zbtclkv5hF0XA</t>
  </si>
  <si>
    <t>UCQ0xORuuU7Ym_BOdcC7oH1A</t>
  </si>
  <si>
    <t>UCrCIH0x2X9Nq-qc3OyNPLZQ</t>
  </si>
  <si>
    <t>UClAJGOLHfWZyl6ZKqLEnJHg</t>
  </si>
  <si>
    <t>UCy7nI1ISKSL4DabMq45Yzgg</t>
  </si>
  <si>
    <t>UClnojW-58I9WE8weIj_0J9A</t>
  </si>
  <si>
    <t>UCAT9SfyewrfIMlREAUYjJjA</t>
  </si>
  <si>
    <t>UCxnol9Dl-jD2QSEVc2EZxzg</t>
  </si>
  <si>
    <t>UCL1rU-jRwC0itTwpu9z7Lmg</t>
  </si>
  <si>
    <t>UCPb6pOgqpY3ye-z9595hDyA</t>
  </si>
  <si>
    <t>UCtojG0-YFF6E_STBkGB9GlA</t>
  </si>
  <si>
    <t>UCVWdrNV8bxniNzRsFK-sBtg</t>
  </si>
  <si>
    <t>UC0-aV8W_jMNPr6pkPHoHklA</t>
  </si>
  <si>
    <t>UCnr_NEU1KQ6uBsB0-pj7Z2Q</t>
  </si>
  <si>
    <t>UCzoCYX25FsK-ndwsTo_rNlw</t>
  </si>
  <si>
    <t>UCn6p8O-NWPYAAvZ5MUzK9zw</t>
  </si>
  <si>
    <t>UCWDyZ4tze7sg8PvKfBwjZ6w</t>
  </si>
  <si>
    <t>UCGiyitvsoE0mvDymzZTN55A</t>
  </si>
  <si>
    <t>UCB6idNRhVqMo-V57OKOa7uQ</t>
  </si>
  <si>
    <t>UCqmW71_NOWovrUsgcCsJoaA</t>
  </si>
  <si>
    <t>UC5c65XLWE2VC5GyFqnIwIsw</t>
  </si>
  <si>
    <t>UC3HQFQ3A1f7bOQ6Op3sO6VA</t>
  </si>
  <si>
    <t>UCwP0bxHg-8LXbS1QMYzhSRA</t>
  </si>
  <si>
    <t>UCN7DbIpJ94hcULRngZR-qRA</t>
  </si>
  <si>
    <t>UCYdODoJdVvDp-9z2mt6wgyQ</t>
  </si>
  <si>
    <t>UCUZeBEoKiTTz0pPp5pii-aw</t>
  </si>
  <si>
    <t>UCy4crOLyffyAStwBkGRO9hg</t>
  </si>
  <si>
    <t>UCdf__4wGpIoAJUxaHzh52Rg</t>
  </si>
  <si>
    <t>UCqTGL2iGxZBMK9l4EWPg1Ug</t>
  </si>
  <si>
    <t>UCXptVAEtFVNWoBYkirxhSHg</t>
  </si>
  <si>
    <t>UCYbcr3YlItwbRXxWJhXfPMQ</t>
  </si>
  <si>
    <t>UCF5ChGDslgBBC95Q2q_mqTA</t>
  </si>
  <si>
    <t>UCanNtkxGuVo8RHmoYXqQdPQ</t>
  </si>
  <si>
    <t>UCIRd_KLhNQWScj1-la439iw</t>
  </si>
  <si>
    <t>UCnkFrB1A-54rSDf1RYW_lnw</t>
  </si>
  <si>
    <t>UCsllZ-JGcQe1GqrWliTwIaQ</t>
  </si>
  <si>
    <t>UC7SBoanzWGOIY8cJm5N5XwQ</t>
  </si>
  <si>
    <t>UCfSRxcEYb7rjFKHXBw1O2dA</t>
  </si>
  <si>
    <t>UC8_oQ7TS8UBU5j1es2pvHHg</t>
  </si>
  <si>
    <t>UCnRYGBsqdgTYMJN96h4DoTQ</t>
  </si>
  <si>
    <t>UC3htKE-dyoJeXF-fZ7JS_jw</t>
  </si>
  <si>
    <t>UC7nIPfgorPJhL52Ne5qkn4Q</t>
  </si>
  <si>
    <t>UCMqj6PcNzNbrIBmmVl0yoag</t>
  </si>
  <si>
    <t>UCr8qF5f_vLyTxQe2fw02d8w</t>
  </si>
  <si>
    <t>UCh-2TKI04EBmj1G6P1OB6Pw</t>
  </si>
  <si>
    <t>UC1l0Bbv3upJ90bFKIfT2JCA</t>
  </si>
  <si>
    <t>UCaIeo4JpCmSTtmQfmfH4eAg</t>
  </si>
  <si>
    <t>UCD3JkquUUlOui749jhE6Mvg</t>
  </si>
  <si>
    <t>UCLj0oRJSMJlFtBvj2MqARiQ</t>
  </si>
  <si>
    <t>UC1aILpkji8MPAKECCmV6exQ</t>
  </si>
  <si>
    <t>UCjXQ1_b7RUp86iL0t4I4XrQ</t>
  </si>
  <si>
    <t>UCBWw8SH9UeJw3XQVEBJtQrA</t>
  </si>
  <si>
    <t>UCSFVipfASWh43ZpnFG3Alvg</t>
  </si>
  <si>
    <t>UCmtBrY48_j-28UhxzpxRVyg</t>
  </si>
  <si>
    <t>UCkoGhJVmkMOztmnzPa30EWA</t>
  </si>
  <si>
    <t>UCUUcUvc-YNLzYoX7ztHzLsw</t>
  </si>
  <si>
    <t>UC-MVjybu6gbAbIDiQosKimA</t>
  </si>
  <si>
    <t>UC6E4aPR3UIKueoV4Zv4vCeA</t>
  </si>
  <si>
    <t>UCgquf9LuuyNk4tYNC7gZKgg</t>
  </si>
  <si>
    <t>UCPO2vYJeMPUThpD2I7nA5KQ</t>
  </si>
  <si>
    <t>UChTJoaRW4cXLkDd7UQsILEw</t>
  </si>
  <si>
    <t>UCHmOPF4RgEpc7Cn_fQchGLw</t>
  </si>
  <si>
    <t>UCruo99Y6FBB2DcBuWKn4lsw</t>
  </si>
  <si>
    <t>UChDxGApugufXgdbkew0BHEA</t>
  </si>
  <si>
    <t>UCGG7n9NThURR_CUkef32Y9Q</t>
  </si>
  <si>
    <t>UCQpqRbnxeGP47QFTnpEkY8Q</t>
  </si>
  <si>
    <t>UCxWv4IME8TBjpAxZTkah88g</t>
  </si>
  <si>
    <t>UC_V7nOjrL1MJU2JZ-6wyrXg</t>
  </si>
  <si>
    <t>UCbieuM_WCd6wC0enOietzdQ</t>
  </si>
  <si>
    <t>UCchgbiZujU7ZKwdY5B2hoeA</t>
  </si>
  <si>
    <t>UCoIUMLg-qptX6fVqZEBPm-w</t>
  </si>
  <si>
    <t>UCZj8Z6LdulS3k7YTTxz6iUQ</t>
  </si>
  <si>
    <t>UCEFANWZOr1vqmhr5TzNEskw</t>
  </si>
  <si>
    <t>UCGqabAVv0SRD_SjtodhQPTQ</t>
  </si>
  <si>
    <t>UC04e1vy95lGjggcYbwgbOfw</t>
  </si>
  <si>
    <t>UCA-MuKlT-IKQeVVn2EQV4tw</t>
  </si>
  <si>
    <t>UC5VEXHfh6kXP2d8EkFx16sw</t>
  </si>
  <si>
    <t>UCIBZlWqgzyWY5oMXDSkA6Qw</t>
  </si>
  <si>
    <t>UCm8PoLXw1-GLRZYYQVXAQ8w</t>
  </si>
  <si>
    <t>UCTg4WnwzN4NLhoFeDJsAUkw</t>
  </si>
  <si>
    <t>UCH_y4KNm2oGh2EyR4U19X4w</t>
  </si>
  <si>
    <t>UCJqYJTdXhhFqLbJii990qQA</t>
  </si>
  <si>
    <t>UCsT0YIqwnpJCM-mx7-gSA4Q</t>
  </si>
  <si>
    <t>UCrC8mOqJQpoB7NuIMKIS6rQ</t>
  </si>
  <si>
    <t>UCigXBTUNLcFuQMg-RgJvSgg</t>
  </si>
  <si>
    <t>UCZD1LLp6e838Iw_UTMcxQiQ</t>
  </si>
  <si>
    <t>UCM1pkppQ37_C-W8vXINMqaA</t>
  </si>
  <si>
    <t>UCT7a_fVlSrjOs9jyvtH-uhA</t>
  </si>
  <si>
    <t>UCTl32ukBGG3FGRX7ZfZwVTw</t>
  </si>
  <si>
    <t>UC07-dOwgza1IguKA86jqxNA</t>
  </si>
  <si>
    <t>UCpNnv_kL4Jk8YG_VflnZpmg</t>
  </si>
  <si>
    <t>UC4zL7THUNhJldxCMKv2v4kQ</t>
  </si>
  <si>
    <t>Commented Video</t>
  </si>
  <si>
    <t>Replied Comment</t>
  </si>
  <si>
    <t>Posted Video</t>
  </si>
  <si>
    <t>Reply</t>
  </si>
  <si>
    <t>Thank you mam plz upload more questions</t>
  </si>
  <si>
    <t>Thank you mam</t>
  </si>
  <si>
    <t>Please mam... adolescence health topic ke upar bhi banaiye</t>
  </si>
  <si>
    <t>Thanks mam</t>
  </si>
  <si>
    <t>L</t>
  </si>
  <si>
    <t>Thanku mama</t>
  </si>
  <si>
    <t>Mem gk par video bnaiye  pls</t>
  </si>
  <si>
    <t>_xD83D__xDE4F__xD83D__xDE4F_</t>
  </si>
  <si>
    <t>A</t>
  </si>
  <si>
    <t>C</t>
  </si>
  <si>
    <t>D</t>
  </si>
  <si>
    <t>Mam nutrition se related Questions.....</t>
  </si>
  <si>
    <t>Yh h please watch it&lt;a href="https://youtu.be/cRB0pNL5Lmk"&gt;https://youtu.be/cRB0pNL5Lmk&lt;/a&gt;</t>
  </si>
  <si>
    <t>Mam plz immunoglobin p vedio bna do</t>
  </si>
  <si>
    <t>Hey, I am also from nursing field, I wants to discuss an idea with you, how can I contect with you ?</t>
  </si>
  <si>
    <t>Thanku mam</t>
  </si>
  <si>
    <t>Thanxxxx</t>
  </si>
  <si>
    <t>1 mcq paper m.p. CHO ke salebus k according ho upload ....plz</t>
  </si>
  <si>
    <t>Hindi me vedio banay</t>
  </si>
  <si>
    <t>Uterine pacmaker is situated in cornua of uterus not cornea</t>
  </si>
  <si>
    <t>Thanks madam</t>
  </si>
  <si>
    <t>Tqqqq....... Mem plz upload more  topics .........</t>
  </si>
  <si>
    <t>Nice</t>
  </si>
  <si>
    <t>Thanks mem</t>
  </si>
  <si>
    <t>Mam or question  bheje</t>
  </si>
  <si>
    <t>Thank you mam useful question</t>
  </si>
  <si>
    <t>Thank you mem</t>
  </si>
  <si>
    <t>Thanks mam❤️</t>
  </si>
  <si>
    <t>THANK YOU SO SO SO MUCH YOU&amp;#39;RE AMAZING THIS HELPED ME SO MUCH THANK YOUUUUUUUUUUUU</t>
  </si>
  <si>
    <t>Thanks sir _xD83D__xDC4F__xD83D__xDE4F__xD83D__xDC4F__xD83D__xDE0D__xD83D__xDC4F_</t>
  </si>
  <si>
    <t>.._xD83D__xDC4D__xD83D__xDC4D__xD83D__xDC4D__xD83D__xDE0A__xD83D__xDE0A__xD83D__xDC4D__xD83D__xDC4D__xD83D__xDC4D__xD83D__xDE0A__xD83D__xDE0A__xD83D__xDC4D__xD83D__xDC4D__xD83D__xDC4D__xD83D__xDE0A__xD83D__xDE0A__xD83D__xDE0A_</t>
  </si>
  <si>
    <t>Thnq sir</t>
  </si>
  <si>
    <t>Sir ji thank you _xD83D__xDE37__xD83D__xDE37__xD83D__xDE37_   कोरोना का भय</t>
  </si>
  <si>
    <t>Hindi medium  ka apna mhanayk .salute you dear sir_xD83D__xDE4F__xD83D__xDE4F__xD83D__xDE4F__xD83D__xDE4F__xD83D__xDE4F__xD83D__xDE4F__xD83D__xDC4C__xD83D__xDC4C__xD83D__xDC4C__xD83D__xDC4C__xD83D__xDC4C__xD83D__xDC4C__xD83D__xDC4C__xD83D__xDC4C__xD83D__xDC4C__xD83D__xDC4C_</t>
  </si>
  <si>
    <t>Thanks sir</t>
  </si>
  <si>
    <t>Kuki yeh book ma diya hua ha_xD83D__xDE05__xD83D__xDE05_</t>
  </si>
  <si>
    <t>Sir malaria ar dengue to failta ni h to ye communicable desease m kaise aayega?</t>
  </si>
  <si>
    <t>Bahut mast explain krte h  mujhe  to banking exam ka study krna nhi to inhee  se    pura plus course  ke saath study krte.,</t>
  </si>
  <si>
    <t>Itne faltu ki baat kyu karte ho</t>
  </si>
  <si>
    <t>Sir please tell that which mosquito bites and we infected</t>
  </si>
  <si>
    <t>Thankyou _xD83D__xDE02_</t>
  </si>
  <si>
    <t>Starts at &lt;a href="https://www.youtube.com/watch?v=ggOqMncgemw&amp;amp;t=13m25s"&gt;13:25&lt;/a&gt;</t>
  </si>
  <si>
    <t>I just saw this video for quick revision but there is lot of terminology error ... Like in meningitis... It all scripted kind not knowledge</t>
  </si>
  <si>
    <t>Good teaching</t>
  </si>
  <si>
    <t>Yeh padha raha h yaa ad kar raha h ,priyal ma&amp;#39;am acha padhati h ,unacedemy &amp;#39;ki subscription kisi k kaam ayi es vaar upsc mein</t>
  </si>
  <si>
    <t>very nice</t>
  </si>
  <si>
    <t>One thing I notice, all the important topics are in class 10th physical education...</t>
  </si>
  <si>
    <t>I m not understanding hindi a little bit</t>
  </si>
  <si>
    <t>Hello</t>
  </si>
  <si>
    <t>Sir Hindi k saath English ka use b krna tha</t>
  </si>
  <si>
    <t>Sir g savi rogo ke Dawa ke bare me janne ke liye koi book ka name btaiye</t>
  </si>
  <si>
    <t>great sir</t>
  </si>
  <si>
    <t>Great lecture sir</t>
  </si>
  <si>
    <t>Shandar sir</t>
  </si>
  <si>
    <t>Half hour tho bkwas kr li aapne suru me</t>
  </si>
  <si>
    <t>Thank you aap ki series best hai</t>
  </si>
  <si>
    <t>Hlo Sir &lt;br&gt;Sir diabetes wale patient ko to bhookh jyada lagti h or aap kh rhe ho ki km lagti h so confused sir</t>
  </si>
  <si>
    <t>Very very thanku to you sir</t>
  </si>
  <si>
    <t>Jay johar</t>
  </si>
  <si>
    <t>Helpful video _xD83D__xDC4C__xD83C__xDFFB__xD83D__xDC4C__xD83C__xDFFB__xD83D__xDC4C__xD83C__xDFFB__xD83D__xDC4C__xD83C__xDFFB__xD83D__xDC4C__xD83C__xDFFB__xD83D__xDC4C__xD83C__xDFFB__xD83D__xDC4C__xD83C__xDFFB__xD83D__xDC4C__xD83C__xDFFB__xD83D__xDC4C__xD83C__xDFFB__xD83D__xDC4C__xD83C__xDFFB__xD83D__xDC4C__xD83C__xDFFB_</t>
  </si>
  <si>
    <t>Helpful video _xD83D__xDC4C__xD83C__xDFFB__xD83D__xDC4C__xD83C__xDFFB__xD83D__xDC4C__xD83C__xDFFB__xD83D__xDC4C__xD83C__xDFFB__xD83D__xDC4C__xD83C__xDFFB__xD83D__xDC4C__xD83C__xDFFB__xD83D__xDC4C__xD83C__xDFFB__xD83D__xDC4C__xD83C__xDFFB__xD83D__xDC4C__xD83C__xDFFB_</t>
  </si>
  <si>
    <t>starts at &lt;a href="https://www.youtube.com/watch?v=HeOcduRiqyw&amp;amp;t=12m40s"&gt;12:40&lt;/a&gt;</t>
  </si>
  <si>
    <t>Oooowow</t>
  </si>
  <si>
    <t>Yeh</t>
  </si>
  <si>
    <t>simple and easily understandable even to kids</t>
  </si>
  <si>
    <t>Where can we download the graphics?</t>
  </si>
  <si>
    <t>Thanks</t>
  </si>
  <si>
    <t>Ty</t>
  </si>
  <si>
    <t>#2 is at &lt;a href="https://www.youtube.com/watch?v=LBkXQ_mBO3Q&amp;amp;t=1m05s"&gt;1:05&lt;/a&gt;</t>
  </si>
  <si>
    <t>If ur in Mrs zotters class reading this #1 is at &lt;a href="https://www.youtube.com/watch?v=LBkXQ_mBO3Q&amp;amp;t=0m50s"&gt;0:50&lt;/a&gt;</t>
  </si>
  <si>
    <t>What about Solid O2 Hyperbaric oxygen treatments and chambers for immune boosting and infection prevention. See &lt;a href="http://solido2.co.za/"&gt;solido2.co.za&lt;/a&gt;</t>
  </si>
  <si>
    <t>ماذا؟</t>
  </si>
  <si>
    <t>من معهد المحموديه اول دس لايك من عندي  وابلاغ بلكي توب بعد تنشر</t>
  </si>
  <si>
    <t>Corona too but it&amp;#39;s getting more stronger</t>
  </si>
  <si>
    <t>This video is very good.</t>
  </si>
  <si>
    <t>looks like a job on fiverr</t>
  </si>
  <si>
    <t>Thank you it help me to complete my school project</t>
  </si>
  <si>
    <t>no estoy buscando un comentario en español</t>
  </si>
  <si>
    <t>Aquí está el comentario en español que buscabas</t>
  </si>
  <si>
    <t>Thanks for complete  my school project</t>
  </si>
  <si>
    <t>Ya its good</t>
  </si>
  <si>
    <t>Wow</t>
  </si>
  <si>
    <t>Its easy good</t>
  </si>
  <si>
    <t>Good Class</t>
  </si>
  <si>
    <t>Ik!</t>
  </si>
  <si>
    <t>There is One Disease Called COVID - 19</t>
  </si>
  <si>
    <t>No there are 5 types of communicable deasies</t>
  </si>
  <si>
    <t>Excellent information.</t>
  </si>
  <si>
    <t>Hi</t>
  </si>
  <si>
    <t>_xD83E__xDDA0__xD83E__xDDA0__xD83E__xDD9F__xD83E__xDD9F__xD83D__xDD77__xD83D__xDD77__xD83E__xDD97__xD83D__xDC1E__xD83D__xDC1E__xD83D__xDC1D__xD83D__xDC1C__xD83E__xDDA0__xD83E__xDDA0_</t>
  </si>
  <si>
    <t>Hate you ranju thami ma&amp;#39;am</t>
  </si>
  <si>
    <t>Thank you for the great lesson _xD83D__xDE0A_</t>
  </si>
  <si>
    <t>Thank you for this chapter_xD83D__xDE0A_</t>
  </si>
  <si>
    <t>Thank you for ypur lesson</t>
  </si>
  <si>
    <t>Excellent video thank you &lt;br&gt;Jisko bhi asea lagta h wo like kare</t>
  </si>
  <si>
    <t>Thankyou for teaching us</t>
  </si>
  <si>
    <t>This is boring as fuck why my gym teacher got me watching this bull shit</t>
  </si>
  <si>
    <t>Great job....&lt;br&gt;Just saying that ticks aren&amp;#39;t insects they are arachnids</t>
  </si>
  <si>
    <t>covid 19 coranavirus can you save people in the whole world including india</t>
  </si>
  <si>
    <t>so great</t>
  </si>
  <si>
    <t>Am really grateful and thankful for what @dr_ayeye has done for me and my family. I Was having HERPES for good three years with no solution, the disease almost took my life and because I was unable to work and I was also loosing lots of money for  medication,but one faithful day  when I went online, I met lots of testimony about this great man so I decided to  give it a try and to God be the glory he did it. he cured me of my disease and am so happy and so pleased to write about him today. if you need his help or you want way I got mine, just email him below: drayeyeherbalhome88@&lt;a href="http://gmail.com/"&gt;gmail.com&lt;/a&gt; or WhatsApp, +2347067379965 and get your healing. He has cure for other deadly disease like Diabetes Hiv/Aids, Hepatitis of all type of cancer</t>
  </si>
  <si>
    <t>M. Sathwika ✅✅present from 5A</t>
  </si>
  <si>
    <t>Same</t>
  </si>
  <si>
    <t>@Yuktha&amp;#39;s creative life us also but in grade 4 and im currently watching it for our quiz tom</t>
  </si>
  <si>
    <t>MY  TEACHER PLAYED THIS TO THE WHOLE CLASS WE IN 5TH GRADE</t>
  </si>
  <si>
    <t>Nice_xD83D__xDE02_</t>
  </si>
  <si>
    <t>They just watch ur vid for free no subscribers</t>
  </si>
  <si>
    <t>But still understandings</t>
  </si>
  <si>
    <t>I&amp;#39;m in 6th grade</t>
  </si>
  <si>
    <t>Thank you so much sir</t>
  </si>
  <si>
    <t>im in 8th</t>
  </si>
  <si>
    <t>You are to fast to speak</t>
  </si>
  <si>
    <t>Present sir abe sale</t>
  </si>
  <si>
    <t>This will help me alot in my presentation</t>
  </si>
  <si>
    <t>Good explanation thanku</t>
  </si>
  <si>
    <t>Outline the primary strategy for communicable disease?</t>
  </si>
  <si>
    <t>Good explanation</t>
  </si>
  <si>
    <t>A very nice information about communicable diseases and i learn a lot of things.</t>
  </si>
  <si>
    <t>mans sounds like one of those airline hosts</t>
  </si>
  <si>
    <t>Me commenting in 2021 be like:</t>
  </si>
  <si>
    <t>Same :p</t>
  </si>
  <si>
    <t>I  am watching this video in 2021 _xD83D__xDE01__xD83D__xDE0E_</t>
  </si>
  <si>
    <t>Thank you sir it will help me in my science</t>
  </si>
  <si>
    <t>Thank you for this detailed and informative video.  It is age appropriate and my students will benefit tremendously from it!</t>
  </si>
  <si>
    <t>good video</t>
  </si>
  <si>
    <t>Thanks Bro</t>
  </si>
  <si>
    <t>Very nice _xD83D__xDC4C_ video and information</t>
  </si>
  <si>
    <t>In the book it was stated that vector-borne diseases ate indirect, and droplet transmission is a direct transmission. Which is which?</t>
  </si>
  <si>
    <t>Is fever a communicable disease?</t>
  </si>
  <si>
    <t>Who ever thought Dr osunma herbs can cure my 8 months hsv2,,I finally got rid of it with herbal product I got from Dr osunma on YouTube.</t>
  </si>
  <si>
    <t>God still answers prayers,,I cant believe am negative to herpes virus. I was able to beat it down with the help of Dr osunma on YouTube, his healing herbs works fast for diseases,,don&amp;#39;t waste time on hospital medications that won&amp;#39;t work,,visit him on his YouTube channel</t>
  </si>
  <si>
    <t>In 2010, I went to a local hospital in Hagerstown, Maryland with stomach issues. I was later transferred to a large hospital in Baltimore after developing jaundice. There, I learned that there was a tumor blocking my liver duct—the cause of the stomach distress—and that I had Stage 3 pancreatic cancer. I had no prior family history of the disease and was only 44-years-old at the time of diagnosis. I tried so many treatment but still no change, until a friend of mine told me about Dr Harvey, he told me how Dr Harvey cured his uncle with his Herbal Products and suggested I contact him ,so I quickly contacted him and explained everything to him and he assured me that his Herbal Products  will cure me which I strongly believed ,so I purchased it and he told me  how to use it which I did , after some time I Started noticing some Changes in my body after 30 days I went for a test and to my greatest surprise the result was negative, Wow I’m so happy about this, thank you so much Dr Harvey. you can also contact Dr Harvey on VIA EMAIL: (Drharveyphytotherapy@yahoo.com)&lt;br&gt;WHATSAPP:+16785689096</t>
  </si>
  <si>
    <t>_xD83D__xDE97__xD83D__xDCA8_ brooooooooom</t>
  </si>
  <si>
    <t>_xD83E__xDD14_</t>
  </si>
  <si>
    <t>Thank you for a brief but clear explanation.</t>
  </si>
  <si>
    <t>Living with a virus for eternity is something you need to sit down and think.  There is a cure for any type of virus and diseases.  So why listen to people who will discourage you and not give you cure.  Alternative cure for any type of virus, diseases and STDS available.  &lt;br&gt;1;  HSV1 and HSV2&lt;br&gt; 2;  Lupus diseases&lt;br&gt; 3;  Cancer &lt;br&gt;4; Human Papilloma virus (HPV) &lt;br&gt;5;  Crohn&amp;#39;s diseases &lt;br&gt;6;  Diabetes &lt;br&gt;7;  Sickle Cell Arnamia &lt;br&gt;8;  Herpes &lt;br&gt;9;  HIV &lt;br&gt;10; Neratitis &lt;br&gt;11; Hepatitis&lt;br&gt;12; Pile&lt;br&gt; for any health issues Contact Doctor akhigbe for help in ridding out your problem.  WhatsApp &lt;br&gt;+2349046230269</t>
  </si>
  <si>
    <t>Good information about communicable diseases</t>
  </si>
  <si>
    <t>This is so useful that my daughter said that her school used it for an explanation. _xD83D__xDCAF__xD83D__xDCAF__xD83D__xDCAF_</t>
  </si>
  <si>
    <t>Dr. Ehimare on YouTube Herbal treatment is 100% guaranteed to cure HSV2, the reason why most people find it difficult to cure HSV2 is because they believe in the medical report, the drugs and the  medical treatment that is not helpful in curing HSV.  Natural roots and herbs are the best remedy that can easily eradicate herpes for good.  For more information on herpes cure, write to Dr. EHIMARE for any health challenge @ dr.ehimare on YouTube.  email: drehimareherbalremedyhome22@&lt;a href="http://gmail.com/"&gt;gmail.com&lt;/a&gt; or WhatsApp +2349027349748 ...&lt;br&gt; &lt;a href="https://m.facebook.com/Dr-Ehimare-486420321924941"&gt;https://m.facebook.com/Dr-Ehimare-486420321924941&lt;/a&gt;</t>
  </si>
  <si>
    <t>i have to write an essay on this so im upset, but its a good video.</t>
  </si>
  <si>
    <t>@XD GAMER and your name is xd gamer LMAOOO :/</t>
  </si>
  <si>
    <t>Adam thanks so much for the support mate (and for leaving us a comment it really helps the vids get seen) - appreciate it so much! Good luck with all your work too _xD83D__xDE4C_</t>
  </si>
  <si>
    <t>You suck buddyyyyyyyyyyyy</t>
  </si>
  <si>
    <t>ur a legend you know that</t>
  </si>
  <si>
    <t>Thanks for your comment and support!!</t>
  </si>
  <si>
    <t>Thank you for these videos!</t>
  </si>
  <si>
    <t>i bet you didnt sub though</t>
  </si>
  <si>
    <t>Perfect Video. This channell deserves more subscribers.</t>
  </si>
  <si>
    <t>Uh o stinky</t>
  </si>
  <si>
    <t>That’s true your stinkyyyyyyy</t>
  </si>
  <si>
    <t>Banana king is stinky</t>
  </si>
  <si>
    <t>Subscribe to rednaxela aka me. Please I am very poor. :(. I also need friends</t>
  </si>
  <si>
    <t>Hellioooo</t>
  </si>
  <si>
    <t>Ya boi</t>
  </si>
  <si>
    <t>Really</t>
  </si>
  <si>
    <t>Uh o Stinkyyyyyyyyyy</t>
  </si>
  <si>
    <t>Yas</t>
  </si>
  <si>
    <t>Ethan Close hi</t>
  </si>
  <si>
    <t>Hi people</t>
  </si>
  <si>
    <t>Your videos are so helpful! Thanks so much. :)</t>
  </si>
  <si>
    <t>same here</t>
  </si>
  <si>
    <t>Hi&lt;br&gt;Do you interested to know the smart way to supplement Your diet easily with traditional Indian herbs  to build optimal immunity in this pandemic time.. DM me.</t>
  </si>
  <si>
    <t>@Samir Das sort out ur grammar</t>
  </si>
  <si>
    <t>well it&amp;#39;s been almost two years since this video was posted but apparently we have to watch it for school. So here we are.</t>
  </si>
  <si>
    <t>Walruses are famous alchoholics and smokers</t>
  </si>
  <si>
    <t>Why did the baby turn into a walrus because it had health problems...?</t>
  </si>
  <si>
    <t>LiuLife Healthy Habits App helps you Live Better, Live Longer. Join the movement, &lt;br&gt;download at &lt;a href="http://liulife.org/"&gt;http://liulife.org/&lt;/a&gt;</t>
  </si>
  <si>
    <t>At &lt;a href="https://www.youtube.com/watch?v=iy-47a68P60&amp;amp;t=2m41s"&gt;2:41&lt;/a&gt; it was talking about how one person can catch a disease and most likely affect the whole nation, well here we are in corona virus!</t>
  </si>
  <si>
    <t>I am the eggman... They are the eggman.......... I AM THE WALRUS! COO COO CACHOO!</t>
  </si>
  <si>
    <t>I never knew walruses drink and smoke lol</t>
  </si>
  <si>
    <t>No one&amp;#39;s gunna talk about the baby&amp;#39;s health problems: Become ✍walrus ✍</t>
  </si>
  <si>
    <t>kids</t>
  </si>
  <si>
    <t>who else is here for school?</t>
  </si>
  <si>
    <t>Here from class&lt;br&gt;Clue: parents evening is today</t>
  </si>
  <si>
    <t>Hi&lt;br&gt;Do you interested to know the smart way to supplement Your diet easily with traditional Indian hers  to build optimal immunity in this pandemic time.. DM me.</t>
  </si>
  <si>
    <t>That&amp;#39;s awesome to hear GM, glad you&amp;#39;re enjoying them _xD83E__xDD29_</t>
  </si>
  <si>
    <t>I can watch your videos whole day without getting bored you are the one who make me like to learn bio</t>
  </si>
  <si>
    <t>&lt;a href="https://www.youtube.com/watch?v=iy-47a68P60&amp;amp;t=3m33s"&gt;3:33&lt;/a&gt; use america s an example for obesity</t>
  </si>
  <si>
    <t>Their really ill ( got chopped in half ) ha</t>
  </si>
  <si>
    <t>Ah that&amp;#39;s great, glad you&amp;#39;re enjoying them _xD83D__xDE0A_</t>
  </si>
  <si>
    <t>I have been binge watching these videos all evening, such a chill way to revise</t>
  </si>
  <si>
    <t>Coviddddd19</t>
  </si>
  <si>
    <t>cool</t>
  </si>
  <si>
    <t>COOL</t>
  </si>
  <si>
    <t>Great job!</t>
  </si>
  <si>
    <t>Hi everyone from Mrs. Cochrans class</t>
  </si>
  <si>
    <t>no im here from mr berkovitz</t>
  </si>
  <si>
    <t>Hi everyone from Mrs. Claudia classsss</t>
  </si>
  <si>
    <t>wuts up</t>
  </si>
  <si>
    <t>@Laryssa Olson go then bruh</t>
  </si>
  <si>
    <t>@Laryssa Olson pee ur pants just to prove a point</t>
  </si>
  <si>
    <t>@Laryssa Olson u better get that checked out</t>
  </si>
  <si>
    <t>@Laryssa Olson;)))))</t>
  </si>
  <si>
    <t>@Laryssa Olson bruh u rly think i got one</t>
  </si>
  <si>
    <t>@Petra Anderson i have to piss my pants</t>
  </si>
  <si>
    <t>hes unna say no lmao, i might acatully pee tho</t>
  </si>
  <si>
    <t>@Petra Anderson no ill do a &amp;quot;ra ta da da HAHAHAH</t>
  </si>
  <si>
    <t>@Petra Anderson i have cooties if u know what i mean</t>
  </si>
  <si>
    <t>@Petra Anderson NO I WANT COOTIES</t>
  </si>
  <si>
    <t>@Petra Anderson who is yo man atm????</t>
  </si>
  <si>
    <t>@Petra Anderson HHAHHAAHAH you nvr know</t>
  </si>
  <si>
    <t>petraaaaaaaa</t>
  </si>
  <si>
    <t>Me</t>
  </si>
  <si>
    <t>So who want to play roblox</t>
  </si>
  <si>
    <t>:(</t>
  </si>
  <si>
    <t>And now there’s the COVID-19 Pandemic</t>
  </si>
  <si>
    <t>@kai fite yes, did you see the virus picture that looked a little bit like corona virus?&lt;br&gt;creepy</t>
  </si>
  <si>
    <t>same lmao</t>
  </si>
  <si>
    <t>same dude</t>
  </si>
  <si>
    <t>Same it’s pissing me off</t>
  </si>
  <si>
    <t>yeah me too this is boring</t>
  </si>
  <si>
    <t>yep</t>
  </si>
  <si>
    <t>same bro it sucks</t>
  </si>
  <si>
    <t>Same here bro</t>
  </si>
  <si>
    <t>@SERENA SPENCER Yeah, the Corona &lt;b&gt;&lt;i&gt;VIRUS&lt;/i&gt;&lt;/b&gt; looks like a &lt;b&gt;&lt;i&gt;VIRUS.&lt;/i&gt;&lt;/b&gt; Who would&amp;#39;ve thought.</t>
  </si>
  <si>
    <t>same! I&amp;#39;m glad that I was able to watch this halpful video :)  Did you guys come from Methodschools?</t>
  </si>
  <si>
    <t>Bro im just watching this because of online classes</t>
  </si>
  <si>
    <t>Me too</t>
  </si>
  <si>
    <t>Ong this shit boring asf_xD83E__xDD26__xD83C__xDFFD_‍♂️_xD83D__xDE2D_</t>
  </si>
  <si>
    <t>online classes sent me here like tf i dont wanna be hereeeee</t>
  </si>
  <si>
    <t>Hi everyone from coach Thornton class_xD83D__xDCAF_</t>
  </si>
  <si>
    <t>guinea worms are dead lets go &lt;a href="https://www.youtube.com/watch?v=8nOuAUfXjzQ"&gt;https://www.youtube.com/watch?v=8nOuAUfXjzQ&lt;/a&gt;</t>
  </si>
  <si>
    <t>sup mr.k health class</t>
  </si>
  <si>
    <t>Mr Copper anyone??</t>
  </si>
  <si>
    <t>&lt;a href="https://www.youtube.com/watch?v=vpEAos0blyw&amp;amp;t=12m33s"&gt;12:33&lt;/a&gt; We&amp;#39;re experts on that already, unfortunatley.</t>
  </si>
  <si>
    <t>Thank you for the helpful video!</t>
  </si>
  <si>
    <t>Is it just me or does her voice pierce your skull?</t>
  </si>
  <si>
    <t>anyone else doing method health last minute</t>
  </si>
  <si>
    <t>Oh so we all just here from online classes</t>
  </si>
  <si>
    <t>you forgot a disease it is called COVID19</t>
  </si>
  <si>
    <t>There is permanent cure for herpes virus medicine I got from Dr oseigba mercy, this man has great herbal supplement to treat hsv. 1&amp;amp;2.... Contact him via email..drharrymercy@&lt;a href="http://gmail.com/"&gt;gmail.com&lt;/a&gt; or whatsap +2348141659546</t>
  </si>
  <si>
    <t>_xD83D__xDE08_</t>
  </si>
  <si>
    <t>&lt;a href="https://www.youtube.com/watch?v=vpEAos0blyw&amp;amp;t=5m18s"&gt;5:18&lt;/a&gt; yo why she gotta say it like &amp;quot;fun-jie&amp;quot;</t>
  </si>
  <si>
    <t>Health class?</t>
  </si>
  <si>
    <t>I just read the comments because I want help to take notes then I realised that everyone needs help here</t>
  </si>
  <si>
    <t>&lt;a href="https://www.youtube.com/watch?v=vpEAos0blyw&amp;amp;t=5m24s"&gt;5:24&lt;/a&gt; it is fungi not fun+jie</t>
  </si>
  <si>
    <t>Not happy</t>
  </si>
  <si>
    <t>Covid xD</t>
  </si>
  <si>
    <t>im in the comments because i do not want visuals</t>
  </si>
  <si>
    <t>SAAAME</t>
  </si>
  <si>
    <t>my health teacher sent me here.</t>
  </si>
  <si>
    <t>Weiner</t>
  </si>
  <si>
    <t>&lt;a href="https://youtu.be/ar2UyGn27RU"&gt;https://youtu.be/ar2UyGn27RU&lt;/a&gt;</t>
  </si>
  <si>
    <t>wow you actually did it  -Charles</t>
  </si>
  <si>
    <t>hello, Mr. Workmans class, I know you are here.</t>
  </si>
  <si>
    <t>&amp;quot;Pandemic&amp;quot;&lt;br&gt;&lt;b&gt;Me living in 2020 and 2021&lt;/b&gt; : Don&amp;#39;t remind me-</t>
  </si>
  <si>
    <t>Bro this is confusing ndndkdnndbsns you explained it well though</t>
  </si>
  <si>
    <t>I’m here cos of online classes</t>
  </si>
  <si>
    <t>i&amp;#39;m only here because of online classes</t>
  </si>
  <si>
    <t>So I guess we are all here because of online school.</t>
  </si>
  <si>
    <t>&lt;a href="https://www.youtube.com/watch?v=vpEAos0blyw&amp;amp;t=0m16s"&gt;0:16&lt;/a&gt; what is that mans face</t>
  </si>
  <si>
    <t>Herbal Medication is the Best solution to most health Issues , especially &lt;br&gt;viral sickness ,, I know of a great Professional herbal Doctor who cured me &lt;br&gt;from these same sickness ,, he specialised in Herbal medicines for any kind &lt;br&gt;of Viruses And Disease&amp;#39;s . Why not give natural medicine a try today. by &lt;br&gt;Contacting DR  ALAKA ON YOUTUBE.</t>
  </si>
  <si>
    <t>I just Wana express my gratitude to Doctor Salami on his  contact him on Instagram salami_healing_herbs check that up on Instagram. for curing my Heart disease. All thanks to Dr.Salami.</t>
  </si>
  <si>
    <t>The elites are releasing man made diseases  on the people of the Solomon islands facts smdh!</t>
  </si>
  <si>
    <t>Hope all people around the world healthy and get a heatlhcare</t>
  </si>
  <si>
    <t>No World health organization &lt;br&gt;Yes China Health Organization</t>
  </si>
  <si>
    <t>India is under covid attack now. _xD83D__xDE07__xD83D__xDE07__xD83D__xDE07_ Not only Covid-19 but also face with its consequences such as : trauma, PTSD, complicated grief, melancholic depression, stressors, suicidal thoughts , poverty, hopelessness, jobless , etc.&lt;br&gt;WPA should play the important roles to deal with it as soon as possible. &lt;br&gt;Public Mental health in India is at risk and under covid attack from day to day. _xD83D__xDE07__xD83D__xDE07__xD83D__xDE07_</t>
  </si>
  <si>
    <t>चीन का चाटुकार डब्ल्यूएचओ</t>
  </si>
  <si>
    <t>WHO chinese puppet</t>
  </si>
  <si>
    <t>keep up the good work, we need all the help we can hopefully everyone around the world gets the help they need for this pandemic and possibly other more dangerous illnesses after this one is under control one day around the entire world, and countries</t>
  </si>
  <si>
    <t>يعمرييييي يا جدتي_xD83D__xDE0D__xD83D__xDE0D_</t>
  </si>
  <si>
    <t>.</t>
  </si>
  <si>
    <t>nice</t>
  </si>
  <si>
    <t>hi</t>
  </si>
  <si>
    <t>watching this for skewl :&amp;gt;</t>
  </si>
  <si>
    <t>chicken</t>
  </si>
  <si>
    <t>woah online school</t>
  </si>
  <si>
    <t>yvanna Pulido beb~</t>
  </si>
  <si>
    <t>yvanna Pulido yayyayay</t>
  </si>
  <si>
    <t>@Samantha Dela Pena sammy</t>
  </si>
  <si>
    <t>yyaayaayaayayaya</t>
  </si>
  <si>
    <t>ayaayayaaayyayayayya</t>
  </si>
  <si>
    <t>nezuko chaaaaaaaaaaaaaaaaaaaannnnnn</t>
  </si>
  <si>
    <t>Wew</t>
  </si>
  <si>
    <t>I love you mam plz ggive me ur number</t>
  </si>
  <si>
    <t>It&amp;#39;s my pleasure.... Please Subscribe To Our Channel - &lt;a href="https://bit.ly/32j1Zq1"&gt;https://bit.ly/32j1Zq1&lt;/a&gt;</t>
  </si>
  <si>
    <t>Thanks for making such a good Knowledge Video.</t>
  </si>
  <si>
    <t>Most welcome....We will be thankful if you can share the same with your friends and colleagues</t>
  </si>
  <si>
    <t>Thank you nice vedio</t>
  </si>
  <si>
    <t>Thenk you sir _xD83D__xDC9E_</t>
  </si>
  <si>
    <t>Ys sir p ceutical aur hap dono</t>
  </si>
  <si>
    <t>Sir ji pharmacuetical chemistry or pada do..</t>
  </si>
  <si>
    <t>Sir .compatative basis kuch batao ..plz</t>
  </si>
  <si>
    <t>Sir plesase teach Hap 1 chapter Brain and spinal coard mean CNS</t>
  </si>
  <si>
    <t>Plz sir _xD83D__xDE4F__xD83D__xDE4F__xD83D__xDE4F__xD83D__xDE4F__xD83D__xDE4F_</t>
  </si>
  <si>
    <t>Dear student !&lt;br&gt;Now you can easily download the pdf notes based on Anurag sir lectures from our website.&lt;br&gt;&lt;br&gt;&lt;a href="http://www.kclpharmacy.com/"&gt;www.kclpharmacy.com&lt;/a&gt;&lt;br&gt;&lt;br&gt;If there is any difficulty in downloading notes then watch this video how to download....&lt;br&gt;&lt;br&gt;&lt;a href="https://youtu.be/sWTtD-aE-q8"&gt;https://youtu.be/sWTtD-aE-q8&lt;/a&gt;&lt;br&gt;&lt;br&gt;For latest updates stay connected with us join our page.&lt;br&gt;&lt;br&gt;&lt;a href="https://www.facebook.com/kclpharmacy/"&gt;https://www.facebook.com/kclpharmacy/&lt;/a&gt;&lt;br&gt;&lt;br&gt;Thank you&lt;br&gt;_xD83D__xDE4F__xD83D__xDE4F__xD83D__xDE4F__xD83D__xDE0A_</t>
  </si>
  <si>
    <t>Sir please send me the D.Pharm 1st Year HECP- Epidemiology notes</t>
  </si>
  <si>
    <t>tnx.ser</t>
  </si>
  <si>
    <t>Sir 4th sem. Cognosy ka video bnaiye</t>
  </si>
  <si>
    <t>Bahut bahut sukriya sir ji</t>
  </si>
  <si>
    <t>Treatment h&lt;br&gt;Usse cure nhi hota&lt;br&gt;Wo bhi jb 1st stage me h to</t>
  </si>
  <si>
    <t>Sir cancer lielez bimari h to phir antineoplastic drug ka use ku kia jata h</t>
  </si>
  <si>
    <t>Ab kaise kre</t>
  </si>
  <si>
    <t>@Kcl Tutorials plz sir plz kr do only organic aur biochemistry k k kr do ya important topic kr do sir</t>
  </si>
  <si>
    <t>Are malik uploaded h</t>
  </si>
  <si>
    <t>Sir 4 aur 5unit k nhi hai</t>
  </si>
  <si>
    <t>Sir 2nd sem ki vedio upload kr do b pharma ki</t>
  </si>
  <si>
    <t>Jai Ho prabhu</t>
  </si>
  <si>
    <t>Thank you sir</t>
  </si>
  <si>
    <t>Love you so much bhai _xD83D__xDE18_</t>
  </si>
  <si>
    <t>June</t>
  </si>
  <si>
    <t>@Kcl Tutorials thanks sir</t>
  </si>
  <si>
    <t>Sir d. Pharma 1st year xam (up) ka kb ho skta h</t>
  </si>
  <si>
    <t>Thanks sir&lt;br&gt;&lt;br&gt;Sir pharmacognosy ke marphology and microscopy pada digiye</t>
  </si>
  <si>
    <t>धन्यवाद सर</t>
  </si>
  <si>
    <t>Sir, chapter epidemiology ka Video upload kar dijiyega</t>
  </si>
  <si>
    <t>آسف عزيزي في الواقع الآن أيام نحن الشعوب مشغولون للغاية في المستشفيات بسبب الهالة</t>
  </si>
  <si>
    <t>Sir plz epidemiology or demography k uper video Bana dijiye</t>
  </si>
  <si>
    <t>Man laga kar</t>
  </si>
  <si>
    <t>Sir Aiims (Pharmacist) ka kaise taiyari kre , please btaye</t>
  </si>
  <si>
    <t>Thankyou sir</t>
  </si>
  <si>
    <t>Han</t>
  </si>
  <si>
    <t>@Kcl Tutorials ok sir</t>
  </si>
  <si>
    <t>Sir kya ap ne jo description me links diya hai o links, D,phorma. 1st year sallybush me  important h</t>
  </si>
  <si>
    <t>HECP pure syllabus par mcqs chahiye pharmacist exam preparation ke liye</t>
  </si>
  <si>
    <t>Ji upload kr rha hu&lt;br&gt;Ek part hua</t>
  </si>
  <si>
    <t>Sir epidemiology par vedio banaiye sir</t>
  </si>
  <si>
    <t>Sir mujhe B.pharm ke notes chahiye..</t>
  </si>
  <si>
    <t>Good</t>
  </si>
  <si>
    <t>Sbse phle google me ha ik uska pci list me nam dekh lena</t>
  </si>
  <si>
    <t>Sir d pharma me admission lena hai kase pta kare ki college froud nhi hai kyoki mere ek friend frod college me fas gya PLZZ help sir</t>
  </si>
  <si>
    <t>sir chaptet 10 kaha hai</t>
  </si>
  <si>
    <t>Thank you, for the explanation. This video is very useful</t>
  </si>
  <si>
    <t>This is awesome , great work.</t>
  </si>
  <si>
    <t>Vinaka vakalevu.....God bless you as you continuously spred the word for good health.</t>
  </si>
  <si>
    <t>agreed. Stop growing the Sugar cane the Brits wanted you to farm, and go back to growing local indigenous herbs. Reclaim your medical traditions! It will serve Fiji well, and it can be very fun and rewarding to reclaim your culture and values. Holistic medicine is the way forward. Get the population to tend towards the Keto diet or at least the paleo diet. Decrease carbs and increase good fats like coconut oil.</t>
  </si>
  <si>
    <t>Pacific people are eating wrong foods - Must eat home grown.....</t>
  </si>
  <si>
    <t>I thoroughly enjoyed your talk,it is very informative and enlightening.&lt;br&gt;The statistics is shocking,though.&lt;br&gt;I would like to know if there are any programmes in Fiji,that is addressing or educating our people,to introduce a different lifestyle change which is healthier holistically.&lt;br&gt;I do hope that something is being initiated and implimented,because it sounds like that there is an urgent need.</t>
  </si>
  <si>
    <t>Thank you for raising this important issue Dr Jone. Totally in support of the holistic wellness approach and wish we saw this incorporated in our health education curriculum in schools from Year 1 to 13!</t>
  </si>
  <si>
    <t>Easy on him &amp;#39;cause he&amp;#39;s in to something. What we need is someone from the inside to come out and help to inform people that they can heal themselves without big pharma.</t>
  </si>
  <si>
    <t>Your comment underlies the fear about the big pharma for those who comes out with any cure outside of chemical approach.</t>
  </si>
  <si>
    <t>Hear this, according to:&lt;br&gt;&lt;br&gt;An Account of the Natives&lt;br&gt;of the Tonga Islands, in the South Pacific Ocean by William Mariner , John Martin, Published 1827 &lt;br&gt;&lt;br&gt;Tongans traveled to Fiji to learn surgery. The author put forth his opinion as the Fijians had plenty of practice on wounded and dead bodies from numerous and ongoing skirmishes and wars among the indigenous themselves and against foreigners(most notably Tongans). It must&amp;#39;ve been a well established institution well before the European arrival.</t>
  </si>
  <si>
    <t>Sorry Jone, this may put your career in jeopardy...allow me to add one thing......aim to avoid allopathic medication(only treatment but not total cure). &amp;#39;Ofa atu</t>
  </si>
  <si>
    <t>Thank you for this TED Talk! People these days seem to forget that stress DOES affect their health and absolutely makes them more vulnerable to disease.</t>
  </si>
  <si>
    <t>Thank you so much for this! This should be shared amongst all</t>
  </si>
  <si>
    <t>Vinaka ....its true</t>
  </si>
  <si>
    <t>Vinaka Doc!</t>
  </si>
  <si>
    <t>I agree with heart meditation 101% .Pacific people should also go vegan,  avoid meat and dairy since the Pacific culture is full of meat at any given occasion</t>
  </si>
  <si>
    <t>the book of genesis tells us what  our diet should be..our meat should be fruit and vegetables..what we now call meat the bible calls flesh..we decided to follow the white man&amp;#39;s diet..</t>
  </si>
  <si>
    <t>Yes Vuniwai....this is the message for today !</t>
  </si>
  <si>
    <t>Diabetic rage - when the toxins in the blood are too much, and the brain and heart and other organs get agitated. Road rage is a symptom of diabetic rage, which is a symptom of too much sugar in the diet, and other toxins like heavy metals from the volcanic soil. Fix the diet. Remove the toxins, eliminate any nutrient deficiencies. These are the simple principles of functional medicine in the west, holistic medicine in Chinese and Ayurvedic Indian medicine, and the foundation of all natural holistic medicines, which are in non-alignment with reductionist medicine, which promotes drugs and surgery like a care with replaceable parts. Humans are not cars with replaceable parts. Humans are alive, and in balance with nature, or out of balance with nature in the case of false reductionist philosophies. Also, go easy on the kava drinking :-) Bula! Best wishes from America :-)</t>
  </si>
  <si>
    <t>Good talk doc! Mind over matter, and persistence will pay off! Interesting to listen to,</t>
  </si>
  <si>
    <t>Thank you!</t>
  </si>
  <si>
    <t>Wonderful analysis and strategy! Thank you.</t>
  </si>
  <si>
    <t>I thoroughly enjoyed this wonderful talk!</t>
  </si>
  <si>
    <t>Ayurveda &amp;amp; Yoga = TOTAL HEALING _xD83D__xDD4A_</t>
  </si>
  <si>
    <t>I was suffering from herpes Virus, i was totally depressed due to my predicament , until i meet Dr okosun on YouTube the great Traditional healer who cured me with his herbal medication. &lt;br&gt;His whatsapp +2348124363791</t>
  </si>
  <si>
    <t>Thank u</t>
  </si>
  <si>
    <t>Same here, this was a too generic video, no conceptual clarity was there!</t>
  </si>
  <si>
    <t>Was expecting more detailed explanation</t>
  </si>
  <si>
    <t>DNNAYVAAD SIR APKA _xD83D__xDC4D_ _xD83D__xDC4D_ _xD83D__xDC4D_</t>
  </si>
  <si>
    <t>Aids cannot be contracted through saliva.</t>
  </si>
  <si>
    <t>Thanks sir ji. This vedio is very much informative.</t>
  </si>
  <si>
    <t>As far as i know AIDS might not be communicable disease.</t>
  </si>
  <si>
    <t>Know the AIDS transfusion or how it gets transmitted and ur confusion will get clear.</t>
  </si>
  <si>
    <t>@&lt;a href="https://www.youtube.com/watch?v=5Q411ntL0jQ&amp;amp;t=03m54s"&gt;03:54&lt;/a&gt;, if AIDS is a communicable disease then why do we see so many government ads saying that please don&amp;#39;t discriminate and avoid a HIV+ patient ! No need to fear of your colleague in office if he  has AIDS, you won&amp;#39;t get it etc etc?</t>
  </si>
  <si>
    <t>Noncommunicable diseases (NCDs) kill 41 million people each year, equivalent to 71% of all deaths globally.....By WHO ... Very helpful lecture....✍️_xD83D__xDE4F_</t>
  </si>
  <si>
    <t>It is easy but non communicable is so hard</t>
  </si>
  <si>
    <t>Super sir bhut acha samjaya</t>
  </si>
  <si>
    <t>Dmrt ke bare me kuch bto sir basic kuch pls</t>
  </si>
  <si>
    <t>Nice vedio buddy like your vedio</t>
  </si>
  <si>
    <t>Plzz sir paid batch maay add krooo</t>
  </si>
  <si>
    <t>Covid 19 is example of contagious</t>
  </si>
  <si>
    <t>Why non communicable  Disease is more dangerous then communicable  disease why?</t>
  </si>
  <si>
    <t>Wow no one commented after 9 years</t>
  </si>
  <si>
    <t>this is alarming for the Pacific countries. NCD keeps on raising</t>
  </si>
  <si>
    <t>You&amp;#39;re welcome!</t>
  </si>
  <si>
    <t>Thank you &amp;lt;3</t>
  </si>
  <si>
    <t>You&amp;#39;re welcome, happy to help!</t>
  </si>
  <si>
    <t>@emmatheteachie _xD83D__xDE01__xD83D__xDE01_</t>
  </si>
  <si>
    <t>Thatnk you</t>
  </si>
  <si>
    <t>You&amp;#39;re very welcome!</t>
  </si>
  <si>
    <t>Thanks :)))))</t>
  </si>
  <si>
    <t>cheers lad</t>
  </si>
  <si>
    <t>No problem Rhea :)</t>
  </si>
  <si>
    <t>@emmatheteachie _xD83D__xDE0A_</t>
  </si>
  <si>
    <t>Thank you so much !!!!</t>
  </si>
  <si>
    <t>They can&amp;#39;t magically turn it off. We can slowly stop it by wearing masks.</t>
  </si>
  <si>
    <t>@Andrew Calabrese I guess so because it protects you</t>
  </si>
  <si>
    <t>@Little Damn Brittany : ))</t>
  </si>
  <si>
    <t>@Richard Kambinda well it&amp;#39;s true tho</t>
  </si>
  <si>
    <t>You guys need to end the pandemic now</t>
  </si>
  <si>
    <t>&amp;quot;Every generation has a higher purpose. Ours is stay home.&amp;quot;&lt;br&gt;&lt;br&gt;NO, OURS IS EXPOSE THE REAL INTENTIONS OF ANY KIND OF MAINSTREAM MEDIA AND ORGANIZATION THAT INTENTS TO DICTATE HOW HUMANS SHOULD LIVE. &lt;br&gt;&lt;br&gt;STAY HOME YOU GUYS FROM WHO! YOU ARE ONE OF THE WORST CANCERS OF THIS PLANET!</t>
  </si>
  <si>
    <t>Snakes, rot in hell.</t>
  </si>
  <si>
    <t>Thank you so much! I love these talks. Especially the ones with Dr. Ryan and Dr. Maria : )</t>
  </si>
  <si>
    <t>How&amp;#39;s the vaccine derived polio thing going?</t>
  </si>
  <si>
    <t>Sharing, Justice and Peace for All.</t>
  </si>
  <si>
    <t>Herbal Penis Enlargement product is 100% guarantee to Enlarge and get a better ERECTION, contact Doctor Otors via whatsapp +12134191563. I was also having the problem with small penis and I don&amp;#39;t last long on sex. But since I met doctor Otors my marital problem was solved. Me and my wife are happily together now_xD83E__xDD70_. &lt;br&gt; The reason why most people are finding it difficult to enlarge Penis is because they believe on medical report, drugs and medical treatment which is not helpful for Penis Enlargement . Natural roots/herbs are the best remedy which can easily Enlarge your Penis permanently. &lt;br&gt;Contact Dr Otors for remedy if you got problem with your private organs or health problems and thank me later_xD83E__xDD17_ via WhatsApp: +12134191563 Or you can also visit his Facebook page@Dr Otors</t>
  </si>
  <si>
    <t>+</t>
  </si>
  <si>
    <t>&lt;b&gt;GIVEN THAT:&lt;/b&gt;&lt;br&gt;&lt;br&gt;○ COVID-19: ...20% patients are symptomatic (of which, some 4% may either CPAP ventilation or further Critical Care intervention with corticosteroids at the very list). &lt;br&gt;● NCD&amp;#39;s: ...at least 15% of people suffer from a non-communicable disease. They may be nutritional, but also congenital; but, a growing number of NCD&amp;#39;s are chronic and inflammatory in nature; and, the trend has been that chronic inflammatory conditions were generally stereotyped as &amp;quot;diseases of old-age&amp;quot;. However, the &amp;#39;BlueZones&amp;#39; and the grew number of obese middle-aged (or, younger) individuals have since cast doubt on this thesis. Needless to say, heart disease &amp;amp; metabolic syndrome is not merely a whitecollar [male] disease. Moreover, irrespective of gender, age, race and even lifestyle, ...it is understood that 0.3-5% of individuals are born with some sort of predisposition to, at least, epigenetic mutations &amp;amp; anatomico-physiological peculiarities. &lt;br&gt;&lt;br&gt;○ COVID-19: ...if COVID, then ``¿Cytokine storm`` on reinfection_xD83E__xDD14_&lt;br&gt;● NCD&amp;#39;s: ...if allergen§ (e.g., milk or bee-sting), then ¿lactose intolerance, ¿senile cataracts, ¿osteoporosis, ¿-leukemia or jUst anaphylactic shock on the 2nd exposure_xD83E__xDD14_.&lt;br&gt;&lt;br&gt;&lt;b&gt;Qn: with all this talk of COVID-19 and this &amp;quot;new buzzword&amp;quot; called &amp;#39;co-morbidities&amp;#39;, are we seeing:&lt;/b&gt;&lt;br&gt;&lt;br&gt;A. correlation, &lt;br&gt;B. causation,&lt;br&gt;C. or, two phenomena superimposed...one upon the other...with the pandemic, itself, either disrupting routine HealthCare AND/OR accelerating nosological factors intrinsic to both itself and pathologies intrinsic to at-risk groups with comorbities comprising of NCD&amp;#39;s such as Metabolic Syndrome and/or chronic inflammatory conditions that my result from aetiologies arising out of the Communicable or Non-communicable set of diseases; ¿-favourable  (i.e., &amp;quot;synergistic&amp;quot;) conditions that enhance nearly all attributes pertaining to the outbreak evolution of the coUrse of the pandemic...across the globe&lt;br&gt;&lt;br&gt;&lt;b&gt;..IN THIS PANDEMIC_xD83E__xDD14__xD83D__xDD0D__xD83D__xDD0D__xD83D__xDD0D_???&lt;/b&gt;</t>
  </si>
  <si>
    <t>Pl.sir Mr. Beast live momey its true.</t>
  </si>
  <si>
    <t>Agree @Kris Ronsin - was really good to see Jordan on the show (she brings a lot to discussion)</t>
  </si>
  <si>
    <t>We are glad you enjoyed it! Non-Communicaable diseases have been an issue for a long time and are only becoming a greater issue because they have gone somewhat unaddressed until recently.  The WHO Status Report released in January of this year helped show what a collective effort the world is trying to make in resolving the burden.  It was fantastic to have Jordan Jarvis on the show- she is a wealth of knowledge and does wonderful work with YP-CDN (Check out their google+ and YouTube pages as well!)</t>
  </si>
  <si>
    <t>@Kris Ronsin great to have some like Jordan Javis on the show</t>
  </si>
  <si>
    <t>Check out the latest from TWiGH- Non Communicable Diseases and the WHO Global Action Plan status Report + Jordan Jarvis of YP-CDN!</t>
  </si>
  <si>
    <t>Thanks @K Kosalai  - we&amp;#39;ll have more on NCDs for sure! </t>
  </si>
  <si>
    <t>Great overview on NCD. Will look forward to hear more on NCD..</t>
  </si>
  <si>
    <t>@Minal Ondhiya Thanks for the comment and thanks for the insights into what&amp;#39;s happening in India! Lets hope that we see fantastic progress by 2025!! :)</t>
  </si>
  <si>
    <t>I work as District Public Health Specialist in NCD , India. Its funny that India is the most affected country and yet the program is not rolled out all over India. Its still run as pilot program. We are able to provide medicines to only 10 % of the patients and that too only for 6 months maximum.As happened with MDGs , I wonder if we will be able to achieve anything by 2025. I have been part of the workshop for that framework and guess what, the state has not made formats for reporting reflecting those indiactors (So we are not even measuring where we are...)</t>
  </si>
  <si>
    <t>+Shiva Raj Mishra (WDC Nepal)  thanks for your comment. Great suggestion - I&amp;#39;ll definitely try to bring more discussion re NCDs in developing countries into the discussion.</t>
  </si>
  <si>
    <t>I have the opportunity to review in brief, the burden of non communicable diseases in Nepal. The full report is published in Globalization Health, and findings were staggering with 8,000-10,000 cancer deaths annually, and hypertension (22.4%-38.6%), diabetes (4.1%-9.5%) and several other substantially high NCDs, not to mention the quality of studies that reported these findings were very low. Having had to deal with communicable diseases, large efforts in sustaining maternal and child health, budget priorities are not in NCDs. However, Nepal&amp;#39;s government is initiating steps in NCDs control with preparation of NCD control plan recently, but progress into putting that into action remains frustrating. I would be really interested to bring more discussion into, NCDs issue from developing countries perspective.</t>
  </si>
  <si>
    <t>haha - interesting... well, glad to have had you here (even just for a moment). Enjoy the rest of the 50 cent playlist! :)</t>
  </si>
  <si>
    <t>lol.</t>
  </si>
  <si>
    <t>I don&amp;#39;t know how I got here from listening to a 50 cent playlist.</t>
  </si>
  <si>
    <t>These videos r really good and very helpful. Thankyou</t>
  </si>
  <si>
    <t>thanks</t>
  </si>
  <si>
    <t>Not ready. And won&amp;#39;t be till 2019.</t>
  </si>
  <si>
    <t>Where&amp;#39;s the revision workbook?Cant&amp;#39; seem to find it.</t>
  </si>
  <si>
    <t>@Ria Rahman lol sis is out here thriving</t>
  </si>
  <si>
    <t>Yes, I&amp;#39;ve still to do the plant videos.</t>
  </si>
  <si>
    <t>do you have any idea when they will be added to this playlist so i can start my notes? &lt;br&gt;many thanks x</t>
  </si>
  <si>
    <t>is there any more for the organisation topic? x i have my test tomorrow and my teacher said Organisation also consists of the leaf and stuff</t>
  </si>
  <si>
    <t>nobody cares</t>
  </si>
  <si>
    <t>Ha, made you look :)</t>
  </si>
  <si>
    <t>Very good videos though, thankyou</t>
  </si>
  <si>
    <t>There&amp;#39;s a typo at &lt;a href="https://www.youtube.com/watch?v=H6DrSG_KQjo&amp;amp;t=3m34s"&gt;3:34&lt;/a&gt;</t>
  </si>
  <si>
    <t>big donnie coming through</t>
  </si>
  <si>
    <t>Whose done the B7 non communicable test</t>
  </si>
  <si>
    <t>This man in an absolute lifesaver</t>
  </si>
  <si>
    <t>I watched a 5 min long to appreciate your help sir, thanks, your a friking legend!</t>
  </si>
  <si>
    <t>It&amp;#39;s paper 1</t>
  </si>
  <si>
    <t>Wait is this paper 1 or paper 2 content? Because I know that cancer is paper 1, but isn’t diabetes on paper 2? (I’m doing AQA biology btw)</t>
  </si>
  <si>
    <t>You only need to know what is in the video.</t>
  </si>
  <si>
    <t>Do we need to know about effects of smoking in more detail (lining of alveoli is damaged)</t>
  </si>
  <si>
    <t>Aqa</t>
  </si>
  <si>
    <t>what exam bord is this</t>
  </si>
  <si>
    <t>Do we have to know about type 2 diabetes and 1? Because I did it in class</t>
  </si>
  <si>
    <t>Do we also need to know about the effect of smoking and alcohol</t>
  </si>
  <si>
    <t>oof same</t>
  </si>
  <si>
    <t>Join the club</t>
  </si>
  <si>
    <t>my GCSE is in 1 day and I still haven&amp;#39;t, you&amp;#39;re fine</t>
  </si>
  <si>
    <t>Same, good luck tomorrow lmao x</t>
  </si>
  <si>
    <t>Mine are in a couple of hours. &lt;a href="http://www.youtube.com/results?search_query=%232019GCSEs"&gt;#2019GCSEs&lt;/a&gt; are looking like a mad one still. This guy is the absolute plug ok.</t>
  </si>
  <si>
    <t>well assuming youre having your GCSE today or tommorow good luck</t>
  </si>
  <si>
    <t>my GCSE are in 3 days and I haven&amp;#39;t even gone over topic two i-</t>
  </si>
  <si>
    <t>3 days</t>
  </si>
  <si>
    <t>16 hours till the exam and I&amp;#39;m still here&lt;br&gt;and i oop-</t>
  </si>
  <si>
    <t>Biology in a few hours oof let’s go</t>
  </si>
  <si>
    <t>1 hour before exams... rip</t>
  </si>
  <si>
    <t>Nowhere to be seen</t>
  </si>
  <si>
    <t>Right so i just had my exam emm where was cardiovascular diseases?</t>
  </si>
  <si>
    <t>Ur doing good Bruder &lt;br&gt;Keep the relevant hard work up</t>
  </si>
  <si>
    <t>Watching this 10mins away from my exam rip</t>
  </si>
  <si>
    <t>Or drink alcohol excessively, better off not at all</t>
  </si>
  <si>
    <t>@Fire Emperor Zuko Agreed, addiction is hard to break out from</t>
  </si>
  <si>
    <t>In summary, don&amp;#39;t smoke lol</t>
  </si>
  <si>
    <t>who else is here for homework</t>
  </si>
  <si>
    <t>legend</t>
  </si>
  <si>
    <t>you&amp;#39;re a freaking legend. passed my exams cause of u</t>
  </si>
  <si>
    <t>Don&amp;#39;t drink too</t>
  </si>
  <si>
    <t>dont smoke guys lol</t>
  </si>
  <si>
    <t>thank you</t>
  </si>
  <si>
    <t>Doing exercise doesn&amp;#39;t negate the presence of dangerous chemicals such as carcinogens, it only decreases the build up of fatty deposits. Freesciencelessons guy said that exercising decreases risk which is true, but to answer your question in terms of the total effect. The chance of someone who both smokes and exercises is more likely to get CHD than someone who doesn&amp;#39;t smoke</t>
  </si>
  <si>
    <t>Hello, I&amp;#39;ve a question:&lt;br&gt;What are chance of a person suffering from heart disease who smokes but also takes exercises?</t>
  </si>
  <si>
    <t>FR SAME</t>
  </si>
  <si>
    <t>Anyone here in 2021 this is for my science lesson_xD83D__xDE02_</t>
  </si>
  <si>
    <t>Visit our youtube channel to find out what the Healthy Caribbean Coalition is doing to help educate and agitate people about the Chronic Disease problem</t>
  </si>
  <si>
    <t>Do u have any flashcards for triple science? Or Revision material on your Website?</t>
  </si>
  <si>
    <t>Yes, I cover everything on the spec.</t>
  </si>
  <si>
    <t>Do u go over the whole specification</t>
  </si>
  <si>
    <t>Youngji 16 I</t>
  </si>
  <si>
    <t>I’m only doing mocks. You got any advice?</t>
  </si>
  <si>
    <t>Hi I did my gcse this year and I was really happy with my results (I got an A) and I wanted to thank you sooo much for helping me achieve this I made notes and watched your videos constantly during the exam season and it helped me so much &lt;br&gt;Thank you</t>
  </si>
  <si>
    <t>freshi3 king yes he is</t>
  </si>
  <si>
    <t>he is cute ☻ lol</t>
  </si>
  <si>
    <t>No matter what they say</t>
  </si>
  <si>
    <t>Ummm... I think I stumbled into the wrong fan club</t>
  </si>
  <si>
    <t>@Joey *right</t>
  </si>
  <si>
    <t>Ismabos 99 his smile too</t>
  </si>
  <si>
    <t>you&amp;#39;re breathtaking!</t>
  </si>
  <si>
    <t>@Tunnel Vision WoRdS cAnT bRiNg Me DoWn</t>
  </si>
  <si>
    <t>he’s perfect ❤️ too perfect _xD83D__xDE0D__xD83D__xDE0D_</t>
  </si>
  <si>
    <t>You are  beautiful.</t>
  </si>
  <si>
    <t>I have my first mock in november .I will be grateful if u make more videos on this topic and topic 4 like protein synthesis .</t>
  </si>
  <si>
    <t>CORONA</t>
  </si>
  <si>
    <t>Thanks again:)</t>
  </si>
  <si>
    <t>Yes, they&amp;#39;re in the playlists on organisation.</t>
  </si>
  <si>
    <t>Are there any specific diseases/infections we need to know about apart from malaria etc.</t>
  </si>
  <si>
    <t>these videos are so helpful, thank you so much</t>
  </si>
  <si>
    <t>@freesciencelessons Do we need to know these examples of communicable and non communicable diseases?</t>
  </si>
  <si>
    <t>Abbie Rose same my both legs</t>
  </si>
  <si>
    <t>Its gonna be alright, my prayers are with you.</t>
  </si>
  <si>
    <t>I&amp;#39;ve got Arthritis :(</t>
  </si>
  <si>
    <t>Lil Peeper armyyyy :’)</t>
  </si>
  <si>
    <t>lol my test is in two days ...</t>
  </si>
  <si>
    <t>How’d it go?</t>
  </si>
  <si>
    <t>Who else is here 30 mins before the exam because same</t>
  </si>
  <si>
    <t>Thank you. So much.</t>
  </si>
  <si>
    <t>God damn tuberculosis killed my boah ARTHUR!</t>
  </si>
  <si>
    <t>hiya, i&amp;#39;m not definitely sure about HIV&amp;#39;s, but the common cold has so many different types of colds that can occur in your body, so if they make a vaccine for one type of cold, it may only work against one person; there are so many different types of them.</t>
  </si>
  <si>
    <t>@Freesciencelessons thanks!</t>
  </si>
  <si>
    <t>As the viewer below says, there are lots (around 160) of different versions of the common cold virus so a vaccine could never be effective. HIV is extremely easy to mutate so it is constantly changing. This means that any antibodies against it will not work for very long. Also, HIV damages the immune system, again making a vaccine against it extremely challenging.</t>
  </si>
  <si>
    <t>@Freesciencelessons Thank you for responding ☺️☺️</t>
  </si>
  <si>
    <t>@Salome Balasuriya Thank you for helping ☺️☺️</t>
  </si>
  <si>
    <t>Can you tell me why it&amp;#39;s difficult to produce a vaccine against hiv/common cold??</t>
  </si>
  <si>
    <t>geezer</t>
  </si>
  <si>
    <t>Yes it&amp;#39;s in two parts of the spec.</t>
  </si>
  <si>
    <t>is this video in the organisation topic aswell?</t>
  </si>
  <si>
    <t>thank you, the video really helped me</t>
  </si>
  <si>
    <t>thank you the video is very good and inspiring</t>
  </si>
  <si>
    <t>thank you this video really helped me</t>
  </si>
  <si>
    <t>We don&amp;#39;t learn about mental health in AQA spec which sucks cuz it&amp;#39;s important</t>
  </si>
  <si>
    <t>My videos are aimed at the AQA spec, so I&amp;#39;d stick to the definition given in the Edexcel spec.</t>
  </si>
  <si>
    <t>@Freesciencelessons Oh ok but at least most of the topics you teach are in the same papers as Edexcel, so it shouldn&amp;#39;t make a difference.</t>
  </si>
  <si>
    <t>In the Edexcel 9-1 CGP revision guide it states mental health is &amp;quot;a state of complete physical, mental and social well-being, and not merely the absence of disease or infirmity(old age)&amp;quot; would I still get full marks if I were to state your definition of mental health?</t>
  </si>
  <si>
    <t>@finn hadley-burgess I think these these examples are pretty self-explanatory anyway, but to be on the safe side, I&amp;#39;d reccomend going over them. Good luck.</t>
  </si>
  <si>
    <t>This is an old video for the spec that has finished. I&amp;#39;d recommend only using videos from my playlists with &amp;quot;9-1&amp;quot; in the title.</t>
  </si>
  <si>
    <t>But sir, this video does have &amp;quot;(9-1)&amp;quot; in the title. Is this playlist up to date for the upcoming exam?@Freesciencelessons</t>
  </si>
  <si>
    <t>Sir, are these videos applicable to our exam&amp;#39;s content? Is there a separate playlist I&amp;#39;ve been missing instead? @Freesciencelessons</t>
  </si>
  <si>
    <t>Hi Sir, should we learn the given examples in this video (e.g. TB, HIV and HPV)? Thanks.</t>
  </si>
  <si>
    <t>miss jones test tomorrow</t>
  </si>
  <si>
    <t>your lucky there was no lockdown</t>
  </si>
  <si>
    <t>Three days , mid mental breakdown ✌_xD83C__xDFFB_</t>
  </si>
  <si>
    <t>good luck for tomorow</t>
  </si>
  <si>
    <t>how did it go?</t>
  </si>
  <si>
    <t>What questions did they ask you</t>
  </si>
  <si>
    <t>hope it went well (:</t>
  </si>
  <si>
    <t>paper 1 tomorrow, les go</t>
  </si>
  <si>
    <t>Please save my gcse</t>
  </si>
  <si>
    <t>good luck! how did it go?</t>
  </si>
  <si>
    <t>I’ve always read the comments that are like here cause my exams tomorrow. And now that me.</t>
  </si>
  <si>
    <t>biology paper 1 tomorrow, last minute revision</t>
  </si>
  <si>
    <t>yes he is</t>
  </si>
  <si>
    <t>This man is a gift</t>
  </si>
  <si>
    <t>2019 paper 1 squad where you at?</t>
  </si>
  <si>
    <t>Hehe &lt;a href="http://www.youtube.com/results?search_query=%23LastMinuteSquad"&gt;#LastMinuteSquad&lt;/a&gt; who’s with me</t>
  </si>
  <si>
    <t>good luck boys</t>
  </si>
  <si>
    <t>Good luck test in 6 hours xD</t>
  </si>
  <si>
    <t>ooh yikes good luck today kiddos</t>
  </si>
  <si>
    <t>4 hours</t>
  </si>
  <si>
    <t>Good luck everyone having the exam today_xD83D__xDE07_</t>
  </si>
  <si>
    <t>halo.kookie have one tmr</t>
  </si>
  <si>
    <t>Biology exam today!! Good luck everyone</t>
  </si>
  <si>
    <t>1h30mins before the exam XD</t>
  </si>
  <si>
    <t>how was exam everyone</t>
  </si>
  <si>
    <t>11 hours till exams &lt;br&gt;&lt;br&gt;Major Breakdown&lt;br&gt;Lmao</t>
  </si>
  <si>
    <t>hi sir, I really wanted a video of explanation for Alzheimer&amp;#39;s disease,Vascular disease and Parkinson &lt;br&gt;&lt;br&gt;I wanted u to explain us as urs is very clear and well understood than explanation of our teachers!</t>
  </si>
  <si>
    <t>&amp;lt;== is a year 10 revising for EOY exams</t>
  </si>
  <si>
    <t>man plugs hisworkbuook every time. ILY tho</t>
  </si>
  <si>
    <t>I’ve got a bio mock in the morning. &lt;br&gt;&lt;br&gt;&lt;br&gt;Ahhhhhhhhh</t>
  </si>
  <si>
    <t>Lol stop my guy, your doing more damage than good.</t>
  </si>
  <si>
    <t>Good job! I&amp;#39;ve only just started revising and we are doing the mock exams _xD83D__xDE02_</t>
  </si>
  <si>
    <t>good on you bro, you’ll do well</t>
  </si>
  <si>
    <t>Guys i am in year 7 and im revising for my GCSES. AKA NERD</t>
  </si>
  <si>
    <t>no it hasnt&lt;br&gt;its at the beginning</t>
  </si>
  <si>
    <t>NO THE IcONIC MUSIC HAS GOnE</t>
  </si>
  <si>
    <t>He really cares for our health _xD83D__xDE29_</t>
  </si>
  <si>
    <t>yall really take advantage of this guy to cram info in the night before your exam&lt;br&gt;this guy is my 24/7 revision guide!</t>
  </si>
  <si>
    <t>I turn off adblock when i watch your vids :)</t>
  </si>
  <si>
    <t>ill health can be caused by high levels of stress...? oh damn</t>
  </si>
  <si>
    <t>corona really gonna mess up 2020 GCSE</t>
  </si>
  <si>
    <t>lol sad life lmao</t>
  </si>
  <si>
    <t>Well there’s no GCSEs and I’m still watching…what’s wrong with me?</t>
  </si>
  <si>
    <t>home learning hours whos up</t>
  </si>
  <si>
    <t>Corona time!</t>
  </si>
  <si>
    <t>HIV doesn&amp;#39;t lead to TB, it allows for TB to infect the patient without the chance of the body fighting back (it allows access but doesn&amp;#39;t cause it). There&amp;#39;s much to HPV aswell but I&amp;#39;ll shorten it down to GCSE level, the HPV virus infects a cell and causes uncontrollable mitosis to replicate itself, in other words a direct cause of cancer.</t>
  </si>
  <si>
    <t>His sir &lt;br&gt;Is there a difference between the HIV leading to TB example and the HPV leading to Cervical cancer? Also do we need to know these two exact examples?&lt;br&gt;Thanks</t>
  </si>
  <si>
    <t>He could totally win too!</t>
  </si>
  <si>
    <t>truu lol</t>
  </si>
  <si>
    <t>This guy could run for Primeminister</t>
  </si>
  <si>
    <t>Yes, this topic is in both parts of the specification.</t>
  </si>
  <si>
    <t>Is this the same video as in the organisation topic?</t>
  </si>
  <si>
    <t>Corona virus latest comunicable disease</t>
  </si>
  <si>
    <t>If you are looking at this comment then STOP wasting your time and go study !!</t>
  </si>
  <si>
    <t>mock exams in over a week&amp;gt;</t>
  </si>
  <si>
    <t>CORONAVIRUS</t>
  </si>
  <si>
    <t>this guy&amp;#39;s smile is a communicable disease because i think i have caught it.</t>
  </si>
  <si>
    <t>This helps because when i am back from the christmas break we will be doing a test on this.</t>
  </si>
  <si>
    <t>I&amp;#39;m doing this in school now and this is really helpful!</t>
  </si>
  <si>
    <t>First 2021 comment here</t>
  </si>
  <si>
    <t>Thanks a lot sir I have a science test tomorrow and I haven’t really been paying a lot of attention too my online classes _xD83D__xDE05_</t>
  </si>
  <si>
    <t>Ikr</t>
  </si>
  <si>
    <t>This dude is literally saving my life</t>
  </si>
  <si>
    <t>good</t>
  </si>
  <si>
    <t>anyone else in the school toilets doing last minute revision</t>
  </si>
  <si>
    <t>Yes Shaun. Helping kids, supply teachers and lockdown learning since 2013. Thanks man</t>
  </si>
  <si>
    <t>Got a biology test tomorrow...wish me luck!</t>
  </si>
  <si>
    <t>I love how his books are still called free science lessons_xD83D__xDE02_, but i love the effort this guy makes for us</t>
  </si>
  <si>
    <t>Exam....in one hour..</t>
  </si>
  <si>
    <t>paper 1 moc tomorrow _xD83D__xDE42_</t>
  </si>
  <si>
    <t xml:space="preserve">@oldcapemaycrab1 </t>
  </si>
  <si>
    <t xml:space="preserve">We look forward to this coming summit for NCD control. </t>
  </si>
  <si>
    <t>Thanks for this</t>
  </si>
  <si>
    <t>how can i download this video</t>
  </si>
  <si>
    <t>I understood it</t>
  </si>
  <si>
    <t>Useful video</t>
  </si>
  <si>
    <t>Nice video</t>
  </si>
  <si>
    <t>Me too!</t>
  </si>
  <si>
    <t>now I can distinguish comunicable disease and non comunicable disease</t>
  </si>
  <si>
    <t>Thank you, this video is very helpful to me :)</t>
  </si>
  <si>
    <t>hi top set people _xD83E__xDD23_</t>
  </si>
  <si>
    <t>Great Video!</t>
  </si>
  <si>
    <t>Bad video</t>
  </si>
  <si>
    <t>Lol</t>
  </si>
  <si>
    <t>Nice video _xD83D__xDCF7__xD83D__xDCF7__xD83D__xDCF7__xD83D__xDCF7__xD83D__xDCF7__xD83D__xDCF7__xD83D__xDCF7_</t>
  </si>
  <si>
    <t>So right to say thanks to Doctor ojie on YouTube for helping terminate my herpes permanently, through is natural herbs medication.</t>
  </si>
  <si>
    <t>Hello thank you for this</t>
  </si>
  <si>
    <t>Finally I got cured of 4 years chronic lower respiratory disease, I&amp;#39;m now free ♥️♥️ ❤️ I appreciate Dr. Gbenga for his help.</t>
  </si>
  <si>
    <t>paper: Supreme Glory of Brahmacharya :)</t>
  </si>
  <si>
    <t>english is fun</t>
  </si>
  <si>
    <t>lol what?</t>
  </si>
  <si>
    <t>lmao wtf</t>
  </si>
  <si>
    <t>how to get height&lt;br&gt;tell me #1 height medicine company</t>
  </si>
  <si>
    <t>組織的犯罪集団は、東京都墨田区吾妻橋１－４－２に本部を置くESP科学研究所（代表　石井美津子）、株式会社イー・エス・ピーです。国際組織犯罪防止条約が発効されましたので、この会社とこの会社の関連施設を厳重に処罰してください。この会社がバイオテロリズムの組織的犯罪集団です。</t>
  </si>
  <si>
    <t>Emily gacha  vsid  anrddha   serey  wrent  bireti   cxan</t>
  </si>
  <si>
    <t>Emily gacha 2  yaers</t>
  </si>
  <si>
    <t>Nice knowledge</t>
  </si>
  <si>
    <t>Obviously, it’s the WHO.</t>
  </si>
  <si>
    <t>Excellent information _xD83D__xDC4D__xD83D__xDE0A_</t>
  </si>
  <si>
    <t>fuck online classes</t>
  </si>
  <si>
    <t>Pagal</t>
  </si>
  <si>
    <t>Thank you! Help us to disseminate it!</t>
  </si>
  <si>
    <t>Stefanie Rimpel &lt;br&gt;Interesting topic, wow, follow this link to get more insights on this subject. &lt;br&gt;&lt;a href="https://gurudeseyesubai.org/hidden-causes-of-disease-3/"&gt;https://gurudeseyesubai.org/hidden-causes-of-disease-3/&lt;/a&gt;</t>
  </si>
  <si>
    <t>I love this video. Simple, yet informative! Thanks for sharing.</t>
  </si>
  <si>
    <t>Send an email to cayona@&lt;a href="http://paho.org/"&gt;paho.org&lt;/a&gt; and I will send it to you</t>
  </si>
  <si>
    <t>Can I download it from somewhere? I would like to use it to show to my medical students.</t>
  </si>
  <si>
    <t>Very important n worthy video but some pictures r too sensitive to watch</t>
  </si>
  <si>
    <t>&lt;a href="http://www.paho.org/nmh"&gt;www.paho.org/nmh&lt;/a&gt;</t>
  </si>
  <si>
    <t>More information required plz about chronic diseases prevention</t>
  </si>
  <si>
    <t>Wow good video I liked it because there were pictures</t>
  </si>
  <si>
    <t>it is the best lecture, deserved to be benefited</t>
  </si>
  <si>
    <t>We hired a company to do the video and worked with a designer.</t>
  </si>
  <si>
    <t>@Arantxa Cayón oo!!!_xD83D__xDE0A_</t>
  </si>
  <si>
    <t>@Arantxa Cayón for making a single 3min. Video we need a company....... So expensive nnaa_xD83E__xDD14_</t>
  </si>
  <si>
    <t>Awesome video !&lt;br&gt;What is the program you used to create these type of animation ?</t>
  </si>
  <si>
    <t>N</t>
  </si>
  <si>
    <t>yes me ;/</t>
  </si>
  <si>
    <t>Yep</t>
  </si>
  <si>
    <t>Homework? Anyone?</t>
  </si>
  <si>
    <t>Will like know what you learn from this too. Check the hidden causes of diseases. &lt;a href="https://gurudeseyesubai.org/hidden-causes-of-disease-3/"&gt;https://gurudeseyesubai.org/hidden-causes-of-disease-3/&lt;/a&gt;</t>
  </si>
  <si>
    <t>I love this video as well its highlight the main behavioral risk factors of NCD&amp;#39;s as well as the policy that should be put in place to deal with NCD&amp;#39;s which is getting more than 71% of all death worldwide. Thank you!!!</t>
  </si>
  <si>
    <t>Glad it did. Please see this too on some hidden causes &lt;a href="https://gurudeseyesubai.org/hidden-causes-of-disease-3/"&gt;https://gurudeseyesubai.org/hidden-causes-of-disease-3/&lt;/a&gt;</t>
  </si>
  <si>
    <t>Thank you. this video really helped me _xD83D__xDE0A_</t>
  </si>
  <si>
    <t>Thank you very much, the video is very helpful _xD83D__xDE0A_</t>
  </si>
  <si>
    <t>If higher taxes on junk food de-incentivizes people to partake of junk food, then what does raising income taxes do?</t>
  </si>
  <si>
    <t>So, the video is telling us that people are too stupid to make informed choices so the GOVERNMENT has to step in to FORCE people to comply through re-education, punitive taxation etc. What happens if people STILL want to have freewill? Gulags? &lt;br&gt;HOW VERY COMMUNIST!&lt;br&gt;Why not CUT taxes on people so they have more expendable INCOME, decrease corporate taxes and offer credits to employers to incentivize INCREASING employment numbers since people on government assistance are the MOST likely to make poor health choices?&lt;br&gt;Liberals would NEVER allow THAT!&lt;br&gt;That would take power/control over people&amp;#39;s lives away from from liberals by helping to make people economically independent by putting their lives and decisions in their OWN hands through economic independence and making MILLIONS of dependent people realize the detrimental effects excessive/punitive taxation has on citizens!&lt;br&gt;In America, the federal government only contributes about 10% to the local school budgets. BUT, the government holds MASSIVE sway over their policies because the schools have become dependent on the funds.&lt;br&gt;The schools probably spend 1/3-1/2 of the money they get just in compliance with federal regulations, but they are addicted to the money.&lt;br&gt;The SAME is true with people getting handout-it keeps them dependent which makes them COMPLIANT, just the way their communist overlords want them!</t>
  </si>
  <si>
    <t>Qatar airways India ltd Tel</t>
  </si>
  <si>
    <t>i like trains</t>
  </si>
  <si>
    <t>Me too _xD83D__xDE02__xD83D__xDE02_ , really it&amp;#39;s too funny so I gave u a like _xD83D__xDCAF__xD83D__xDC4D_</t>
  </si>
  <si>
    <t>Really it&amp;#39;s too funny _xD83D__xDE02__xD83D__xDE02__xD83D__xDE02_ so I gave u a like _xD83D__xDCAF__xD83D__xDC4D_, by the way my name is PRIYA</t>
  </si>
  <si>
    <t>I like this video because the pictures are very funny！_xD83D__xDE02__xD83D__xDE02__xD83D__xDE02_</t>
  </si>
  <si>
    <t>Thank you for this video. It&amp;#39;s very helpful.</t>
  </si>
  <si>
    <t>me</t>
  </si>
  <si>
    <t>Whos watching this during corona break</t>
  </si>
  <si>
    <t>go do your school work.</t>
  </si>
  <si>
    <t>@Kent Robinson make him lol</t>
  </si>
  <si>
    <t>from solon?</t>
  </si>
  <si>
    <t>Me _xD83E__xDD23_</t>
  </si>
  <si>
    <t>bro, how did u know?</t>
  </si>
  <si>
    <t>Wow_xD83E__xDD23__xD83E__xDD23_</t>
  </si>
  <si>
    <t>Me to</t>
  </si>
  <si>
    <t>My</t>
  </si>
  <si>
    <t>lol same</t>
  </si>
  <si>
    <t>Lmao me</t>
  </si>
  <si>
    <t>@Kent Robinson FUck off</t>
  </si>
  <si>
    <t>Mine did</t>
  </si>
  <si>
    <t>mmmeeeeeeeeeeee</t>
  </si>
  <si>
    <t>Love ur pfp</t>
  </si>
  <si>
    <t>Mine</t>
  </si>
  <si>
    <t>yup my teacher sent me to do this</t>
  </si>
  <si>
    <t>@Kent Robinson make me</t>
  </si>
  <si>
    <t>@the guy in the background Gameing haha nice</t>
  </si>
  <si>
    <t>@Dominic’s World _xD83D__xDE0E_</t>
  </si>
  <si>
    <t>@J. NVTN i have eyes everywhere _xD83D__xDC40_</t>
  </si>
  <si>
    <t>science teacher. for me</t>
  </si>
  <si>
    <t>my teacher sent me in google classrom</t>
  </si>
  <si>
    <t>Yes bro</t>
  </si>
  <si>
    <t>who else&amp;#39;s health teacher sent them this video in Google Classroom to watch it?</t>
  </si>
  <si>
    <t>Interesting topic, wow, follow this link to get more insights on this subject. &lt;br&gt;&lt;a href="https://gurudeseyesubai.org/hidden-causes-of-disease-3/"&gt;https://gurudeseyesubai.org/hidden-causes-of-disease-3/&lt;/a&gt;</t>
  </si>
  <si>
    <t>hey nice  vedio</t>
  </si>
  <si>
    <t>Thanks to explain _xD83D__xDE0A_</t>
  </si>
  <si>
    <t>Thx</t>
  </si>
  <si>
    <t>Meee</t>
  </si>
  <si>
    <t>My teacher</t>
  </si>
  <si>
    <t>HOLY FUCK THIS SUCKS</t>
  </si>
  <si>
    <t>Who else got sent here from Google classroom ik THIS FUCKING SUCKS ASS</t>
  </si>
  <si>
    <t>_xD83D__xDC4E__xD83D__xDC4E__xD83D__xDC4E__xD83D__xDC4E__xD83D__xDC4E__xD83D__xDC4E__xD83D__xDC4E__xD83D__xDC4E__xD83D__xDC4E__xD83C__xDFFB_ like this if you love English</t>
  </si>
  <si>
    <t>Yeah</t>
  </si>
  <si>
    <t>I know this is  comment is old but help.....</t>
  </si>
  <si>
    <t>science teacher...</t>
  </si>
  <si>
    <t>@AriesChic Pinder with the assignment?</t>
  </si>
  <si>
    <t>Me hahah</t>
  </si>
  <si>
    <t>Who’s here because of health class?</t>
  </si>
  <si>
    <t>I like it</t>
  </si>
  <si>
    <t>mamniceteachingmam thanksmam</t>
  </si>
  <si>
    <t>super video very helpful</t>
  </si>
  <si>
    <t>_xD83E__xDD13_</t>
  </si>
  <si>
    <t>Tnx yar for telling us,but it has no use to me but again THANK YOU _xD83D__xDE0A_</t>
  </si>
  <si>
    <t>If he can cure als then why didn&amp;#39;t he save Stephen Hawkings?</t>
  </si>
  <si>
    <t>@mͥสyͣuͫkhツ Ghøsh a lot of people don&amp;#39;t know about this great herbalist in africa, have Cure all kinds of disease</t>
  </si>
  <si>
    <t>I have been suffering from Herpes for the past 3 years and 8 months, and ever since then i have been taking series of treatment but there was no improvement until i came across testimonies of Dr odion on how he has been curing different people from different diseases all over the world, then i contacted him as well. After our conversation he sent me the medicine which i took according to his instructions. When i was done taking the herbal medicine i went for a medical checkup and to my greatest surprise i was cured from Herpes. My heart is so filled with joy. If you are suffering from Herpes or any other disease you can contact Dr Odion today on this email:drodionherbalhome12@&lt;a href="http://gmail.com/"&gt;gmail.com&lt;/a&gt; WhatsApp him on this Number +234 9019421176 Dr odion cures:&lt;br&gt;1. HIV / AIDS&lt;br&gt;2. HERPES 1/2&lt;br&gt;3. CANCER&lt;br&gt;4. ALS (Lou Gehrig&amp;#39;s disease)&lt;br&gt;5. Hepatitis B&lt;br&gt;6. chronici pancreatic&lt;br&gt;7. emphysema&lt;br&gt;8. COPD (chronic obstructive pulmonary disease</t>
  </si>
  <si>
    <t>Yo who is in my class right now watching this video. Reply to me</t>
  </si>
  <si>
    <t>nice teaching</t>
  </si>
  <si>
    <t>Nic</t>
  </si>
  <si>
    <t>good video.</t>
  </si>
  <si>
    <t>I love these  video</t>
  </si>
  <si>
    <t>Who else&amp;#39;s healt teacher making u watch this</t>
  </si>
  <si>
    <t>Jzjsjs</t>
  </si>
  <si>
    <t>Hmm</t>
  </si>
  <si>
    <t>I like it for aaral</t>
  </si>
  <si>
    <t>btw why do they think it is easy to make one of the most profitible things just be replaced?</t>
  </si>
  <si>
    <t>&amp;quot;Country`s of the americas...&amp;quot; ~ The narrator of that video</t>
  </si>
  <si>
    <t>&lt;a href="https://www.youtube.com/watch?v=fK1_SH3X2ek&amp;amp;t=2m13s"&gt;2:13&lt;/a&gt; try telling that to us government!</t>
  </si>
  <si>
    <t>nO helP meeew</t>
  </si>
  <si>
    <t>I was forced to watch this because of my health teacher. help.</t>
  </si>
  <si>
    <t>How else are watching this video because of exams _xD83D__xDC69_‍_xD83D__xDCBB_</t>
  </si>
  <si>
    <t>Same bro</t>
  </si>
  <si>
    <t>My teacher sent me this in google classroom</t>
  </si>
  <si>
    <t>Yo this is for a kid named Daniel Reply now</t>
  </si>
  <si>
    <t>same video was shown in my classrom</t>
  </si>
  <si>
    <t>you can be our teacher?</t>
  </si>
  <si>
    <t>Who&amp;#39;s health teacher forced you to watch this?</t>
  </si>
  <si>
    <t>hi classmates</t>
  </si>
  <si>
    <t>&amp;quot;this is the great epidemic of our age&amp;quot;&lt;br&gt;that would be the.....nevermind</t>
  </si>
  <si>
    <t>I disliked the video &amp;gt;:)</t>
  </si>
  <si>
    <t>My teacher is making me watch this</t>
  </si>
  <si>
    <t>My Springdales teacher send me this in Google classroom</t>
  </si>
  <si>
    <t>Thanks sir bhot acha btaya mere mama bhi kafi time sai hairfall ki samsaya sai suffer kr rhe thai and humne sab tarah ki medicines li aur test krwae magar kuch kam nahi aya phir hum ko kisi ne Ayurvedic medicine ka btaya jo hmne Planet Ayurveda sai mangvaya and unki davie lene k baad meri mama k bal bhi achey hogye hai… planet Ayurveda ka Thanks !!</t>
  </si>
  <si>
    <t>I have to watch this for health class and I got nothing from it</t>
  </si>
  <si>
    <t>Some self care practices can be as simple as meditating, putting on a face mask or getting enough sleep. Sleep naturals, brahmi and green essentials from planet ayurveda can improve your health, sleep quality and will keep you calm on daily basis.</t>
  </si>
  <si>
    <t>However, yoga is associated with spirituality because it combines human consciousness with the divine consciousness. Planet ayurveda’s diet plans and herbal supplements can help you lead a healthier life.</t>
  </si>
  <si>
    <t>Did this make you wonder how some boring moves and postures can improve our health? Yoga and natural remedies from planet ayurveda helps lifestyle diseases.</t>
  </si>
  <si>
    <t>Click here to buy the GS course : -&lt;a href="https://play.google.com/store/apps/details?id=com.wow.studyiq"&gt;https://play.google.com/store/apps/details?id=com.wow.studyiq&lt;/a&gt;&lt;br&gt;Demo video Link : &lt;a href="https://bit.ly/2xxuT9B"&gt;https://bit.ly/2xxuT9B&lt;/a&gt;&lt;br&gt;&lt;br&gt;For PDFs join Telegram :  &lt;a href="https://t.me/DrVipanGoyal"&gt;https://t.me/DrVipanGoyal&lt;/a&gt;&lt;br&gt;Follow Dr Vipan Goyal on Instagram: &lt;a href="https://bit.ly/2ODgNaf"&gt;https://bit.ly/2ODgNaf&lt;/a&gt;&lt;br&gt;Follow Dr Vipan Goyal on facebook: &lt;a href="https://www.facebook.com/vipangoyal13"&gt;https://www.facebook.com/vipangoyal13&lt;/a&gt;&lt;br&gt;For Doubts : vipan.studyiq@&lt;a href="http://gmail.com/"&gt;gmail.com&lt;/a&gt;</t>
  </si>
  <si>
    <t>Mam smh nhi aata k theory pde ya mcq solve kre</t>
  </si>
  <si>
    <t>Fatma Zahira</t>
  </si>
  <si>
    <t>Ravina Kushwah</t>
  </si>
  <si>
    <t>dharmendra dhakad</t>
  </si>
  <si>
    <t>Pallavi Kumari</t>
  </si>
  <si>
    <t>Pooja Verma</t>
  </si>
  <si>
    <t>Prashant Bhargav</t>
  </si>
  <si>
    <t>sarita khare</t>
  </si>
  <si>
    <t>banwari lal</t>
  </si>
  <si>
    <t>Kalu Ram</t>
  </si>
  <si>
    <t>Arun Tak</t>
  </si>
  <si>
    <t>Medical &amp; Nurses Hub</t>
  </si>
  <si>
    <t>Rakhi Tiwari</t>
  </si>
  <si>
    <t>Nursing Innovation HINDI</t>
  </si>
  <si>
    <t>Anita Chouhan</t>
  </si>
  <si>
    <t>Balsa Raythal Rajpurohit</t>
  </si>
  <si>
    <t>Sangeeta Popatkar</t>
  </si>
  <si>
    <t>sanghsharan sagar</t>
  </si>
  <si>
    <t>GOTIREDDI RAMALAKSHMI</t>
  </si>
  <si>
    <t>manga uppada</t>
  </si>
  <si>
    <t>Devendra Hansmani</t>
  </si>
  <si>
    <t>poornima rajpoot</t>
  </si>
  <si>
    <t>Rekha Verma</t>
  </si>
  <si>
    <t>Rajni Yogi</t>
  </si>
  <si>
    <t>krash Sharma</t>
  </si>
  <si>
    <t>MANOJ JATAV</t>
  </si>
  <si>
    <t>Maheen Shahzad</t>
  </si>
  <si>
    <t>LAXMIKANT SHARMA</t>
  </si>
  <si>
    <t>Sakshi soni</t>
  </si>
  <si>
    <t>Mahi Pandey</t>
  </si>
  <si>
    <t>Afsar Khan</t>
  </si>
  <si>
    <t>j PANDEY</t>
  </si>
  <si>
    <t>INFO OF DEMON INDIAN</t>
  </si>
  <si>
    <t>Kavita Phought</t>
  </si>
  <si>
    <t>work hard</t>
  </si>
  <si>
    <t>Anushree Upadhyay</t>
  </si>
  <si>
    <t>ashish das</t>
  </si>
  <si>
    <t>Geeta Asati</t>
  </si>
  <si>
    <t>shivanya  yaduvanshi_xD83D__xDE0D_</t>
  </si>
  <si>
    <t>Dr. Goswami</t>
  </si>
  <si>
    <t>ANJALI SINGH</t>
  </si>
  <si>
    <t>Gayatri Nagar</t>
  </si>
  <si>
    <t>Gian Chand</t>
  </si>
  <si>
    <t>Umesh Chandra</t>
  </si>
  <si>
    <t>Aarti Pilaniya</t>
  </si>
  <si>
    <t>Bilal Ahmad</t>
  </si>
  <si>
    <t>Anju Pal</t>
  </si>
  <si>
    <t>Khushboo Skindar</t>
  </si>
  <si>
    <t>UPENDRA KUMAR</t>
  </si>
  <si>
    <t>CHHAGAN LAL</t>
  </si>
  <si>
    <t>Jk Ydv</t>
  </si>
  <si>
    <t>Vijay vankar</t>
  </si>
  <si>
    <t>Ravindra Chouhan</t>
  </si>
  <si>
    <t>Rewat Singh</t>
  </si>
  <si>
    <t>shraddha pathak</t>
  </si>
  <si>
    <t>Ritu Verma</t>
  </si>
  <si>
    <t>ANKIT kumar</t>
  </si>
  <si>
    <t>Johar Health</t>
  </si>
  <si>
    <t>Daily Need Store</t>
  </si>
  <si>
    <t>Warrior</t>
  </si>
  <si>
    <t>BOOKS STUDIO</t>
  </si>
  <si>
    <t>sarath ram</t>
  </si>
  <si>
    <t>sunny prakash</t>
  </si>
  <si>
    <t>Kiev Barcelo</t>
  </si>
  <si>
    <t>The Dumb Vlogs</t>
  </si>
  <si>
    <t>iihy drox</t>
  </si>
  <si>
    <t>Keegan Paugh</t>
  </si>
  <si>
    <t>Solid O2</t>
  </si>
  <si>
    <t>VJT Enterprise</t>
  </si>
  <si>
    <t>باشا العراق - BASHA IRAQ</t>
  </si>
  <si>
    <t>Indra Kumar Sunuwar</t>
  </si>
  <si>
    <t>faridah manchullah -</t>
  </si>
  <si>
    <t>knockoffhuman</t>
  </si>
  <si>
    <t>Pramodini Sahoo</t>
  </si>
  <si>
    <t>Carlos Concha Subercaseaux Alumno 5° Básico B</t>
  </si>
  <si>
    <t>Deepti Gupta</t>
  </si>
  <si>
    <t>Reema Verma</t>
  </si>
  <si>
    <t>Shabeer Moulavi</t>
  </si>
  <si>
    <t>SkippyUnicorn</t>
  </si>
  <si>
    <t>Dr Manisha Taneja Pahuja</t>
  </si>
  <si>
    <t>Cook With Kalayani</t>
  </si>
  <si>
    <t>Nasib Gollen</t>
  </si>
  <si>
    <t>Aarush Malik</t>
  </si>
  <si>
    <t>PARANORMAL GAMING</t>
  </si>
  <si>
    <t>Kyubi Gaming</t>
  </si>
  <si>
    <t>Life as Jasmine</t>
  </si>
  <si>
    <t>samridhi mishra</t>
  </si>
  <si>
    <t>YT DL 555</t>
  </si>
  <si>
    <t>Geeta Mehta</t>
  </si>
  <si>
    <t>RINOA MIYELLE ABESAMIS</t>
  </si>
  <si>
    <t>Salvi 24</t>
  </si>
  <si>
    <t>Sheldon Cooper</t>
  </si>
  <si>
    <t>ABHIJEET RAI</t>
  </si>
  <si>
    <t>Buckley Robin</t>
  </si>
  <si>
    <t>Dhurgabhavani Movva</t>
  </si>
  <si>
    <t>Yuktha's creative life</t>
  </si>
  <si>
    <t>Emmanuel Luigie Alberto</t>
  </si>
  <si>
    <t>Claudia Skocz</t>
  </si>
  <si>
    <t>Camille Prospere</t>
  </si>
  <si>
    <t>Jamarionhenry</t>
  </si>
  <si>
    <t>Parkaviie S</t>
  </si>
  <si>
    <t>CLAIRE BROCKMANN</t>
  </si>
  <si>
    <t>paul john garcia</t>
  </si>
  <si>
    <t>Samita Dey</t>
  </si>
  <si>
    <t>triggeredpari_xD83D__xDC96_</t>
  </si>
  <si>
    <t>bashipally Shivakumar</t>
  </si>
  <si>
    <t>taamba Amadhila</t>
  </si>
  <si>
    <t>zahaan</t>
  </si>
  <si>
    <t>Rodolfo Mercado</t>
  </si>
  <si>
    <t>nia</t>
  </si>
  <si>
    <t>michael cabaya</t>
  </si>
  <si>
    <t>Rinku Sukla</t>
  </si>
  <si>
    <t>Imran Hasan</t>
  </si>
  <si>
    <t>Yvette Miller-Samuel</t>
  </si>
  <si>
    <t>Jake Strachan</t>
  </si>
  <si>
    <t>Eternal Cat</t>
  </si>
  <si>
    <t>Nirmala Vuppalapati</t>
  </si>
  <si>
    <t>revie vicente</t>
  </si>
  <si>
    <t>Rekha Sharma</t>
  </si>
  <si>
    <t>Tara stewart</t>
  </si>
  <si>
    <t>Desmond Reuben</t>
  </si>
  <si>
    <t>Johnson Moland</t>
  </si>
  <si>
    <t>Angelinecleoffe Vicente etuc</t>
  </si>
  <si>
    <t>Ajju M</t>
  </si>
  <si>
    <t>Spartan Gaming</t>
  </si>
  <si>
    <t>Min Manlapaz</t>
  </si>
  <si>
    <t>Jessica William</t>
  </si>
  <si>
    <t>SUNANADA CHAMARIA</t>
  </si>
  <si>
    <t>Joshua Humphrey</t>
  </si>
  <si>
    <t>Chino Obasi</t>
  </si>
  <si>
    <t>charlotte martha</t>
  </si>
  <si>
    <t>Goose</t>
  </si>
  <si>
    <t>Dylan Storer</t>
  </si>
  <si>
    <t>Cognito</t>
  </si>
  <si>
    <t>XD GAMER</t>
  </si>
  <si>
    <t>Adam Fn</t>
  </si>
  <si>
    <t>Lydia</t>
  </si>
  <si>
    <t>CITROUS</t>
  </si>
  <si>
    <t>Resul Hackr</t>
  </si>
  <si>
    <t>Banana King</t>
  </si>
  <si>
    <t>rednaxela</t>
  </si>
  <si>
    <t>King Balake</t>
  </si>
  <si>
    <t>Popular TWISTIES</t>
  </si>
  <si>
    <t>ray morow</t>
  </si>
  <si>
    <t>Drippy FN</t>
  </si>
  <si>
    <t>Samir Das</t>
  </si>
  <si>
    <t>ryan</t>
  </si>
  <si>
    <t>Margaret Tan</t>
  </si>
  <si>
    <t>Joseph Dynan</t>
  </si>
  <si>
    <t>Miss Tomkins</t>
  </si>
  <si>
    <t>Mark Ting</t>
  </si>
  <si>
    <t>Rose.Sunflower</t>
  </si>
  <si>
    <t>LibertyChap</t>
  </si>
  <si>
    <t>Wojbest</t>
  </si>
  <si>
    <t>Joseph Srouji</t>
  </si>
  <si>
    <t>Karam Kokash</t>
  </si>
  <si>
    <t>symexn</t>
  </si>
  <si>
    <t>Shmicly</t>
  </si>
  <si>
    <t>GM zohaib</t>
  </si>
  <si>
    <t>Dr. Theory</t>
  </si>
  <si>
    <t>Nobody</t>
  </si>
  <si>
    <t>Stacy Deterville</t>
  </si>
  <si>
    <t>nitramsk8</t>
  </si>
  <si>
    <t>Reesav Shah</t>
  </si>
  <si>
    <t>BEAN DOLLOP</t>
  </si>
  <si>
    <t>Ronald Toney</t>
  </si>
  <si>
    <t>Sweet Note</t>
  </si>
  <si>
    <t>FrameEzportGaming</t>
  </si>
  <si>
    <t>Petra Anderson</t>
  </si>
  <si>
    <t>Laryssa Olson</t>
  </si>
  <si>
    <t>Astherid Dcom</t>
  </si>
  <si>
    <t>Aalana Vargas</t>
  </si>
  <si>
    <t>Prowlheart</t>
  </si>
  <si>
    <t>Shinko Shi</t>
  </si>
  <si>
    <t>SERENA SPENCER</t>
  </si>
  <si>
    <t>Negan</t>
  </si>
  <si>
    <t>Ringo The Fly</t>
  </si>
  <si>
    <t>SNIPER-SHADOWBOI YT</t>
  </si>
  <si>
    <t>Donna Torres</t>
  </si>
  <si>
    <t>Burnt Butter</t>
  </si>
  <si>
    <t>kai fite</t>
  </si>
  <si>
    <t>DrGnome / KJW</t>
  </si>
  <si>
    <t>SammySavage</t>
  </si>
  <si>
    <t>AAAAA30 minecraft</t>
  </si>
  <si>
    <t>Fang 007</t>
  </si>
  <si>
    <t>Herve Charlemagne</t>
  </si>
  <si>
    <t>Li Meechy</t>
  </si>
  <si>
    <t>Lord Pugzly</t>
  </si>
  <si>
    <t>lokisucks</t>
  </si>
  <si>
    <t>Khelo Comrades</t>
  </si>
  <si>
    <t>Ika Vukic</t>
  </si>
  <si>
    <t>Mxcha</t>
  </si>
  <si>
    <t>Dragon King the first</t>
  </si>
  <si>
    <t>Come Another day</t>
  </si>
  <si>
    <t>LilGp08</t>
  </si>
  <si>
    <t>slimeluv</t>
  </si>
  <si>
    <t>Ivy Hammett-Aron</t>
  </si>
  <si>
    <t>Kritcz onbyu</t>
  </si>
  <si>
    <t>Felwah</t>
  </si>
  <si>
    <t>Firdaus</t>
  </si>
  <si>
    <t>BluePqtriot228</t>
  </si>
  <si>
    <t>letterztou</t>
  </si>
  <si>
    <t>Clementine_</t>
  </si>
  <si>
    <t>spellbooksss</t>
  </si>
  <si>
    <t>Cole Newell</t>
  </si>
  <si>
    <t>melody is happy</t>
  </si>
  <si>
    <t>xero</t>
  </si>
  <si>
    <t>milooo</t>
  </si>
  <si>
    <t>Me_ Smileh</t>
  </si>
  <si>
    <t>Andreberth Mendes</t>
  </si>
  <si>
    <t>1tsmqddy</t>
  </si>
  <si>
    <t>Priscilla Ghartey</t>
  </si>
  <si>
    <t>MattsAttack</t>
  </si>
  <si>
    <t>Dr Alaka</t>
  </si>
  <si>
    <t>Vivian Thomas</t>
  </si>
  <si>
    <t>Talmar Patterson</t>
  </si>
  <si>
    <t>Riky Candra</t>
  </si>
  <si>
    <t>쇼통령문재인</t>
  </si>
  <si>
    <t>សុខុមសទ្ធា កែវ</t>
  </si>
  <si>
    <t>Kaushal Kishor</t>
  </si>
  <si>
    <t>Ranjit Jena</t>
  </si>
  <si>
    <t>SwaggyTJ Matthews</t>
  </si>
  <si>
    <t>ُِ</t>
  </si>
  <si>
    <t>GurARilla シ</t>
  </si>
  <si>
    <t>Nishie Nathanael R. Ortiz</t>
  </si>
  <si>
    <t>Arkie Barkie</t>
  </si>
  <si>
    <t>Ronin Ijah Maireen D. Perez</t>
  </si>
  <si>
    <t>xd IamNoobAtFort</t>
  </si>
  <si>
    <t>Samantha Dela Pena</t>
  </si>
  <si>
    <t>Yvanna Angeli D. Pulido</t>
  </si>
  <si>
    <t>suckmyass 69</t>
  </si>
  <si>
    <t>operativka otel</t>
  </si>
  <si>
    <t>cartoon vibes</t>
  </si>
  <si>
    <t>Pharmacy Infoline</t>
  </si>
  <si>
    <t>IRFAN SHAIKH</t>
  </si>
  <si>
    <t>Tanvi Nimkar</t>
  </si>
  <si>
    <t>amjad ansari</t>
  </si>
  <si>
    <t>Ankur rajput</t>
  </si>
  <si>
    <t>Hariom upadhyay</t>
  </si>
  <si>
    <t>Arsh Pal</t>
  </si>
  <si>
    <t>Mahesh Gupta</t>
  </si>
  <si>
    <t>Abdul Khalik Khan</t>
  </si>
  <si>
    <t>unlimited song and new videos</t>
  </si>
  <si>
    <t>Kcl Tutorials</t>
  </si>
  <si>
    <t>maneesh singh</t>
  </si>
  <si>
    <t>Devendra Kumar</t>
  </si>
  <si>
    <t>Pharmacy Dost</t>
  </si>
  <si>
    <t>Deepak Sahu</t>
  </si>
  <si>
    <t>Subhash</t>
  </si>
  <si>
    <t>Abhishek Chaudhary</t>
  </si>
  <si>
    <t>Way</t>
  </si>
  <si>
    <t>Satya Ganga Prayagraj</t>
  </si>
  <si>
    <t>Syedwalidahmad Syedwalidahmad</t>
  </si>
  <si>
    <t>Dinesh Kumar gupta</t>
  </si>
  <si>
    <t>Kundan Kumar</t>
  </si>
  <si>
    <t>DRx Shivam Kumar</t>
  </si>
  <si>
    <t>Shrawan Gupta</t>
  </si>
  <si>
    <t>Mohammad khalid Ansari</t>
  </si>
  <si>
    <t>Sp Singh</t>
  </si>
  <si>
    <t>Ruksar khatun</t>
  </si>
  <si>
    <t>All in one solutions</t>
  </si>
  <si>
    <t>Srivastava Pharmacy</t>
  </si>
  <si>
    <t>sima lamture</t>
  </si>
  <si>
    <t>Rekha Rajvanshi</t>
  </si>
  <si>
    <t>akash maddhesia</t>
  </si>
  <si>
    <t>Ppj pharmacy</t>
  </si>
  <si>
    <t>Sachin Yadav</t>
  </si>
  <si>
    <t>GUNJAN PANDEY lonavala</t>
  </si>
  <si>
    <t>rekamega Sari</t>
  </si>
  <si>
    <t>Piera Phiri</t>
  </si>
  <si>
    <t>NORBERT DUKUZE</t>
  </si>
  <si>
    <t>Red Malabanan</t>
  </si>
  <si>
    <t>XtermKent</t>
  </si>
  <si>
    <t>joe levu</t>
  </si>
  <si>
    <t>Clint Pot</t>
  </si>
  <si>
    <t>Pakoa Loui Marikika</t>
  </si>
  <si>
    <t>Alisha Martin</t>
  </si>
  <si>
    <t>Cresantia F. Koya</t>
  </si>
  <si>
    <t>Awake Now</t>
  </si>
  <si>
    <t>Maui</t>
  </si>
  <si>
    <t>Tongiaki</t>
  </si>
  <si>
    <t>1007yes</t>
  </si>
  <si>
    <t>Nanise Tania VULI</t>
  </si>
  <si>
    <t>Thomas Harry Prasad</t>
  </si>
  <si>
    <t>Daunivakasala Kalitabua Ravunakana</t>
  </si>
  <si>
    <t>dreamsdo cometrue</t>
  </si>
  <si>
    <t>Rasta Trees</t>
  </si>
  <si>
    <t>jinaiLee Rokotagane</t>
  </si>
  <si>
    <t>Sienna</t>
  </si>
  <si>
    <t>Paula Toga</t>
  </si>
  <si>
    <t>Sithembile Shozi</t>
  </si>
  <si>
    <t>Amanda Irving</t>
  </si>
  <si>
    <t>HappilyIndian</t>
  </si>
  <si>
    <t>Alvin Good</t>
  </si>
  <si>
    <t>vinita rai</t>
  </si>
  <si>
    <t>Navneet Kumar</t>
  </si>
  <si>
    <t>Sumit Thakur</t>
  </si>
  <si>
    <t>sahil khan</t>
  </si>
  <si>
    <t>Dhrita Rashtra</t>
  </si>
  <si>
    <t>eat your liver</t>
  </si>
  <si>
    <t>RSK</t>
  </si>
  <si>
    <t>SANTOSH VASAVA</t>
  </si>
  <si>
    <t>Life with TanVir</t>
  </si>
  <si>
    <t>nitesh kumar</t>
  </si>
  <si>
    <t>Sahasra Vennela</t>
  </si>
  <si>
    <t>Satya prakash Nayak</t>
  </si>
  <si>
    <t>Babita Rawat</t>
  </si>
  <si>
    <t>Trishna Borah</t>
  </si>
  <si>
    <t>Mukhtar Kalas</t>
  </si>
  <si>
    <t>Tania Singh</t>
  </si>
  <si>
    <t>Sach Bhkh</t>
  </si>
  <si>
    <t>The facts</t>
  </si>
  <si>
    <t>Omar Rojas</t>
  </si>
  <si>
    <t>Gnet willie</t>
  </si>
  <si>
    <t>emmatheteachie</t>
  </si>
  <si>
    <t>Oli Shehaj</t>
  </si>
  <si>
    <t>DrawingWibMe</t>
  </si>
  <si>
    <t>Laura Barrett</t>
  </si>
  <si>
    <t>James McDonald</t>
  </si>
  <si>
    <t>Rhea Kaur Malhi</t>
  </si>
  <si>
    <t>Andrew Calabrese</t>
  </si>
  <si>
    <t>Little Damn Brittany</t>
  </si>
  <si>
    <t>Richard Kambinda</t>
  </si>
  <si>
    <t>Gui VW</t>
  </si>
  <si>
    <t>Wir müssen reden - Great -Reset- Awakening</t>
  </si>
  <si>
    <t>Ashlee Larsen</t>
  </si>
  <si>
    <t>lmao lmfao</t>
  </si>
  <si>
    <t>Vance H</t>
  </si>
  <si>
    <t>Mozege Boss</t>
  </si>
  <si>
    <t>Taiger Kamrul</t>
  </si>
  <si>
    <t>Global Health with Greg Martin</t>
  </si>
  <si>
    <t>Kris Ronsin Novakovic</t>
  </si>
  <si>
    <t>Kosalai Mohan</t>
  </si>
  <si>
    <t>Minal Ondhiya</t>
  </si>
  <si>
    <t>Shiva Raj Mishra</t>
  </si>
  <si>
    <t>dunkindonutmaster_09</t>
  </si>
  <si>
    <t>James Loader</t>
  </si>
  <si>
    <t>Mr A</t>
  </si>
  <si>
    <t>Roony Q</t>
  </si>
  <si>
    <t>Fatima Ahmed</t>
  </si>
  <si>
    <t>lily</t>
  </si>
  <si>
    <t>Freesciencelessons</t>
  </si>
  <si>
    <t>Ria Rahman</t>
  </si>
  <si>
    <t>Mo GamingHD</t>
  </si>
  <si>
    <t>Rob B</t>
  </si>
  <si>
    <t>Spectre _</t>
  </si>
  <si>
    <t>Amal Sebunya</t>
  </si>
  <si>
    <t>Mia Waldeck</t>
  </si>
  <si>
    <t>Anika H</t>
  </si>
  <si>
    <t>Kirthya Lavanesan</t>
  </si>
  <si>
    <t>Pheobe Makintosh</t>
  </si>
  <si>
    <t>Mary Ali</t>
  </si>
  <si>
    <t>mo azam</t>
  </si>
  <si>
    <t>sedar ortun</t>
  </si>
  <si>
    <t>YOU niverse</t>
  </si>
  <si>
    <t>N. A</t>
  </si>
  <si>
    <t>This Person</t>
  </si>
  <si>
    <t>Dana Al Tajer</t>
  </si>
  <si>
    <t>William Drury-Smith</t>
  </si>
  <si>
    <t>Destiny_x</t>
  </si>
  <si>
    <t>Novet</t>
  </si>
  <si>
    <t>b3ddies subs</t>
  </si>
  <si>
    <t>omar bedward</t>
  </si>
  <si>
    <t>Grace H</t>
  </si>
  <si>
    <t>krustykrab meat</t>
  </si>
  <si>
    <t>MuzMuntss</t>
  </si>
  <si>
    <t>Jay Dubelyew</t>
  </si>
  <si>
    <t>robloxfan TJ</t>
  </si>
  <si>
    <t>Nezar</t>
  </si>
  <si>
    <t>Alex Aajww</t>
  </si>
  <si>
    <t>Fire Emperor Zuko</t>
  </si>
  <si>
    <t>DaringToast</t>
  </si>
  <si>
    <t>SOYA MILK</t>
  </si>
  <si>
    <t>d stinger</t>
  </si>
  <si>
    <t>Rajan KANGURA</t>
  </si>
  <si>
    <t>Gojo Kun</t>
  </si>
  <si>
    <t>Daya Gill</t>
  </si>
  <si>
    <t>theletterk</t>
  </si>
  <si>
    <t>Antara Sharmin</t>
  </si>
  <si>
    <t>Helena Maria</t>
  </si>
  <si>
    <t>Evie-louise Allan</t>
  </si>
  <si>
    <t>HealthyCaribbean</t>
  </si>
  <si>
    <t>Sandy Carlie</t>
  </si>
  <si>
    <t>يا كلب</t>
  </si>
  <si>
    <t>Airbus A380-800</t>
  </si>
  <si>
    <t>Shadow Cooper</t>
  </si>
  <si>
    <t>Zahra Al-Batul</t>
  </si>
  <si>
    <t>Amit Bangari</t>
  </si>
  <si>
    <t>N M</t>
  </si>
  <si>
    <t>Tunnel Vision</t>
  </si>
  <si>
    <t>Joey</t>
  </si>
  <si>
    <t>Ronin</t>
  </si>
  <si>
    <t>Satan</t>
  </si>
  <si>
    <t>majwaska</t>
  </si>
  <si>
    <t>Theodora R Poli</t>
  </si>
  <si>
    <t>aadon and cloud</t>
  </si>
  <si>
    <t>Ismail B</t>
  </si>
  <si>
    <t>Safiya Ali</t>
  </si>
  <si>
    <t>Tango Rust</t>
  </si>
  <si>
    <t>Olivia Elliott</t>
  </si>
  <si>
    <t>taylormoseley</t>
  </si>
  <si>
    <t>Troy Templeton</t>
  </si>
  <si>
    <t>Please Wait !!</t>
  </si>
  <si>
    <t>Vishal Farma</t>
  </si>
  <si>
    <t>Abbie Rose</t>
  </si>
  <si>
    <t>Alex</t>
  </si>
  <si>
    <t>CHEY</t>
  </si>
  <si>
    <t>keavy cartledge</t>
  </si>
  <si>
    <t>Hexbugz</t>
  </si>
  <si>
    <t>طوق الياسمين</t>
  </si>
  <si>
    <t>N B</t>
  </si>
  <si>
    <t>Salome Balasuriya</t>
  </si>
  <si>
    <t>Mehnaaz</t>
  </si>
  <si>
    <t>HENIX</t>
  </si>
  <si>
    <t>Tony H</t>
  </si>
  <si>
    <t>Bima Yudistirangga</t>
  </si>
  <si>
    <t>Badiatul Khasanah</t>
  </si>
  <si>
    <t>Alfi ilhamu Fajri</t>
  </si>
  <si>
    <t>Meera Assan</t>
  </si>
  <si>
    <t>Hannan Jawad</t>
  </si>
  <si>
    <t>finn hadley-burgess</t>
  </si>
  <si>
    <t>Indah Sari Pendra</t>
  </si>
  <si>
    <t>Dan's Den</t>
  </si>
  <si>
    <t>EddEK</t>
  </si>
  <si>
    <t>Leah J</t>
  </si>
  <si>
    <t>Zain MAHMOOD</t>
  </si>
  <si>
    <t>super riley10</t>
  </si>
  <si>
    <t>Queen k</t>
  </si>
  <si>
    <t>eliza mae</t>
  </si>
  <si>
    <t>Richu Suresh</t>
  </si>
  <si>
    <t>Cat Croissant</t>
  </si>
  <si>
    <t>E2m3</t>
  </si>
  <si>
    <t>Guava Jelly</t>
  </si>
  <si>
    <t>Emma</t>
  </si>
  <si>
    <t>Angel Allan</t>
  </si>
  <si>
    <t>Olivia Woodrow</t>
  </si>
  <si>
    <t>Nada Awhussein</t>
  </si>
  <si>
    <t>Ben White</t>
  </si>
  <si>
    <t>Rari</t>
  </si>
  <si>
    <t>callum</t>
  </si>
  <si>
    <t>Gab the fab</t>
  </si>
  <si>
    <t>Kate W</t>
  </si>
  <si>
    <t>Andrew Barber</t>
  </si>
  <si>
    <t>John Rodgers</t>
  </si>
  <si>
    <t>Dripz_Izanagi</t>
  </si>
  <si>
    <t>halo.kookie</t>
  </si>
  <si>
    <t>Ben Powles</t>
  </si>
  <si>
    <t>An Ordinary Person</t>
  </si>
  <si>
    <t>nahshon mahadeo</t>
  </si>
  <si>
    <t>Manoharan Shagra</t>
  </si>
  <si>
    <t>Henry266</t>
  </si>
  <si>
    <t>maybe not sure</t>
  </si>
  <si>
    <t>gtrigwell</t>
  </si>
  <si>
    <t>K. C</t>
  </si>
  <si>
    <t>bahar sabet</t>
  </si>
  <si>
    <t>Kashif Hussain</t>
  </si>
  <si>
    <t>TK_Plays_CODM</t>
  </si>
  <si>
    <t>Amber Ahmed</t>
  </si>
  <si>
    <t>elmui</t>
  </si>
  <si>
    <t>Lacey Chapman</t>
  </si>
  <si>
    <t>milk</t>
  </si>
  <si>
    <t>Nicholas Theodorou</t>
  </si>
  <si>
    <t>Milly Harrison</t>
  </si>
  <si>
    <t>Annabel</t>
  </si>
  <si>
    <t>Mxster_Mj</t>
  </si>
  <si>
    <t>Mogzack</t>
  </si>
  <si>
    <t>wokejev</t>
  </si>
  <si>
    <t>SpeedyTheGecko</t>
  </si>
  <si>
    <t>Tom Foster</t>
  </si>
  <si>
    <t>Snowbafeld Howler</t>
  </si>
  <si>
    <t>infinity_sh</t>
  </si>
  <si>
    <t>TRS Sport</t>
  </si>
  <si>
    <t>Dela</t>
  </si>
  <si>
    <t>Tanmeet Sachdeva</t>
  </si>
  <si>
    <t>Lemon Roses</t>
  </si>
  <si>
    <t>i.k random</t>
  </si>
  <si>
    <t>Anthony Nguyen</t>
  </si>
  <si>
    <t>iiNexXxusヅ</t>
  </si>
  <si>
    <t>lawrence mills mills</t>
  </si>
  <si>
    <t>Diamond counter production and gaming</t>
  </si>
  <si>
    <t>imsimpingforzoëkravitz</t>
  </si>
  <si>
    <t>Wasabi Ni</t>
  </si>
  <si>
    <t>Vinnillaswirl123</t>
  </si>
  <si>
    <t>Zedd_1502</t>
  </si>
  <si>
    <t>zahin wajiha</t>
  </si>
  <si>
    <t>OnlyNoneMusic 2M</t>
  </si>
  <si>
    <t>Naomi Pollock</t>
  </si>
  <si>
    <t>A person</t>
  </si>
  <si>
    <t>Deadeye YouTube</t>
  </si>
  <si>
    <t>ShotzzVFX</t>
  </si>
  <si>
    <t>D B</t>
  </si>
  <si>
    <t>Ginge</t>
  </si>
  <si>
    <t>George Costich</t>
  </si>
  <si>
    <t>The George Institute</t>
  </si>
  <si>
    <t>Reynaldo Canario Juan TV</t>
  </si>
  <si>
    <t>prudence pineda</t>
  </si>
  <si>
    <t>nandini kore</t>
  </si>
  <si>
    <t>Lka Ajith</t>
  </si>
  <si>
    <t>vaishali sasane</t>
  </si>
  <si>
    <t>Sigek Wedar</t>
  </si>
  <si>
    <t>Rezitha Devia</t>
  </si>
  <si>
    <t>kami uses rinnegan</t>
  </si>
  <si>
    <t>Ethan Waire</t>
  </si>
  <si>
    <t>nee</t>
  </si>
  <si>
    <t>Ayush Singh</t>
  </si>
  <si>
    <t>SteveNathn</t>
  </si>
  <si>
    <t>Saswati Ghosh Roy</t>
  </si>
  <si>
    <t>Jenine Grant</t>
  </si>
  <si>
    <t>Prem Kumar</t>
  </si>
  <si>
    <t>Jeffery West</t>
  </si>
  <si>
    <t>Study First Instrumental Music TV</t>
  </si>
  <si>
    <t>William Henry</t>
  </si>
  <si>
    <t>JACEK DEPTUŁA</t>
  </si>
  <si>
    <t>MockALove</t>
  </si>
  <si>
    <t>Arrianah</t>
  </si>
  <si>
    <t>Aryan Hussain 499</t>
  </si>
  <si>
    <t>kigakome</t>
  </si>
  <si>
    <t>anurudda Pradeep</t>
  </si>
  <si>
    <t>Emily gacha</t>
  </si>
  <si>
    <t>Jacey Duane Aldaba</t>
  </si>
  <si>
    <t>Keerti Chaurasiya</t>
  </si>
  <si>
    <t>rvm</t>
  </si>
  <si>
    <t>Neeru Dubey</t>
  </si>
  <si>
    <t>Arantxa Cayón</t>
  </si>
  <si>
    <t>chinaenye obicheta</t>
  </si>
  <si>
    <t>Stefanie Rimpel</t>
  </si>
  <si>
    <t>Abhinav Vaidya</t>
  </si>
  <si>
    <t>Nirajan Pradhan</t>
  </si>
  <si>
    <t>Jsh White</t>
  </si>
  <si>
    <t>Assad Africa</t>
  </si>
  <si>
    <t>Sarita Devi</t>
  </si>
  <si>
    <t>Moaz Yahia</t>
  </si>
  <si>
    <t>GODLIKE mactal</t>
  </si>
  <si>
    <t>natalia.</t>
  </si>
  <si>
    <t>Mia_ _Roses</t>
  </si>
  <si>
    <t>Jake Balls</t>
  </si>
  <si>
    <t>Ayodeji Olopade</t>
  </si>
  <si>
    <t>Benjamin Tuyitegereze</t>
  </si>
  <si>
    <t>Duratusyifah</t>
  </si>
  <si>
    <t>Vhyrafhellianty Vhyra</t>
  </si>
  <si>
    <t>Sensei</t>
  </si>
  <si>
    <t>Fatima Mehdi</t>
  </si>
  <si>
    <t>Noor Patel</t>
  </si>
  <si>
    <t>missunun</t>
  </si>
  <si>
    <t>Aiza Tibon</t>
  </si>
  <si>
    <t>mystkmyke</t>
  </si>
  <si>
    <t>Ashley H</t>
  </si>
  <si>
    <t>Kent Robinson</t>
  </si>
  <si>
    <t>the guy in the background Gameing</t>
  </si>
  <si>
    <t>Max Force</t>
  </si>
  <si>
    <t>Angela Oakley</t>
  </si>
  <si>
    <t>J. NVTN</t>
  </si>
  <si>
    <t>CHANA</t>
  </si>
  <si>
    <t>Julee Das</t>
  </si>
  <si>
    <t>Yuvraj Prasad</t>
  </si>
  <si>
    <t>Addi Ifill</t>
  </si>
  <si>
    <t>Cheese</t>
  </si>
  <si>
    <t>m18 87</t>
  </si>
  <si>
    <t>That's Interesting.</t>
  </si>
  <si>
    <t>Elliot and friends</t>
  </si>
  <si>
    <t>Synth Vipex Xx</t>
  </si>
  <si>
    <t>Static Screen</t>
  </si>
  <si>
    <t>Shakiera Clarke</t>
  </si>
  <si>
    <t>aashray bhattad</t>
  </si>
  <si>
    <t>Armando Urizar</t>
  </si>
  <si>
    <t>Andrew’s What if’s</t>
  </si>
  <si>
    <t>reese teves</t>
  </si>
  <si>
    <t>my account is gone</t>
  </si>
  <si>
    <t>Colten Pearson</t>
  </si>
  <si>
    <t>Pro 1234</t>
  </si>
  <si>
    <t>Hamza Daaboul</t>
  </si>
  <si>
    <t>Edward Copeland</t>
  </si>
  <si>
    <t>MARIA ASHNA KUMAR</t>
  </si>
  <si>
    <t>Sarita Rathord</t>
  </si>
  <si>
    <t>Zacharie-Kyle Percil</t>
  </si>
  <si>
    <t>animated life</t>
  </si>
  <si>
    <t>Tanu Sharma</t>
  </si>
  <si>
    <t>AriesChic Pinder</t>
  </si>
  <si>
    <t>Arielle kouadio</t>
  </si>
  <si>
    <t>GREENWH33L_YT</t>
  </si>
  <si>
    <t>Rebika Sangma</t>
  </si>
  <si>
    <t>Vishanth R</t>
  </si>
  <si>
    <t>Yokanantha Babu</t>
  </si>
  <si>
    <t>Shlesha Maniar</t>
  </si>
  <si>
    <t>ishaan mafia</t>
  </si>
  <si>
    <t>mͥสyͣuͫkhツ Ghøsh</t>
  </si>
  <si>
    <t>Eric</t>
  </si>
  <si>
    <t>Saad ElHayani</t>
  </si>
  <si>
    <t>ALDEN JOSIAH FERNANDES CLASS VI</t>
  </si>
  <si>
    <t>Sushila Kullu</t>
  </si>
  <si>
    <t>renuka pulchand</t>
  </si>
  <si>
    <t>Rahul Wankhede</t>
  </si>
  <si>
    <t>Yomanzzz</t>
  </si>
  <si>
    <t>Dark Gaming</t>
  </si>
  <si>
    <t>Aida Batac</t>
  </si>
  <si>
    <t>Gerald rogers</t>
  </si>
  <si>
    <t>Ryan McNeish</t>
  </si>
  <si>
    <t>FuriousShadow</t>
  </si>
  <si>
    <t>Error404</t>
  </si>
  <si>
    <t>Hana Tesfaye</t>
  </si>
  <si>
    <t>Kabita Devi</t>
  </si>
  <si>
    <t>Agent 190</t>
  </si>
  <si>
    <t>Aster Sanchez</t>
  </si>
  <si>
    <t>Collen</t>
  </si>
  <si>
    <t>Lander</t>
  </si>
  <si>
    <t>Radcliff Alabas</t>
  </si>
  <si>
    <t>Shadei</t>
  </si>
  <si>
    <t>s!mp_ chXn</t>
  </si>
  <si>
    <t>Bhavya Show</t>
  </si>
  <si>
    <t>Jagraj Singh</t>
  </si>
  <si>
    <t>Hamm SlayDog</t>
  </si>
  <si>
    <t>Sheetal Kataria</t>
  </si>
  <si>
    <t>Study IQ education</t>
  </si>
  <si>
    <t>Iram Farooqui</t>
  </si>
  <si>
    <t>UgzjpZSlA6SdN90Spkt4AaABAg</t>
  </si>
  <si>
    <t>UgyKKP7G4vZdsETBl614AaABAg</t>
  </si>
  <si>
    <t>UgwWi-QY08i0IdE7mfl4AaABAg</t>
  </si>
  <si>
    <t>Ugx6OgeYoQHKRKa-Qn94AaABAg</t>
  </si>
  <si>
    <t>UgyMEtWjEXsHBq6xZJh4AaABAg</t>
  </si>
  <si>
    <t>UgyKNKxf2-fz8kF_8NV4AaABAg</t>
  </si>
  <si>
    <t>Ugy4IEb8ecFYvewXaWl4AaABAg</t>
  </si>
  <si>
    <t>Ugx2gxJrPVfuDdb0YH54AaABAg</t>
  </si>
  <si>
    <t>UgzciYFVVfHA0IO2TyZ4AaABAg</t>
  </si>
  <si>
    <t>Ugxl-7wGgWJaTr18TvN4AaABAg</t>
  </si>
  <si>
    <t>UgxntMQ8q-k0eoxoMy54AaABAg</t>
  </si>
  <si>
    <t>Ugz9l8mxOGf15q_JvSl4AaABAg</t>
  </si>
  <si>
    <t>UgxwzYO7PL375Ymamr14AaABAg</t>
  </si>
  <si>
    <t>UgxVMAHb7HWU-r0dBid4AaABAg</t>
  </si>
  <si>
    <t>UgxSlA1R5-pMEntHKud4AaABAg</t>
  </si>
  <si>
    <t>UgxwhvfQdCHFgaWapRh4AaABAg</t>
  </si>
  <si>
    <t>UgziyTKpKR8PWc26MCJ4AaABAg</t>
  </si>
  <si>
    <t>Ugy4aFjtnBH11vMoyG54AaABAg</t>
  </si>
  <si>
    <t>UgwLIXJz0AbbJagal394AaABAg</t>
  </si>
  <si>
    <t>Ugx4mF1Z_hBCcn-Lg1B4AaABAg</t>
  </si>
  <si>
    <t>Ugyc4WfIBqjJtbBmVjR4AaABAg</t>
  </si>
  <si>
    <t>Ugymj-NyOpZeHrgGFal4AaABAg</t>
  </si>
  <si>
    <t>Ugwm-saPVcjPk1W5JHF4AaABAg</t>
  </si>
  <si>
    <t>UgwwiaVTYcgiMxv3f1t4AaABAg</t>
  </si>
  <si>
    <t>UgyNAFM4zeifVcIp3Vp4AaABAg</t>
  </si>
  <si>
    <t>Ugjxsc27_Ta6VXgCoAEC</t>
  </si>
  <si>
    <t>UgyvjpWf5M0JG9iNe5V4AaABAg</t>
  </si>
  <si>
    <t>Ugxh1VAtkvbnDDzGmm94AaABAg</t>
  </si>
  <si>
    <t>Ugx2W5Im-8Yj22EtKzB4AaABAg</t>
  </si>
  <si>
    <t>UgwKIorvZMM-27luBFl4AaABAg</t>
  </si>
  <si>
    <t>Ugzv6bKGONmlmAeRbJh4AaABAg</t>
  </si>
  <si>
    <t>UgwCm88VF6PYPIuXl2l4AaABAg</t>
  </si>
  <si>
    <t>Ugy90SJQG1LSBoAy4_14AaABAg</t>
  </si>
  <si>
    <t>UgwVot7mp0Bnq6Jyd-B4AaABAg</t>
  </si>
  <si>
    <t>UgzWUj4fdxoIgWjrUzl4AaABAg</t>
  </si>
  <si>
    <t>Ugxp2SAe4D1vTXUemex4AaABAg</t>
  </si>
  <si>
    <t>UgzaGgZq7bvMP1Nhkih4AaABAg</t>
  </si>
  <si>
    <t>Ugw9Hdy7KHFQIF4PnXB4AaABAg</t>
  </si>
  <si>
    <t>Ugz-hHhzaOClh3K9D6V4AaABAg</t>
  </si>
  <si>
    <t>UgwDUNnKTRrefjC2Czl4AaABAg</t>
  </si>
  <si>
    <t>UgyZ5scNLatW64FGLvl4AaABAg</t>
  </si>
  <si>
    <t>Ugxf03Uz-c6TzPTz9BB4AaABAg</t>
  </si>
  <si>
    <t>UgwIDAHkamKdBEmOVEh4AaABAg</t>
  </si>
  <si>
    <t>UgwTY9F_Z6HkhOYKD9l4AaABAg</t>
  </si>
  <si>
    <t>UgxnRVRIRbCfiG-OE214AaABAg</t>
  </si>
  <si>
    <t>UgykEx_nxU6dC6Xxc5B4AaABAg</t>
  </si>
  <si>
    <t>UgwvPadWCeAiNnbJU-l4AaABAg</t>
  </si>
  <si>
    <t>Ugz7UyvudZLyV71RNa14AaABAg</t>
  </si>
  <si>
    <t>UgzOVzgo7bT5ZisAZEp4AaABAg</t>
  </si>
  <si>
    <t>UgxHMNvJLb2ezUHxM5B4AaABAg</t>
  </si>
  <si>
    <t>UgjwNMMzVcsuangCoAEC</t>
  </si>
  <si>
    <t>UghGSg2b1Q3l6ngCoAEC</t>
  </si>
  <si>
    <t>UgxolvUGkNbpW_SldsV4AaABAg</t>
  </si>
  <si>
    <t>UgwPlOGdfqUwWMSNtf54AaABAg</t>
  </si>
  <si>
    <t>UgzKf7m5WpLtGUCsKq54AaABAg</t>
  </si>
  <si>
    <t>UgwDrmyYeudRpMO-O_Z4AaABAg</t>
  </si>
  <si>
    <t>UgwkV83alL5mkcJ0dcd4AaABAg</t>
  </si>
  <si>
    <t>UgyU5xTFygA09E10DQh4AaABAg</t>
  </si>
  <si>
    <t>Ugys864aOgUHXSeLVQd4AaABAg</t>
  </si>
  <si>
    <t>UghMzHWHqdAKwXgCoAEC</t>
  </si>
  <si>
    <t>Ugh2LlkIQ8wO_HgCoAEC</t>
  </si>
  <si>
    <t>UgjeQb-1r6RM1ngCoAEC</t>
  </si>
  <si>
    <t>UghqkvLP-1TTdXgCoAEC</t>
  </si>
  <si>
    <t>UgjFzZOhl1ouE3gCoAEC</t>
  </si>
  <si>
    <t>UgwILlPkzY8BpUKYSVZ4AaABAg</t>
  </si>
  <si>
    <t>UgxvHvSonFMMDb8PPCl4AaABAg</t>
  </si>
  <si>
    <t>UgwlFVz1FYTaOh5kCLx4AaABAg</t>
  </si>
  <si>
    <t>Ugw5tlUOp0YCFNaVdmx4AaABAg</t>
  </si>
  <si>
    <t>UgxGVFHxSqYI1k12ujB4AaABAg</t>
  </si>
  <si>
    <t>UgxC9K-tPkll02kBgBd4AaABAg</t>
  </si>
  <si>
    <t>UgxvbZHF9SB1svS12lR4AaABAg</t>
  </si>
  <si>
    <t>Ugw506QpRUVqb7jUrdV4AaABAg</t>
  </si>
  <si>
    <t>UgzhsnNVVI_ViwDO7BR4AaABAg</t>
  </si>
  <si>
    <t>Ugz6Hs3eXsza8LgjiVF4AaABAg</t>
  </si>
  <si>
    <t>UgyfmnQgE0d6nt4hYA54AaABAg</t>
  </si>
  <si>
    <t>UgzSAcLWnotCrYm2Ggt4AaABAg</t>
  </si>
  <si>
    <t>UgySa8_uHCAopJW88Tt4AaABAg</t>
  </si>
  <si>
    <t>UgwxUkTlEG3IyGvDmPR4AaABAg</t>
  </si>
  <si>
    <t>UgyLESuoCYp-Jg4hza54AaABAg</t>
  </si>
  <si>
    <t>UgzIy5ohII9-2qbR2BV4AaABAg</t>
  </si>
  <si>
    <t>UgwGr5rpDTFE3IaoInl4AaABAg</t>
  </si>
  <si>
    <t>UgyfTJJFHPlbAQEqYNl4AaABAg</t>
  </si>
  <si>
    <t>UgzLBP18bdCldi_NtFF4AaABAg</t>
  </si>
  <si>
    <t>Ugx-YWS50HK_e7kIoLN4AaABAg</t>
  </si>
  <si>
    <t>UgxccqcvUqs08iHuW454AaABAg</t>
  </si>
  <si>
    <t>UgzQ0wKogZmYQOIQWT94AaABAg</t>
  </si>
  <si>
    <t>UgwWyMiCIDGie5SpnAF4AaABAg</t>
  </si>
  <si>
    <t>UgzA67xqFtPcajJ2OpZ4AaABAg</t>
  </si>
  <si>
    <t>Ugxu-RJUR_Qto-Lwk4J4AaABAg</t>
  </si>
  <si>
    <t>Ugx5zjk_4pgUm62l9dB4AaABAg</t>
  </si>
  <si>
    <t>Ugxt-bj27hMLvLjwQk94AaABAg</t>
  </si>
  <si>
    <t>Ugx7HZdtHkxzwi-ZkJZ4AaABAg</t>
  </si>
  <si>
    <t>UgzOZ-DEIyz5proHEWJ4AaABAg</t>
  </si>
  <si>
    <t>UgyZxG9BerufP1ZNu_d4AaABAg</t>
  </si>
  <si>
    <t>UgwOeCJSgiUw8YDeoSl4AaABAg</t>
  </si>
  <si>
    <t>UgxE1T39sQwM0FlMvRl4AaABAg</t>
  </si>
  <si>
    <t>UgwlfpOo4grCCH4J3Z14AaABAg</t>
  </si>
  <si>
    <t>UgxKw0SRadaVfNF2owl4AaABAg</t>
  </si>
  <si>
    <t>Ugw8cwN5ZInEUfiNiZt4AaABAg</t>
  </si>
  <si>
    <t>Ugyne6tBNcPKbzyw1Ft4AaABAg</t>
  </si>
  <si>
    <t>UgxBk7VUoGkrZfkPX0B4AaABAg</t>
  </si>
  <si>
    <t>Ugznj2-Nn7VaV6DAV0B4AaABAg</t>
  </si>
  <si>
    <t>UgwPucVAFEnNFxsrUrB4AaABAg</t>
  </si>
  <si>
    <t>UgzpYEHoXQHqlDzsetN4AaABAg</t>
  </si>
  <si>
    <t>UggoXkmDIiEgSXgCoAEC</t>
  </si>
  <si>
    <t>UggMiaxZXEjAJ3gCoAEC</t>
  </si>
  <si>
    <t>UgzsBOx3ON05WwMmKCB4AaABAg</t>
  </si>
  <si>
    <t>Ugzdfrj9iCuNCxVrD3x4AaABAg</t>
  </si>
  <si>
    <t>UgzcrnK1kYFF4lIFFQV4AaABAg</t>
  </si>
  <si>
    <t>UgymxjBLREbCQqGfWjF4AaABAg</t>
  </si>
  <si>
    <t>UgzuhkDCWMOYFsNx9td4AaABAg</t>
  </si>
  <si>
    <t>UgypyQddKYvS8PkQG9l4AaABAg</t>
  </si>
  <si>
    <t>UgyG7pkw3_qD3XIySHd4AaABAg</t>
  </si>
  <si>
    <t>Ugygkm6YzbwbNe-n9tt4AaABAg</t>
  </si>
  <si>
    <t>Ugya1inrWUvvHowJAI94AaABAg</t>
  </si>
  <si>
    <t>Ugyy5RKSoMWxigwH-yx4AaABAg</t>
  </si>
  <si>
    <t>UgwDKLGFaQ5vIofNRo54AaABAg</t>
  </si>
  <si>
    <t>Ugy9rNk_rG2uiOPdzyh4AaABAg</t>
  </si>
  <si>
    <t>Ugzk2T4uEJtYGd9zIEZ4AaABAg</t>
  </si>
  <si>
    <t>UgzY3vImspwDUTKOFx94AaABAg</t>
  </si>
  <si>
    <t>UgyltWU6FV2kpylekn14AaABAg</t>
  </si>
  <si>
    <t>f5vABZt80AQ</t>
  </si>
  <si>
    <t>A1MrJb2pXgA</t>
  </si>
  <si>
    <t>ggOqMncgemw</t>
  </si>
  <si>
    <t>HeOcduRiqyw</t>
  </si>
  <si>
    <t>LBkXQ_mBO3Q</t>
  </si>
  <si>
    <t>iy-47a68P60</t>
  </si>
  <si>
    <t>vpEAos0blyw</t>
  </si>
  <si>
    <t>mNWdLV2Cv0U</t>
  </si>
  <si>
    <t>qr6waNqVjrw</t>
  </si>
  <si>
    <t>qoyPQNU9ypc</t>
  </si>
  <si>
    <t>PmNVhCoki_E</t>
  </si>
  <si>
    <t>niztAhOnXpQ</t>
  </si>
  <si>
    <t>4gDOjS0xRAQ</t>
  </si>
  <si>
    <t>lruYVSGcxHs</t>
  </si>
  <si>
    <t>CjLTpEupuf8</t>
  </si>
  <si>
    <t>xS_txj05aTQ</t>
  </si>
  <si>
    <t>5Q411ntL0jQ</t>
  </si>
  <si>
    <t>TAO_rztPO80</t>
  </si>
  <si>
    <t>Td1itX2lMss</t>
  </si>
  <si>
    <t>1NoK5x9eG_k</t>
  </si>
  <si>
    <t>pfKPJasaDSY</t>
  </si>
  <si>
    <t>H6DrSG_KQjo</t>
  </si>
  <si>
    <t>VCfyylZdmG0</t>
  </si>
  <si>
    <t>QYWNXp36O48</t>
  </si>
  <si>
    <t>AvwX1m4LR4w</t>
  </si>
  <si>
    <t>Uuk8iIhq-Do</t>
  </si>
  <si>
    <t>uGHwpg-fJvc</t>
  </si>
  <si>
    <t>u6lYsNsor9c</t>
  </si>
  <si>
    <t>MWk8XJWEiO4</t>
  </si>
  <si>
    <t>fK1_SH3X2ek</t>
  </si>
  <si>
    <t>_iatKXqz1Ug</t>
  </si>
  <si>
    <t>35YxoCAKKYw</t>
  </si>
  <si>
    <t>1122XOjo1iM</t>
  </si>
  <si>
    <t>q2zxHaxjoDQ</t>
  </si>
  <si>
    <t>7iZSO_vqLa4</t>
  </si>
  <si>
    <t>vawW1_p2p64</t>
  </si>
  <si>
    <t>khC0wedp-K8</t>
  </si>
  <si>
    <t>eoRbJqpWwo0</t>
  </si>
  <si>
    <t>B8zRA1fKJrA</t>
  </si>
  <si>
    <t>gwgqd1742kw</t>
  </si>
  <si>
    <t>uGZbbC0Smi4</t>
  </si>
  <si>
    <t>Na5VOjJAjCI</t>
  </si>
  <si>
    <t>XnLXIPqXV3A</t>
  </si>
  <si>
    <t>none</t>
  </si>
  <si>
    <t xml:space="preserve"> https://youtu.be/cRB0pNL5Lmk https://youtu.be/cRB0pNL5Lmk</t>
  </si>
  <si>
    <t xml:space="preserve"> https://www.youtube.com/watch?v=ggOqMncgemw&amp;amp;t=13m25s</t>
  </si>
  <si>
    <t xml:space="preserve"> https://www.youtube.com/watch?v=HeOcduRiqyw&amp;amp;t=12m40s</t>
  </si>
  <si>
    <t xml:space="preserve"> https://www.youtube.com/watch?v=LBkXQ_mBO3Q&amp;amp;t=1m05s</t>
  </si>
  <si>
    <t xml:space="preserve"> https://www.youtube.com/watch?v=LBkXQ_mBO3Q&amp;amp;t=0m50s</t>
  </si>
  <si>
    <t xml:space="preserve"> http://solido2.co.za/</t>
  </si>
  <si>
    <t xml:space="preserve"> http://gmail.com/</t>
  </si>
  <si>
    <t xml:space="preserve"> http://gmail.com/ https://m.facebook.com/Dr-Ehimare-486420321924941 https://m.facebook.com/Dr-Ehimare-486420321924941</t>
  </si>
  <si>
    <t xml:space="preserve"> http://liulife.org/ http://liulife.org/</t>
  </si>
  <si>
    <t xml:space="preserve"> https://www.youtube.com/watch?v=iy-47a68P60&amp;amp;t=2m41s</t>
  </si>
  <si>
    <t xml:space="preserve"> https://www.youtube.com/watch?v=iy-47a68P60&amp;amp;t=3m33s</t>
  </si>
  <si>
    <t xml:space="preserve"> https://www.youtube.com/watch?v=8nOuAUfXjzQ https://www.youtube.com/watch?v=8nOuAUfXjzQ</t>
  </si>
  <si>
    <t xml:space="preserve"> https://www.youtube.com/watch?v=vpEAos0blyw&amp;amp;t=12m33s</t>
  </si>
  <si>
    <t xml:space="preserve"> https://www.youtube.com/watch?v=vpEAos0blyw&amp;amp;t=5m18s</t>
  </si>
  <si>
    <t xml:space="preserve"> https://www.youtube.com/watch?v=vpEAos0blyw&amp;amp;t=5m24s</t>
  </si>
  <si>
    <t xml:space="preserve"> https://youtu.be/ar2UyGn27RU https://youtu.be/ar2UyGn27RU</t>
  </si>
  <si>
    <t xml:space="preserve"> https://www.youtube.com/watch?v=vpEAos0blyw&amp;amp;t=0m16s</t>
  </si>
  <si>
    <t xml:space="preserve"> https://bit.ly/32j1Zq1 https://bit.ly/32j1Zq1</t>
  </si>
  <si>
    <t xml:space="preserve"> http://www.kclpharmacy.com/ https://youtu.be/sWTtD-aE-q8 https://youtu.be/sWTtD-aE-q8 https://www.facebook.com/kclpharmacy/ https://www.facebook.com/kclpharmacy/</t>
  </si>
  <si>
    <t xml:space="preserve"> https://www.youtube.com/watch?v=5Q411ntL0jQ&amp;amp;t=03m54s</t>
  </si>
  <si>
    <t xml:space="preserve"> https://www.youtube.com/watch?v=H6DrSG_KQjo&amp;amp;t=3m34s</t>
  </si>
  <si>
    <t xml:space="preserve"> http://www.youtube.com/results?search_query=%232019GCSEs</t>
  </si>
  <si>
    <t xml:space="preserve"> http://www.youtube.com/results?search_query=%23LastMinuteSquad</t>
  </si>
  <si>
    <t xml:space="preserve"> https://gurudeseyesubai.org/hidden-causes-of-disease-3/ https://gurudeseyesubai.org/hidden-causes-of-disease-3/</t>
  </si>
  <si>
    <t xml:space="preserve"> http://paho.org/</t>
  </si>
  <si>
    <t xml:space="preserve"> http://www.paho.org/nmh</t>
  </si>
  <si>
    <t xml:space="preserve"> https://www.youtube.com/watch?v=fK1_SH3X2ek&amp;amp;t=2m13s</t>
  </si>
  <si>
    <t xml:space="preserve"> https://play.google.com/store/apps/details?id=com.wow.studyiq https://play.google.com/store/apps/details?id=com.wow.studyiq https://bit.ly/2xxuT9B https://bit.ly/2xxuT9B https://t.me/DrVipanGoyal https://t.me/DrVipanGoyal https://bit.ly/2ODgNaf https://bit.ly/2ODgNaf https://www.facebook.com/vipangoyal13 https://www.facebook.com/vipangoyal13 http://gmail.com/</t>
  </si>
  <si>
    <t>youtu.be youtu.be</t>
  </si>
  <si>
    <t>youtube.com</t>
  </si>
  <si>
    <t>co.za</t>
  </si>
  <si>
    <t>gmail.com</t>
  </si>
  <si>
    <t>gmail.com facebook.com facebook.com</t>
  </si>
  <si>
    <t>liulife.org liulife.org</t>
  </si>
  <si>
    <t>youtube.com youtube.com</t>
  </si>
  <si>
    <t>bit.ly bit.ly</t>
  </si>
  <si>
    <t>kclpharmacy.com youtu.be youtu.be facebook.com facebook.com</t>
  </si>
  <si>
    <t>gurudeseyesubai.org gurudeseyesubai.org</t>
  </si>
  <si>
    <t>paho.org</t>
  </si>
  <si>
    <t>google.com google.com bit.ly bit.ly t.me t.me bit.ly bit.ly facebook.com facebook.com gmail.com</t>
  </si>
  <si>
    <t/>
  </si>
  <si>
    <t>Title</t>
  </si>
  <si>
    <t>Description</t>
  </si>
  <si>
    <t>Custom URL</t>
  </si>
  <si>
    <t>Thumbnail</t>
  </si>
  <si>
    <t>View Count</t>
  </si>
  <si>
    <t>Comment Count</t>
  </si>
  <si>
    <t>Subscriber Count</t>
  </si>
  <si>
    <t>Hidden Subscriber Count</t>
  </si>
  <si>
    <t>Video Count</t>
  </si>
  <si>
    <t>Content Owner</t>
  </si>
  <si>
    <t>Time Linked</t>
  </si>
  <si>
    <t>Custom Menu Item Text</t>
  </si>
  <si>
    <t>Custom Menu Item Action</t>
  </si>
  <si>
    <t>myGCSEscience</t>
  </si>
  <si>
    <t>Let's Crack UPSC CSE Hindi</t>
  </si>
  <si>
    <t>National Institute for Communicable Diseases</t>
  </si>
  <si>
    <t>Florida PASS Program</t>
  </si>
  <si>
    <t>World Health Organization (WHO)</t>
  </si>
  <si>
    <t>CITV Bermuda</t>
  </si>
  <si>
    <t>TEDx Talks</t>
  </si>
  <si>
    <t>Population Reference Bureau</t>
  </si>
  <si>
    <t>WHO Eastern Mediterranean Region</t>
  </si>
  <si>
    <t>PAHO TV</t>
  </si>
  <si>
    <t>WHO Regional Office for Europe</t>
  </si>
  <si>
    <t>ILSI Global</t>
  </si>
  <si>
    <t>Faculty of Pharmacy بالعربي</t>
  </si>
  <si>
    <t>F1000</t>
  </si>
  <si>
    <t>TheSynapse</t>
  </si>
  <si>
    <t>World Health Organization South-East Asia Region - WHO SEARO</t>
  </si>
  <si>
    <t>Oxford Academic (Oxford University Press)</t>
  </si>
  <si>
    <t>acmedsci</t>
  </si>
  <si>
    <t>This channel are exclusively for nurses and medical students who are interested to update their knowledge, preparing for various competitive exams, or want to review their info. there are all type of nursing and pharmacology related video is available, previous year solved question paper of Nursing exams, and some GK related questions is available and  some topic related with Nursing and medical  subjects, like Anatomy, Physiology, Psychiatric , Medical Surgical Nursing, Community health nursing, Statistics , Research ,Administration , Paediatric, Midwifery, Gynaecology, Oncology, Fundamental of nursing, Sociology, Psychology Genetics,. Nutrition and Current GK ....in this channel you guys find the job notification , admission in the universities and all type of news related with all exams of paramedical and science .</t>
  </si>
  <si>
    <t>You will become better by making others life better._xD83D__xDE0A__xD83D__xDE0A__xD83E__xDD70_</t>
  </si>
  <si>
    <t>Welcome to _xD83D__xDCAD_dream story youTube channel
All of our stories _xD83D__xDCD6_contain a lesson for children
Thanks _xD83D__xDE4F__xD83D__xDC95_for your love and support</t>
  </si>
  <si>
    <t>Achieve outstanding results in GSCE Science - www.my-GCSEscience.com.
My GCSE Science is the UK’s leading source of premium video tutorials dedicated to the new 9-1 Science GCSEs. Specialist teaching, direct to the student, all at a small fraction of the cost of a tutor. 
Our experienced science teachers - who are specialists in their subjects - have created 200 video concise, supportive tutorials, which cover the entire specification, topic by topic, across Biology, Chemistry and Physics for each of the Edexcel, AQA and OCR exam boards.
Watching videos is an enjoyable and effective way to learn and revise GCSE Science. We support you through the course so you’re confident and fully-prepared for your exams.
For much more - everything you need to get great grades in GCSE Science - go to www.my-GCSEscience.com.</t>
  </si>
  <si>
    <t>G. Knowledge</t>
  </si>
  <si>
    <t>Welcome to Let's Crack UPSC CSE Hindi, your one-stop solution for UPSC CSE preparation in Hindi.
India’s top educators will be teaching you daily on this channel. We will cover the entire syllabus, strategy, updates, and notifications which will help you to crack the UPSC CSE exam.
Unacademy platform has the best educators from all over the country, who take live classes every day.
Subscribe to our channel!</t>
  </si>
  <si>
    <t>UPSC Aspirants</t>
  </si>
  <si>
    <t>J..</t>
  </si>
  <si>
    <t>INCLUDING GAMING VIDEOS 
TECH VIDEOS
OTHERS</t>
  </si>
  <si>
    <t>If u like my videos then please  like, share and do subscribe to my channel.</t>
  </si>
  <si>
    <t>Be Loyal</t>
  </si>
  <si>
    <t>Songs</t>
  </si>
  <si>
    <t>Engineer</t>
  </si>
  <si>
    <t>simple living high thinking ....i don't make love i bang hard ...</t>
  </si>
  <si>
    <t>स्वागत है आपका हमारे YOU TUBE चैनल ░░░░░░░░░
◕‿◕
ıllıllı⭐_xD83C__xDF1F_ J͙o͙h͙a͙r͙ h͙e͙a͙l͙t͙h͙  
◕‿◕
·.★·.·´¯`·.·★ _xD83C__xDD79__xD83C__xDD7E__xD83C__xDD77__xD83C__xDD70__xD83C__xDD81_           _xD83C__xDD77__xD83C__xDD74__xD83C__xDD70__xD83C__xDD7B__xD83C__xDD83__xD83C__xDD77_ ★·.·´¯`·.·★.·
    ✿.｡.:* ☆: " Johar health " ✿.｡.:* ☆:**:
◕‿◕  ◕‿◕   ◕‿◕
◕‿◕  [[[ अब देश दुनिया पहचान पाएगी आदिवासी कल्चर को ।।✿.｡.:* ☆:**:
●●● हमारे चैनल को सब्सक्राईब करे ।।
●◉✿
●● हमारा मकसद/ उद्देश्य कीसी समाज या मानव जाती को ठेस पहुचाना नहि है ।।       ◕‿◕
●◉✿
░░░░░░░░░░░░░░
_xD83C__xDF0F_ इस चैनल में आदिवासी  संस्कृति कल्चर , खान पान , बोली भाषा , पहनावा की जानकारी मील सकेगी ●◉✿
 ओर health 
समाज कल्याण के  बारे में बताया गया है 
 मैंरे सभी भाईयों को मेंरी ओर से जोहार 
#JOHAR_HEALTH
    dungarpur rajasthan 
░░░░░░░░░░░░░░░░░░░░░░░░░░░
Thanks support me 
Web. Joharhealth.blogspot.com
Contect Email dendoranu@gmail.com
░░░░░░░░░░░░░░░░░░░░░░░░░░░░░░░░░░░░░░░░░░░░░</t>
  </si>
  <si>
    <t>In this channel I will show you how to download paid games and  apps _xD83C__xDFAE__xD83D__xDCF1_ _xD83D__xDC4D__xD83D__xDC4D__xD83D__xDC4D__xD83D__xDC4D__xD83D__xDC4D__xD83D__xDE4F__xD83D__xDE4F__xD83D__xDE00__xD83D__xDE00_  subscribe my channel</t>
  </si>
  <si>
    <t>This Channel is for Defence Aspirants especially preparing for CAPF's</t>
  </si>
  <si>
    <t>Serves as an organ for gathering intelligence on communicable diseases such as TB,HIV and others that are of relevance to South Africa</t>
  </si>
  <si>
    <t>DIE-CAST CARS COLLECTOR</t>
  </si>
  <si>
    <t>•welcome ladies• this is a actually a app for vsco girl tips and dresses lifestyle apps songs and much more. And yes always feel free to ask me questions down the comments. 
                   :Reminder:
              °darling ur beautiful°</t>
  </si>
  <si>
    <t>حسابي على - أنـَستـَاٱ 
www.instagram.com/8q1o</t>
  </si>
  <si>
    <t>123456789 I</t>
  </si>
  <si>
    <t xml:space="preserve">Hello! I'm SkippyUnicorn.
I am going to post roblox content for you all to enjoy, i might also make other contents but mostly its gonna be roblox.
Make sure your subscribed to me cus you should be C;
I love playing roblox and i want to share my experiances with you all :)
</t>
  </si>
  <si>
    <t>This channel will provide the viewers knowledge about teacher education.</t>
  </si>
  <si>
    <t>Be happy 
Enjoy the food
Stay home stay safe 
Please like share and subscribe</t>
  </si>
  <si>
    <t>Hello friends,
This channel is for sharing something new related to biology, financial freedoms and stress-busting tips &amp; info.</t>
  </si>
  <si>
    <t xml:space="preserve">Friends Please Subscribe and show your support </t>
  </si>
  <si>
    <t>13 year old boy making gaming video best friend grininja gaming https://youtu.be/Wh83Eed9qfk</t>
  </si>
  <si>
    <t>don't WATCH</t>
  </si>
  <si>
    <t>|GTA game play Over Watch and more| Coming back ✅ sub or you owe a hug 
Instagram- Salvi24savage 
Twitter- greasyman224
I don’t use Snapchat bitch</t>
  </si>
  <si>
    <t>Create something  new in free time and my pets funny moments
Video every Friday, Saturday,and sunday</t>
  </si>
  <si>
    <t>Sub to my boi https://youtu.be/0ZtxJ6iDLtA</t>
  </si>
  <si>
    <t>Nischay bhaiya ki windmill _xD83D__xDE17_❤️ follow me on instagram id- nischayxdestiny
Yahan pe aapko edits milenge sirf nischay bhaiya ke liye_xD83D__xDE0C_✨
Jao jaake edits enjoy karo
About page ke liye bas itna hi_xD83D__xDE17__xD83D__xDE4F__xD83C__xDFFB_</t>
  </si>
  <si>
    <t xml:space="preserve">idv; nia聂
genshin; nia聂
</t>
  </si>
  <si>
    <t>Join the knight squad your aloud eternal knight , red knight , Altima knight , dark red knight , frozen red knight , black knight and Mandalorian.</t>
  </si>
  <si>
    <t>I love you all_xD83D__xDE0D_my loves</t>
  </si>
  <si>
    <t>_xD83D__xDD4B_._xD835__xDD6C__xD835__xDD91__xD835__xDD91__xD835__xDD86__xD835__xDD8D_ _xD835__xDD8E__xD835__xDD98_ _xD835__xDD86__xD835__xDD91__xD835__xDD9C__xD835__xDD86__xD835__xDD9E__xD835__xDD98_ _xD835__xDD8C__xD835__xDD97__xD835__xDD8A__xD835__xDD86__xD835__xDD99_. _xD83D__xDD4B_♥️._xD835__xDD74_ _xD835__xDD91__xD835__xDD94__xD835__xDD9B__xD835__xDD8A_ _xD835__xDD92__xD835__xDD9E_ _xD835__xDD8B__xD835__xDD97__xD835__xDD8E__xD835__xDD8A__xD835__xDD93__xD835__xDD89__xD835__xDD98_.❤️_xD83E__xDD7A_.ꪶꪮꪜꫀ ꪗꪮꪊ ꪖꪑꪑꪊ._xD83E__xDD7A_</t>
  </si>
  <si>
    <t>Asalamu alykoum</t>
  </si>
  <si>
    <t>Living with a virus for eternity is something you need to sit down and think.  There is a cure for any type of virus and diseases.  So why listen to people who will discourage you and not give you cure.  Alternative cure for any type of virus, diseases and STDS available.  
1;  HSV1 and HSV2
 2;  Lupus diseases
 3;  Cancer 
4; Human Papilloma virus (HPV) 
5;  Crohn's diseases 
6;  Diabetes 
7;  Sickle Cell Arnamia 
8;  Herpes 
9;  HIV 
10; Neratitis 
11; Diabetes 
12; Pile
 for any health issues Contact Doctor akhigbe for help in ridding out your problem.  WhatsApp 
+2349046230269
https://www.facebook.com/Dr-Akhigbe-herbal-home-for-all-diseases-104012565053593</t>
  </si>
  <si>
    <t>TRYNA REACH 100 SUBSCRIBERS SO PLS SUBSCRIBE AND ALSO HIT THE BELL :D</t>
  </si>
  <si>
    <t>Hi - we make video lessons for GCSE science and maths. The lessons give a concise run through of everything you'll need to know for your exams.
Each video has been designed specifically for the new 9-1 GCSE courses, and although they most closely mirror the AQA spec, everything you need to know for the main exam boards will be covered.
We really hope they save you some time and stress, and if you do find them useful - please leave us a like and a little comment!
We also have a website with loads of past papers and exam questions arranged by topic. You can find it here: www.cognitoedu.org
Best wishes,
Amadeus &amp; Tom</t>
  </si>
  <si>
    <t>Eat sleep HACK REPEAT</t>
  </si>
  <si>
    <t>I like minecraft, I like roblox, I like drawing and i don't like fortnite so no fortnite on this channel</t>
  </si>
  <si>
    <t>Hi I am ravage wtf I post fortnite videos and enjoy posting videos on YouTube</t>
  </si>
  <si>
    <t xml:space="preserve">Whatsup, i'm saira i do some fun aesthetic content!
"Let your dreams be bigger than your fears, your actions louder than your words, and your faith stronger than your feelings."
</t>
  </si>
  <si>
    <t xml:space="preserve">Welcome to the channel!
The topics featured on this channel are about/to do with: Talks and Lectures, Foraging and Nature, Mushrooms and Mycology, Psychedelics and Altered States of Consciousness and finally Meditation and Spirituality. 
- All the best, Malcolm.
</t>
  </si>
  <si>
    <t>subscibe 4 more</t>
  </si>
  <si>
    <t>GAMER boy just having fun...</t>
  </si>
  <si>
    <t xml:space="preserve">Hello ! Welcome to Dr Theory . This channel is dedicated to Science . I do a variety of videos ranging from chemistry , astronomy ( theory ) , biology or even coding ( with python ) ! 
I post weekly videos and I am happy and willing to share my knowledge about pretty much anything 
School is an obstacle so I usually only post on Fridays , Saturdays or Sundays . I am way too busy on Mondays to Thursdays 
If you enjoy my videos , please consider subscribing , liking and sharing . It really helps me a lot . _xD83E__xDD17__xD83E__xDD17__xD83E__xDD17_ </t>
  </si>
  <si>
    <t xml:space="preserve">VHS tape connoisseur
Animation enthusiast
Some skate videos here and there
</t>
  </si>
  <si>
    <t>Video tutorials for Florida PASS Program courses.</t>
  </si>
  <si>
    <t>Hello guys!!!  Welcome to my channel. I'm just a beginner in this site so Plz Like or Subscribe!!   In this channel i'm am going play some games, like  :  World of warships, Warthunder, and World Of Tanks . Thanks, and Enjoyed the video. Upload every week if can.</t>
  </si>
  <si>
    <t xml:space="preserve">embarrassing myself 24/7 
she/her
profile picture not by me
(formerly named: Ilikecrunchy Animaljam)
</t>
  </si>
  <si>
    <t>Welcome to my channel! I will upload gaming videos, tutorials, and some vlogs. Like and subscribe for more content!</t>
  </si>
  <si>
    <t>I upload videos on occasion.</t>
  </si>
  <si>
    <t>Fortnite clan owner</t>
  </si>
  <si>
    <t>✔️</t>
  </si>
  <si>
    <t>Plz sub</t>
  </si>
  <si>
    <t>Hello! I like to make short films in  Premiere Pro, After Effects, and other filmmaking programs. I also do vlogs every now and again.</t>
  </si>
  <si>
    <t xml:space="preserve">i make videos of minecraft with my friends
</t>
  </si>
  <si>
    <t>fw all music thanks for all the support 1k is the goal
Fw my AudioMack https://audiomack.com/artist/jayjay-1095
Fw my https://soundcloud.com/james-robinson-801842140/theyfwjayy
fw my instagram https://www.instagram.com/theyfw.jayy_/</t>
  </si>
  <si>
    <t>NUT</t>
  </si>
  <si>
    <t>dula peep- what was that?</t>
  </si>
  <si>
    <t>oOoOoOoO yOu’Re A gAmEr GiRl
Overwatch D.VA Main
Dead By Daylight Doctor Main</t>
  </si>
  <si>
    <t>This is my channel where I play video games and play with my friends</t>
  </si>
  <si>
    <t xml:space="preserve">what the frick is up this is the real LilGp08 I be doing cod moblie vids sea of thieves, modern warfare, Bo3 and maybe Bo4. Dont be bully
</t>
  </si>
  <si>
    <t>please subscribe!! _xD83E__xDD7A_
Also follow me on twitch:ritcookies</t>
  </si>
  <si>
    <t>MAINLY ACTIVE ON TT &amp; INSTA _xD83D__xDC97_⭐️ hp content</t>
  </si>
  <si>
    <t>Yay (≧∇≦)/（⌒▽⌒）_xD83D__xDC4D__xD83C__xDFFB_❤_xD83D__xDC93__xD83D__xDC95__xD83D__xDC9C__xD83D__xDC9B__xD83D__xDC9A__xD83D__xDE00__xD83D__xDE0A_ stay happy my friends
I am now continuing my channel</t>
  </si>
  <si>
    <t>Wazzup! I play Minecraft and Valorant with friends</t>
  </si>
  <si>
    <t xml:space="preserve">bonjour children my name is milo!
Q: What do you do on your channel?
A: I originally did Gacha videos but I am now leaning towards making only Roblox content!
Q: What pronouns do you use?
A: he/his/him :)
Q: How come you take so many breaks?
A: I do have school. I also get ver demotivated a lot. But I will try to stop taking so many dang breaks
Q: Favorite emoji(s)
A: _xD83E__xDD21_,✨,_xD83E__xDD2A_
Q: What is your favorite color?
A: PINK IS SUPERIOR
✅ 10 subs
✅ 25 subs
✅ 50 subs
✅ 100 subs
✅ 200 subs
✅ 500 subs
❌ 1000 subs
❌ 10000 subs
❌ 100000 subs
</t>
  </si>
  <si>
    <t>.......sup......</t>
  </si>
  <si>
    <t>hi I'm maddy. I'm learning American Sign Language, and I used to be a contortionist.</t>
  </si>
  <si>
    <t>Hay guys Matt here. My channel is about gaming and other topics that I enjoy discussing. I hope you all enjoy</t>
  </si>
  <si>
    <t>Herbal Cure for all.  Am Dr Alaka the Great Herbal Doctor Who Over the years have Saved more than ten thousands of lives all Across the World. Contact me today on my Following. E-mail @ Dralakaherbarcure @gmail.com .or WhatsApp me on +2348054184671. Your Cure is my pride.</t>
  </si>
  <si>
    <t>The official public health information Youtube channel of the World Health Organization (WHO)  
WHO Mission: Providing leadership on global health matters - Shaping the health research agenda - Setting norms and standards - Articulating evidence-based policy options -  Providing technical support to countries and monitoring - Assessing health trends. WHO has six regional offices and 147 country offices.
WHO reserves the right to delete comments that are: offensive or abusive, including aggressing a third-party organization or individual; containing anger, hate and/or violence; containing personal defamatory; ; considered as third-party promotion or marketing; including links to third-party web sites; spamming the conversations; inappropriately long; containing personal information, such as names, addresses, e-mail addresses or phone numbers; are out of context of the post on which they were posted;</t>
  </si>
  <si>
    <t>(Nato)</t>
  </si>
  <si>
    <t>_xD83D__xDC51_Hi Welcome to my channel Don't forget to subscribe to see my latest videos and ring the Bell to be notified _xD83D__xDC51_
                          -GurARilla
=====_xD835__xDD44__xD835__xDD50_ _xD835__xDD3E__xD835__xDD46__xD835__xDD38__xD835__xDD43_=====
100 subscribers✔︎
200 subscribers✔︎
300 subscribers✔︎
400 subscribers
500 subscribers
600 subsvribers
700 subsvribers
800 subscribers
900 subscribers
1000 subscribers</t>
  </si>
  <si>
    <t>Somebody...</t>
  </si>
  <si>
    <t>Hi... yeaaahhhh https://www.facbook.com/ronindavid.perez</t>
  </si>
  <si>
    <t>Everyone</t>
  </si>
  <si>
    <t>Pharmacyinfoline.com is a web collection of post related to Pharmacy News, Pharmacy Vacancies, Pharmaceutical Jobs, Latest development of Pharmacy Field, Current trends in pharmaceutical research, Future prospectus of Pharma and Healthcare
Pharmacyinfoline.com is useful for Pharmacy students of Diploma of Pharmacy (D. Pharm), Degree of Pharmacy (B. Pharm), Masters of Pharmacy (M. Pharm), Doctor of Pharmacy (Pharm. D), Doctor of Philosophy in Pharmaceutical Sciences (Ph. D), M. Sc. in Pharmaceutical medicine
Pharmacyinfoline.com aim to provide a platform for knowlegebase for Subjects like Pharmaceutics, Pharmaceutical Chemistry, Pharmacology, Pharmacognosy, Pharmaceutical Analysis, Pharmacoeconomics, Pharmacovigilance, Medical Writing and Coding, Clinical Trials etc
We are the group of people working for field of Pharmacy associated with Pharmacist, Chemist, Druggist, Pharmaceutical Technologist, Microbiologist, Quality Assurance Officers &amp; Executives, Production</t>
  </si>
  <si>
    <t>जुड़े रहे हमारे चैनल पर हमारी न्यु वीडियो देखने के लिए</t>
  </si>
  <si>
    <t xml:space="preserve">This YouTube channel is made entirely for public service and social service activities. All the videos put on this channel are completely free and if you want notes you can get them from the KCL Pharmacy app which is free for students.
  It is completely free for whatever money is received from this channel or any other means, through that money the school fees of poor children are spent on their college education expenses and their education. in all over India 
For more details, you can contact us
kcltutorial4567@gmail.com
CEO - Mr. Krishna Patel 
Technical Head - Mr. Ashutosh Sahu
Thanks to Anurag Sir for big Heart for providing free education 
</t>
  </si>
  <si>
    <t>Hey friends... I'm khushbu... I like to make nature for you guys so that you can relax your mind... 
If you like this vedio plz  plz subscribe an press the bell _xD83D__xDD14_ icon.... An give thumps up _xD83D__xDC4D_...plz plz friends support me..... God bless you all</t>
  </si>
  <si>
    <t>Pharma knowledge</t>
  </si>
  <si>
    <t>D.pharm student</t>
  </si>
  <si>
    <t>नफरत को सिर्फ़ मोहब्बत से जीता जा सकता है 
लोगो को इतना प्यार देना चाहता हूं कि लोग एक दिन मुझे प्यार करने पर मजबूर हो जाए ।
उड़ान तो भरना है चाहे कई बार गिरना पड़े 
सपनों को पूरा करना है चाहे खुद से भी लड़ना पड़े 
https://youtu.be/_6B-OtuegmE
आप सभी साथियों से हाथ जोड़ कर विनम्र निवेदन है कि इस लिंक को देखे और  हम छोटे बच्चों के चैनल को मनोरंजन हेतु आप भी सब्सक्राइब करें और अपने दोस्तों से भी सब्सक्राइब करके हम लोगों का मनोबल ऊंचा करने का महान कृपा करें
9120018214</t>
  </si>
  <si>
    <t>kundanmedico12@gmail.com</t>
  </si>
  <si>
    <t>Welcome to my youtube channel.. please like, comments, share,sabscribe my youtube channel,</t>
  </si>
  <si>
    <t>Ppj pharmacy _xD83D__xDCD5__xD83D__xDD8B_ D. Pharm new videos</t>
  </si>
  <si>
    <t>I do Roblox Gameplays, shooting games, and edit other people's videos. Please sub to my channel and like my vids! And also don't forget to join my Discord Server!</t>
  </si>
  <si>
    <t>CITV is the government-owned television station that is committed to producing and airing programming that provides details of Government programmes and initiatives. The station also focuses on cultural, historic and socially relevant topics that celebrate the diversity of Bermuda’s heritage.</t>
  </si>
  <si>
    <t>TEDx is an international community that organizes TED-style events anywhere and everywhere -- celebrating locally-driven ideas and elevating them to a global stage. TEDx events are produced independently of TED conferences, each event curates speakers on their own, but based on TED's format and rules.
TED's videos may be used for non-commercial purposes under a Creative Commons License, Attribution–Non Commercial–No Derivatives (or the CC BY – NC – ND 4.0 International) and in accordance with our TED Talks Usage Policy (https://www.ted.com/about/our-organization/our-policies-terms/ted-talks-usage-policy). 
For more information on using TED for commercial purposes (e.g. employee learning, in a film or online course), please submit a Media Request here: https://media-requests.ted.com.</t>
  </si>
  <si>
    <t>Advancing the knowledge of indigenous Tongans of their true history from the Polynesian perspective by collecting and presenting information and facts leaving the viewer to arrive in his/her own well-informed conclusion.</t>
  </si>
  <si>
    <t>hey hit me up if ya wanna be friends and please leave a note if ya just wanna say hi!!</t>
  </si>
  <si>
    <t>SYD. AU _xD83D__xDCCD__xD83C__xDDE6__xD83C__xDDFA_</t>
  </si>
  <si>
    <t>Study-IQ Education is an education platform trusted by millions across the globe. With over 80 million views per month and 90 lakh subscribers it is the most watched education channel in the World.
Expert in all government exams such as UPSC, SSC CGL, Bank PO, LIC, RBI Assistant, RBI Grade B, IAS/IRS/IPS, State PSC exams like UPPSC, MPPSC, MPSC, TPPSC, TPSC, HCS, RAS , CLAT, Hotel Management entrance, BBA and hundreds of other exams.
We are passionate about education and our motto is a quality of education that is unmatched and that is what has made us the number 1 name in education in India</t>
  </si>
  <si>
    <t>Mission IAS 2019</t>
  </si>
  <si>
    <t xml:space="preserve">All_in_one channel hub of funny &amp; motivational videos. Subscribe, like, share and enjoy_xD83D__xDE0E_ </t>
  </si>
  <si>
    <t>BIG BOOYAH</t>
  </si>
  <si>
    <t>One who never stop ....</t>
  </si>
  <si>
    <t>The Population Reference Bureau informs people around the world about population, health, and the enviornment, and empowers them to use that information to advance the well-being of current and future generations.</t>
  </si>
  <si>
    <t>I'm EmmaTheTeachie and I bring you GCSE Biology and Combined Science videos to help with your exam revision and learning! 
My channel is all about improving your understanding in a fun and easy way - with bright pictures and clear explanations! Visual learning is a proven method for memory retention.
I also share Biology revision tips in my videos like how to remember tricky parts of the specification. And you can test your understanding and progress with quick questions at the end of each video!
I really hope they help you revise your GCSE Biology / Combined Science and boost your confidence :)
Please SUBSCRIBE NOW to start learning for free!
Emma :)</t>
  </si>
  <si>
    <t>Hello and welcome to my channel</t>
  </si>
  <si>
    <t>Love your Family _xD83D__xDE0D__xD83D__xDE18__xD83D__xDE0D__xD83D__xDE18_</t>
  </si>
  <si>
    <t xml:space="preserve">    Welcome to my history channel! On it, you can expect to find videos on all things history, which includes but is not limited to: country histories, videos on historic events, biographies of historical figures, and more - including Trombone covers of songs and even beyond this!. Subscribe for quality history and informational videos today! Thanks!
- Andrew Calabrese</t>
  </si>
  <si>
    <t xml:space="preserve">Haftungsausschluss und rechtlicher Hinweis:
Alle meine Informationen werden nach bestem Wissen und Gewissen weitergegeben.
</t>
  </si>
  <si>
    <t>Bored most of the time</t>
  </si>
  <si>
    <t>This channel is about how to Save Our Planet by applying Sharing, Justice and Peace in our daily life. Thank-you for your time and attention. Live in the light.</t>
  </si>
  <si>
    <t xml:space="preserve">Thanks for visiting this Global Health channel. I've posted videos about public health, epidemiology, global health ethics, getting a job in global health and much more... 
If you enjoy these videos about global health and public health, please consider supporting the channel by clicking on the "support" link below. </t>
  </si>
  <si>
    <t>Navigating through data science, statistics and visualization 24/7</t>
  </si>
  <si>
    <t>What is up YouTube, this is the dunkindonutmaster_09, and welcome to my YouTube channel!
So sit back, relax, and have a brownie.
And don't forget to subscribe to join the Browns Army!
I just wanna tell everybody that I joined YouTube in August of 2013, but I had to switch accounts time to time.
All dates are MM-DD-YY.
50 Subscribers: 11-12-16 _xD83D__xDD13_
100 Subscribers: 09-07-17 _xD83D__xDD13_
200 Subscribers _xD83D__xDD12_
250 Subscribers _xD83D__xDD12_
300 Subscribers _xD83D__xDD12_
400 Subscribers _xD83D__xDD12_
500 Subscribers _xD83D__xDD12_
600 Subscribers _xD83D__xDD12_
700 Subscribers _xD83D__xDD12_
750 Subscribers _xD83D__xDD12_
800 Subscribers _xD83D__xDD12_
900 Subscribers _xD83D__xDD12_
1,000 Subscribers _xD83D__xDD12_
25,000 Views: 04-24-17 _xD83D__xDD13_
50,000 Views: 10-01-17 _xD83D__xDD13_
75,000 Views: 05-09-18 _xD83D__xDD13_
100,000 Views: 09-07-19 _xD83D__xDD13_</t>
  </si>
  <si>
    <t>gone pro</t>
  </si>
  <si>
    <t>Freesciencelessons is driven by a core belief.
Education leads to social mobility. Therefore, every student deserves outstanding teaching, no matter where they live, where they go to school, or how much money they have.</t>
  </si>
  <si>
    <t>i opinion and tell you how to opinion on things.
That is not true</t>
  </si>
  <si>
    <t>Discord: Lelouch#5680</t>
  </si>
  <si>
    <t xml:space="preserve">"ᵢf yₒᵤ  cₐₙ'ₜ ᵣₑₛₚₑcₜ ₜₕₑₙ dₒₙ'ₜ ₑᵥₑₙ ₒₚₑₙ yₒᵤᵣ ₘₒᵤₜₕ"₋ ₖₙⱼ
-OT7
-RM biased
-#Jhopebestboy
-#Yoongibestboy
-#Jinbestboy
-#Jiminbestboy
-#Taehyungbestboy
-#Jungkookbestboy 
</t>
  </si>
  <si>
    <t>Helping yall out</t>
  </si>
  <si>
    <t>Hello, I'm Jay, your neighbourhood art kid. My IGN is "JayDubelyew".</t>
  </si>
  <si>
    <t>Yes, your boy robloxfanTJ comming straight at you with my videos thanks for watching like comment and subscribe PEACE</t>
  </si>
  <si>
    <t>I won't upload don't waste your time, go watch actual content</t>
  </si>
  <si>
    <t>I try to make good content please subscribe and like ma vids</t>
  </si>
  <si>
    <t>Hey I’m (not my real name) Uhhhhh... I need a name.You guys can call me Lux.I am a Fortnite mobile and sometimes strucid mobile youtuber</t>
  </si>
  <si>
    <t>Insta~Evie.footy</t>
  </si>
  <si>
    <t>Stay frosty</t>
  </si>
  <si>
    <t>I hate you all.</t>
  </si>
  <si>
    <t>_xD835__xDD77__xD835__xDD8A__xD835__xDD99_ _xD835__xDD92__xD835__xDD8A_ _xD835__xDD8D__xD835__xDD86__xD835__xDD9A__xD835__xDD93__xD835__xDD99_ _xD835__xDD9E__xD835__xDD94__xD835__xDD9A_ _xD835__xDD91__xD835__xDD8E__xD835__xDD90__xD835__xDD8A_ _xD835__xDD8D__xD835__xDD8A_ _xD835__xDD8D__xD835__xDD86__xD835__xDD9A__xD835__xDD93__xD835__xDD99__xD835__xDD98_ _xD835__xDD92__xD835__xDD8A_, _xD835__xDD8A__xD835__xDD9B__xD835__xDD8A__xD835__xDD97__xD835__xDD9E_ _xD835__xDD93__xD835__xDD8E__xD835__xDD8C__xD835__xDD8D__xD835__xDD99_ _xD835__xDD9C__xD835__xDD8D__xD835__xDD8A__xD835__xDD93_ _xD835__xDD74_ _xD835__xDD8B__xD835__xDD86__xD835__xDD91__xD835__xDD91_ _xD835__xDD86__xD835__xDD98__xD835__xDD91__xD835__xDD8A__xD835__xDD8A__xD835__xDD95_…</t>
  </si>
  <si>
    <t>_xD83D__xDE03_</t>
  </si>
  <si>
    <t>follow my Instagram @itmustbejack</t>
  </si>
  <si>
    <t>Please Wait....</t>
  </si>
  <si>
    <t>♡</t>
  </si>
  <si>
    <t>you mami</t>
  </si>
  <si>
    <t>♥️_xD83D__xDC95_</t>
  </si>
  <si>
    <t>Bukan kaleng kaleng</t>
  </si>
  <si>
    <t>Channel ini hanya untuk mengembangkan hobbi dan tanpa ada unsur pamer atau sebagainya,mari bangun channel ini menjadi chaner yang lebih bermanfaat untuk kita semua</t>
  </si>
  <si>
    <t>AAAAAAAAAAAAAAAHHH SOMETHING BAD IS ABOUT TO HAPPEN</t>
  </si>
  <si>
    <t>U have to know me to understand but that still won't be enough  to fully understand. What u know I want u to know not because I am friends with you</t>
  </si>
  <si>
    <t>hii _xD83E__xDD0D_</t>
  </si>
  <si>
    <t>oh hey there</t>
  </si>
  <si>
    <t>meh</t>
  </si>
  <si>
    <t>my name is Ben I make video's usually on gaming and sports like football. Thank you so much for 100 subs please subscribe if you are new to make it to 200:):):)</t>
  </si>
  <si>
    <t xml:space="preserve">Hello guys and welcome to my channel where i play mcsg with my friends and come along and join me on my ride through the world of minecraft and hope you enjoy.
Goals: 100 subs {complete}
            500subs
             1000subs
             5000subs
             10000 views
HOPE YOU ENJOY </t>
  </si>
  <si>
    <t>_xD83D__xDC09_</t>
  </si>
  <si>
    <t>Highlights and Funny Stuffs from: www.twitch.tv/maybe_benbot007</t>
  </si>
  <si>
    <t>So you’ve found my about page. Cool. Let me just say some things about myself.
Age: 17
Bday: 3rd March 2004
Gender: Male
Sexuality: Pansexual 
Taken: Yes, I’m taken.... JUST KIDDING! ha.. ha......
Likes: Thomas, (some) object shows, Numberblocks (of course, I am in NFG afterall), FNAF, Mario
Dislikes: People being mean, Undertale (cant stand it)
So that’s basically it.</t>
  </si>
  <si>
    <t>CODM Livestreams and gameplay, Multiplayer and Battle Royale. OG player. Edits and Sniper montages.
Also streaming on Twitch and follow my instagram. Hope you enjoy.</t>
  </si>
  <si>
    <t>Hey Guys!</t>
  </si>
  <si>
    <t>I do gaming on youtube for fun and if ya wanna grow the channel or you like my content then you are more then welcome to subscribe! I will upload many vids of  games like Watch Dogs 2, Minecraft, Fortnite and more! If you have any suggestions please comment them in my vids and I will respond to them ;). Thanks, Hope you enjoy my vids.</t>
  </si>
  <si>
    <t>Welcome to the channel!
I upload all kinds of videos so go and check them out!
Thanks for coming, you can go now.
*don't forget to sub*</t>
  </si>
  <si>
    <t>spngenti</t>
  </si>
  <si>
    <t>So um YO! It is I Snowbafeld! Um yeah I'll be doing gaming, messing around with my friends and hopefully cosplay at some point in the future!</t>
  </si>
  <si>
    <t>Significant Sporting Events/Happenings</t>
  </si>
  <si>
    <t>Dont know y tf I have a channel but yh</t>
  </si>
  <si>
    <t>Hello there</t>
  </si>
  <si>
    <t>⠀⠀⠀⠀⣠⣶⡾⠏⠉⠙⠳⢦⡀⠀⠀⠀⢠⠞⠉⠙⠲⡀⠀ ⠀⠀⠀⣴⠿⠏⠀⠀⠀⠀⠀⠀⢳⡀⠀⡏⠀⠀⠀⠀⠀⢷ ⠀⠀⢠⣟⣋⡀⢀⣀⣀⡀⠀⣀⡀⣧⠀⢸⠀⠀⠀⠀⠀ ⡇ ⠀⠀⢸⣯⡭⠁⠸⣛⣟⠆⡴⣻⡲⣿⠀⣸⠀⠀OK⠀ ⡇ ⠀⠀⣟⣿⡭⠀⠀⠀⠀⠀⢱⠀⠀⣿⠀⢹⠀⠀⠀⠀⠀ ⡇ ⠀⠀⠙⢿⣯⠄⠀⠀⠀⢀⡀⠀⠀⡿⠀⠀⡇⠀⠀⠀⠀⡼ ⠀⠀⠀⠀⠹⣶⠆⠀⠀⠀⠀⠀⡴⠃⠀⠀⠘⠤⣄⣠⠞⠀ ⠀⠀⠀⠀⠀⢸⣷⡦⢤⡤⢤⣞⣁⠀⠀⠀⠀⠀⠀⠀⠀⠀⠀ ⠀⠀⢀⣤⣴⣿⣏⠁⠀⠀⠸⣏⢯⣷⣖⣦⡀⠀⠀⠀⠀⠀⠀ ⢀⣾⣽⣿⣿⣿⣿⠛⢲⣶⣾⢉⡷⣿⣿⠵⣿⠀⠀⠀⠀⠀⠀ ⣼⣿⠍⠉⣿⡭⠉⠙⢺⣇⣼⡏⠀⠀⠀⣄⢸⠀⠀⠀⠀⠀⠀ ⣿⣿⣧⣀⣿.........⣀⣰⣏⣘⣆⣀⠀⠀</t>
  </si>
  <si>
    <t>Hello I mainly do art videos and few other stuff.</t>
  </si>
  <si>
    <t>Please Subscribe and share</t>
  </si>
  <si>
    <t>My channel is dead</t>
  </si>
  <si>
    <t>Follow my twitter @ShotzzVFX and DM if u want me to edit a highlights video for you</t>
  </si>
  <si>
    <t>...</t>
  </si>
  <si>
    <t>Five billion people have no reliable access to essential health care. Heart attack and stroke are the world's leading cause of death and in the next decade 100 million people will die from chronic diseases before they reach 60, while another 20 million people will die from road injuries.
The mission of The George Institute for Global Health is to improve the health of millions of people worldwide. With projects in more than 50 countries, we have raised a quarter of a billion dollars for global health research in the last decade and in 2011 we were ranked number one in the world for research impact. 
Change healthcare and you change the world</t>
  </si>
  <si>
    <t>This channel is all about teacher development.</t>
  </si>
  <si>
    <t>This is the official Youtube Channel for the World Health Organization (WHO) Eastern Mediterranean Region
WHO Mission: Providing leadership on global health matters - Shaping the health research agenda - Setting norms and standards - Articulating evidence-based policy options - Providing technical support to countries and monitoring - Assessing health trends. 
 WHO reserves the right to delete comments that are: offensive or abusive, including aggressing a third-party organization or individual; containing anger, hate and/or violence; containing personal defamatory; ; considered as third-party promotion or marketing; including links to third-party web sites; spamming the conversations; inappropriately long; containing personal information, such as names, addresses, e-mail addresses or phone numbers; are out of context of the post on which they were posted;</t>
  </si>
  <si>
    <t>Hello everyone! This YouTube channel showcases almost purely gaming content, mostly Nintendo-oriented. I play a variety of games on a variety of consoles. Occasionally you might find me doing a podcast, game demos, unboxings, and even more in addition to what you see in this list. I would appreciate if you subscribed to me, it would mean a lot!
Current Series:
-   Mega Man X Highlights Blind LP (on pause)
Completed series:
-   Mario Kart 8 LP
-   MK8 Deluxe Battle Mode LP
-   New Super Mario Bros. U &amp; Luigi U 100%
-   DKC: Tropical Freeze 100% w/ Funky Kong
-   Mario Kart: Double Dash!! LP
-   Super Mario 64 100%
-   NSMB Speedrun Collab
-   Subspace Emissary Blind LP
-   Paper Mario: TTYD LP
-   Captain Toad: Treasure Tracker 100%
-   Super Paper Mario LP
Channel Art based off of work by Rjk0606.</t>
  </si>
  <si>
    <t xml:space="preserve">Video Lessons for MAPEH Junior High School
No copyright Music for Blogs
</t>
  </si>
  <si>
    <t>CIERPLIWIE
ciekawe, czy kółka kręcące się samochodu(!) odwrotnie będą za 1000 lat postrzegane</t>
  </si>
  <si>
    <t>A boiling pot of cars, fun, and unnecessary opinions.</t>
  </si>
  <si>
    <t>Hi Everyone!
Follow me on instagram~
@just__kaylie (DailyPotato's OC)
@yokichuu</t>
  </si>
  <si>
    <t>Do your best and forget the rest</t>
  </si>
  <si>
    <t>Please subscribe i’m trying to get subs.(2)</t>
  </si>
  <si>
    <t>Testimonios de la vida cotidiana</t>
  </si>
  <si>
    <t>Public Service Announcements (PSAs) and other videos from the Pan American Health Organization, the oldest continuously functioning Public Health organization in the world, and regional office for the Americas of the World Health Organization.</t>
  </si>
  <si>
    <t>All my channel is about entertainment</t>
  </si>
  <si>
    <t>Ali Aar</t>
  </si>
  <si>
    <t>TANWER'S FAMILY _xD83D__xDC68_‍_xD83D__xDC68_‍_xD83D__xDC67_‍_xD83D__xDC66_</t>
  </si>
  <si>
    <t>MUHAMMAD HASSAN GAMER</t>
  </si>
  <si>
    <t xml:space="preserve"> i make videos .</t>
  </si>
  <si>
    <t>Hey guys
subscribe pleasee _xD83D__xDC49__xD83D__xDC48_ _xD83D__xDE05__xD83D__xDE05_</t>
  </si>
  <si>
    <t>Hi I want to be cool plus I will try to make my videos appropriate so all  can watch. No walls in my videos</t>
  </si>
  <si>
    <t>Place a dispenser here
https://www.youtube.com/watch?v=dgUbRpdUN1w</t>
  </si>
  <si>
    <t>I am me...</t>
  </si>
  <si>
    <t>“e”</t>
  </si>
  <si>
    <t>I-</t>
  </si>
  <si>
    <t>Hello! Elliot and friends here! you will se videos in my channel mostly about Godzilla, Siren head , Roblox , Speedpaints maybe some Minecraft and more! You will be expecting a voice reveal at around 100 subscribers and face reveal around 250. I'll make video's maybe daily or weekly it will be more both for example Monday, Wednesday, Friday, Sunday. Or Tuesday, Thursday, Saturday. I'll me working on that type of schedule for the weeks and different videos each week so stay tuned for more videos! Hope to see you in another video! See ya later!</t>
  </si>
  <si>
    <t>Thank you for everyone who clicks on my
Video</t>
  </si>
  <si>
    <t xml:space="preserve">My upload schedule is a mess, I'm so sorry 
If you ever wanna talk I'm here!
He/they
Surprise shawty guess whose back </t>
  </si>
  <si>
    <t>Behold of spirits!!!!</t>
  </si>
  <si>
    <t>On this channel we have a fun time :D</t>
  </si>
  <si>
    <t xml:space="preserve">Krishna </t>
  </si>
  <si>
    <t>When I play games, I go into a new world!</t>
  </si>
  <si>
    <t>No videos yet but soon there will be. And if you sub you will be told my other channel.</t>
  </si>
  <si>
    <t xml:space="preserve">This is only for my friend's </t>
  </si>
  <si>
    <t>Bahamian| Single mother to an angel| God first☝️</t>
  </si>
  <si>
    <t>like and sub to me for some tuff clips</t>
  </si>
  <si>
    <t xml:space="preserve">Haha welcome. Im verey dum and sutpid. Also Asian and viet. </t>
  </si>
  <si>
    <t>_xD83E__xDD97_</t>
  </si>
  <si>
    <t>Current wins 10 road to 100!</t>
  </si>
  <si>
    <t>Why are you here. I have no vids stop subscribing to me</t>
  </si>
  <si>
    <t>yoooo whats poppin? cool me too I make videos sometimes and you better like them cuz if you don't you're not gonna like the outcome... (I will be very sad ) :(</t>
  </si>
  <si>
    <t>The WHO Regional Office for Europe is one of 6 WHO regional offices around the world. It collaborates with a range of public health stakeholders in the region.</t>
  </si>
  <si>
    <t>ILSI is a nonprofit, worldwide organization whose mission is to provide science that improves public health and well-being.
It achieves this mission by fostering collaboration among experts from academia, government, and industry on conducting, gathering, summarizing, and disseminating science. Its activities focus primarily on nutrition and health promotion; food safety; risk assessment; and the environment. It receives a majority of its funding from food, agriculture, and pharmaceutical industries.
ILSI believes leading scientists from academia, government, and industry can and should work together to identify and address topics and concerns of common interest.
http://www.ilsi.org</t>
  </si>
  <si>
    <t>شروحات جميع كورسات كلية الصيدلة</t>
  </si>
  <si>
    <t xml:space="preserve">F1000Research is an Open Research publishing platform for scientists, scholars and clinicians offering rapid publication of articles and other research outputs without editorial bias. All articles benefit from transparent peer review and editorial guidance on making all source data openly available.
</t>
  </si>
  <si>
    <t>TheSynapse provides news, tools and resources that enhance the standards of practice, lifestyle and living standards of medical professionals.
Visit TheSynapse on www.thesynapse.net</t>
  </si>
  <si>
    <t>WHO is the directing and coordinating authority for health within the United Nations system. It is responsible for providing leadership on global health matters, shaping the health research agenda, setting norms and standards, articulating evidence-based policy options, providing technical support to countries and monitoring and assessing health trends.
This is the YouTube channel for the WHO Regional Office for South-East Asia.</t>
  </si>
  <si>
    <t>Oxford University Press's academic insights for the thinking world combine authority, innovation, and excellence. The official Oxford Academic YouTube channel features videos from leading authors, experts, and academics in a range of fields.  
With origins dating back to 1478, Oxford University Press (OUP) is the largest university press in the world. OUP's academic publishing includes a wide array of scholarly and general interest books, journals, and online products that span the entire academic and higher education spectrum.
Blog: http://blog.oup.com/
Twitter: http://twitter.com/oupacademic
Facebook: http://facebook.com/oupacademic
Google Plus: http://plus.google.com/+OUPAcademic
Tumblr: http://oupacademic.tumblr.com/
Pinterest: http://www.pinterest.com/oupacademic/</t>
  </si>
  <si>
    <t>We are the independent body in the UK representing the diversity of medical science. Our mission is to advance biomedical and health research and its translation into benefits for society.
We are working to secure a future in which:
- UK and global health is improved by the best research.
- The UK leads the world in biomedical and health research, and is renowned for the quality of its research outputs, talent and collaborations.
- Independent, high quality medical science advice informs the decisions that affect society.
- More people have a say in the future of health and research.</t>
  </si>
  <si>
    <t>medicalgksciencehub</t>
  </si>
  <si>
    <t>unacademystudiosprabhav</t>
  </si>
  <si>
    <t>joharhealth</t>
  </si>
  <si>
    <t>drmanishatanejapahuja</t>
  </si>
  <si>
    <t>cognitoedu</t>
  </si>
  <si>
    <t>floridapassorg</t>
  </si>
  <si>
    <t>who</t>
  </si>
  <si>
    <t>pharmacyinfoline</t>
  </si>
  <si>
    <t>kcltutorials</t>
  </si>
  <si>
    <t>studyiqcoachingcenter</t>
  </si>
  <si>
    <t>prborg</t>
  </si>
  <si>
    <t>drgregmartin</t>
  </si>
  <si>
    <t>krisronsin</t>
  </si>
  <si>
    <t>shivarajmishrawdcnepalsrm</t>
  </si>
  <si>
    <t>freesciencelessons</t>
  </si>
  <si>
    <t>misternaughtygaming</t>
  </si>
  <si>
    <t>omarbedward</t>
  </si>
  <si>
    <t>robloxfantj</t>
  </si>
  <si>
    <t>tangogames</t>
  </si>
  <si>
    <t>henixonyoutube</t>
  </si>
  <si>
    <t>truebenbot007</t>
  </si>
  <si>
    <t>delayedits</t>
  </si>
  <si>
    <t>deadeyegaming</t>
  </si>
  <si>
    <t>georgeinstitute</t>
  </si>
  <si>
    <t>whoemr</t>
  </si>
  <si>
    <t>stevenathn</t>
  </si>
  <si>
    <t>mykhaylokosykh</t>
  </si>
  <si>
    <t>pahotv</t>
  </si>
  <si>
    <t>abhinavvaidya</t>
  </si>
  <si>
    <t>sayaastudios</t>
  </si>
  <si>
    <t>whoregionalofficeforeurope</t>
  </si>
  <si>
    <t>f1000research</t>
  </si>
  <si>
    <t>thesynapsenetnews</t>
  </si>
  <si>
    <t>oupacademic</t>
  </si>
  <si>
    <t>Open Channel URL in Browser</t>
  </si>
  <si>
    <t>Directed</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</si>
  <si>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</si>
  <si>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</si>
  <si>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</si>
  <si>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</si>
  <si>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</si>
  <si>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</si>
  <si>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</si>
  <si>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</si>
  <si>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</si>
  <si>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</si>
  <si>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</si>
  <si>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</si>
  <si>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</si>
  <si>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</si>
  <si>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</si>
  <si>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</si>
  <si>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</si>
  <si>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</si>
  <si>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</si>
  <si>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</si>
  <si>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</si>
  <si>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</si>
  <si>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</si>
  <si>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</si>
  <si>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</si>
  <si>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</si>
  <si>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</si>
  <si>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</si>
  <si>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</si>
  <si>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</si>
  <si>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</si>
  <si>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</si>
  <si>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</si>
  <si>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</si>
  <si>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</si>
  <si>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</si>
  <si>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</si>
  <si>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</si>
  <si>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</si>
  <si>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</si>
  <si>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</si>
  <si>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</si>
  <si>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</si>
  <si>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</si>
  <si>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</si>
  <si>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</si>
  <si>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</si>
  <si>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</si>
  <si>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</si>
  <si>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</si>
  <si>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sir</t>
  </si>
  <si>
    <t>disease</t>
  </si>
  <si>
    <t>health</t>
  </si>
  <si>
    <t>like</t>
  </si>
  <si>
    <t>people</t>
  </si>
  <si>
    <t>dr</t>
  </si>
  <si>
    <t>diseases</t>
  </si>
  <si>
    <t>help</t>
  </si>
  <si>
    <t>communicable</t>
  </si>
  <si>
    <t>great</t>
  </si>
  <si>
    <t>well</t>
  </si>
  <si>
    <t>teacher</t>
  </si>
  <si>
    <t>exam</t>
  </si>
  <si>
    <t>cure</t>
  </si>
  <si>
    <t>virus</t>
  </si>
  <si>
    <t>class</t>
  </si>
  <si>
    <t>helpful</t>
  </si>
  <si>
    <t>lol</t>
  </si>
  <si>
    <t>org</t>
  </si>
  <si>
    <t>herpes</t>
  </si>
  <si>
    <t>mam</t>
  </si>
  <si>
    <t>herbal</t>
  </si>
  <si>
    <t>ncd</t>
  </si>
  <si>
    <t>luck</t>
  </si>
  <si>
    <t>covid</t>
  </si>
  <si>
    <t>medicine</t>
  </si>
  <si>
    <t>ka</t>
  </si>
  <si>
    <t>watching</t>
  </si>
  <si>
    <t>hiv</t>
  </si>
  <si>
    <t>school</t>
  </si>
  <si>
    <t>work</t>
  </si>
  <si>
    <t>plz</t>
  </si>
  <si>
    <t>topic</t>
  </si>
  <si>
    <t>paper</t>
  </si>
  <si>
    <t>time</t>
  </si>
  <si>
    <t>test</t>
  </si>
  <si>
    <t>love</t>
  </si>
  <si>
    <t>gmail</t>
  </si>
  <si>
    <t>wow</t>
  </si>
  <si>
    <t>hidden</t>
  </si>
  <si>
    <t>online</t>
  </si>
  <si>
    <t>man</t>
  </si>
  <si>
    <t>ke</t>
  </si>
  <si>
    <t>ki</t>
  </si>
  <si>
    <t>google</t>
  </si>
  <si>
    <t>cancer</t>
  </si>
  <si>
    <t>bro</t>
  </si>
  <si>
    <t>vedio</t>
  </si>
  <si>
    <t>ur</t>
  </si>
  <si>
    <t>corona</t>
  </si>
  <si>
    <t>guy</t>
  </si>
  <si>
    <t>tomorrow</t>
  </si>
  <si>
    <t>ve</t>
  </si>
  <si>
    <t>pandemic</t>
  </si>
  <si>
    <t>diet</t>
  </si>
  <si>
    <t>exams</t>
  </si>
  <si>
    <t>world</t>
  </si>
  <si>
    <t>contact</t>
  </si>
  <si>
    <t>whatsapp</t>
  </si>
  <si>
    <t>comment</t>
  </si>
  <si>
    <t>india</t>
  </si>
  <si>
    <t>gurudeseyesubai</t>
  </si>
  <si>
    <t>herbs</t>
  </si>
  <si>
    <t>explanation</t>
  </si>
  <si>
    <t>facebook</t>
  </si>
  <si>
    <t>19</t>
  </si>
  <si>
    <t>bit</t>
  </si>
  <si>
    <t>kr</t>
  </si>
  <si>
    <t>hai</t>
  </si>
  <si>
    <t>treatment</t>
  </si>
  <si>
    <t>medical</t>
  </si>
  <si>
    <t>aids</t>
  </si>
  <si>
    <t>chronic</t>
  </si>
  <si>
    <t>science</t>
  </si>
  <si>
    <t>government</t>
  </si>
  <si>
    <t>lmao</t>
  </si>
  <si>
    <t>helped</t>
  </si>
  <si>
    <t>information</t>
  </si>
  <si>
    <t>important</t>
  </si>
  <si>
    <t>natural</t>
  </si>
  <si>
    <t>classes</t>
  </si>
  <si>
    <t>doctor</t>
  </si>
  <si>
    <t>revision</t>
  </si>
  <si>
    <t>gcse</t>
  </si>
  <si>
    <t>notes</t>
  </si>
  <si>
    <t>ncds</t>
  </si>
  <si>
    <t>planet</t>
  </si>
  <si>
    <t>ayurveda</t>
  </si>
  <si>
    <t>think</t>
  </si>
  <si>
    <t>easy</t>
  </si>
  <si>
    <t>cured</t>
  </si>
  <si>
    <t>heart</t>
  </si>
  <si>
    <t>email</t>
  </si>
  <si>
    <t>lot</t>
  </si>
  <si>
    <t>helping</t>
  </si>
  <si>
    <t>10</t>
  </si>
  <si>
    <t>true</t>
  </si>
  <si>
    <t>glad</t>
  </si>
  <si>
    <t>learn</t>
  </si>
  <si>
    <t>type</t>
  </si>
  <si>
    <t>best</t>
  </si>
  <si>
    <t>download</t>
  </si>
  <si>
    <t>medication</t>
  </si>
  <si>
    <t>mental</t>
  </si>
  <si>
    <t>spec</t>
  </si>
  <si>
    <t>problem</t>
  </si>
  <si>
    <t>diabetes</t>
  </si>
  <si>
    <t>easily</t>
  </si>
  <si>
    <t>talk</t>
  </si>
  <si>
    <t>ly</t>
  </si>
  <si>
    <t>upload</t>
  </si>
  <si>
    <t>petra</t>
  </si>
  <si>
    <t>anderson</t>
  </si>
  <si>
    <t>bhi</t>
  </si>
  <si>
    <t>age</t>
  </si>
  <si>
    <t>right</t>
  </si>
  <si>
    <t>etc</t>
  </si>
  <si>
    <t>control</t>
  </si>
  <si>
    <t>show</t>
  </si>
  <si>
    <t>biology</t>
  </si>
  <si>
    <t>life</t>
  </si>
  <si>
    <t>2021</t>
  </si>
  <si>
    <t>organisation</t>
  </si>
  <si>
    <t>hpv</t>
  </si>
  <si>
    <t>guys</t>
  </si>
  <si>
    <t>xd</t>
  </si>
  <si>
    <t>playlist</t>
  </si>
  <si>
    <t>vaccine</t>
  </si>
  <si>
    <t>happy</t>
  </si>
  <si>
    <t>thankyou</t>
  </si>
  <si>
    <t>report</t>
  </si>
  <si>
    <t>penis</t>
  </si>
  <si>
    <t>pacific</t>
  </si>
  <si>
    <t>ji</t>
  </si>
  <si>
    <t>pharma</t>
  </si>
  <si>
    <t>nhi</t>
  </si>
  <si>
    <t>ho</t>
  </si>
  <si>
    <t>laryssa</t>
  </si>
  <si>
    <t>olson</t>
  </si>
  <si>
    <t>ehimare</t>
  </si>
  <si>
    <t>medicines</t>
  </si>
  <si>
    <t>aur</t>
  </si>
  <si>
    <t>kuch</t>
  </si>
  <si>
    <t>send</t>
  </si>
  <si>
    <t>classroom</t>
  </si>
  <si>
    <t>suffering</t>
  </si>
  <si>
    <t>sucks</t>
  </si>
  <si>
    <t>fuck</t>
  </si>
  <si>
    <t>try</t>
  </si>
  <si>
    <t>funny</t>
  </si>
  <si>
    <t>taxes</t>
  </si>
  <si>
    <t>risk</t>
  </si>
  <si>
    <t>check</t>
  </si>
  <si>
    <t>paho</t>
  </si>
  <si>
    <t>boring</t>
  </si>
  <si>
    <t>helps</t>
  </si>
  <si>
    <t>interesting</t>
  </si>
  <si>
    <t>simple</t>
  </si>
  <si>
    <t>informative</t>
  </si>
  <si>
    <t>knowledge</t>
  </si>
  <si>
    <t>fun</t>
  </si>
  <si>
    <t>useful</t>
  </si>
  <si>
    <t>called</t>
  </si>
  <si>
    <t>mock</t>
  </si>
  <si>
    <t>stop</t>
  </si>
  <si>
    <t>parts</t>
  </si>
  <si>
    <t>tb</t>
  </si>
  <si>
    <t>examples</t>
  </si>
  <si>
    <t>ll</t>
  </si>
  <si>
    <t>down</t>
  </si>
  <si>
    <t>home</t>
  </si>
  <si>
    <t>job</t>
  </si>
  <si>
    <t>tho</t>
  </si>
  <si>
    <t>hope</t>
  </si>
  <si>
    <t>aqa</t>
  </si>
  <si>
    <t>cold</t>
  </si>
  <si>
    <t>long</t>
  </si>
  <si>
    <t>god</t>
  </si>
  <si>
    <t>question</t>
  </si>
  <si>
    <t>smoke</t>
  </si>
  <si>
    <t>better</t>
  </si>
  <si>
    <t>join</t>
  </si>
  <si>
    <t>discussion</t>
  </si>
  <si>
    <t>issue</t>
  </si>
  <si>
    <t>countries</t>
  </si>
  <si>
    <t>jordan</t>
  </si>
  <si>
    <t>live</t>
  </si>
  <si>
    <t>otors</t>
  </si>
  <si>
    <t>welcome</t>
  </si>
  <si>
    <t>play</t>
  </si>
  <si>
    <t>book</t>
  </si>
  <si>
    <t>meat</t>
  </si>
  <si>
    <t>holistic</t>
  </si>
  <si>
    <t>epidemiology</t>
  </si>
  <si>
    <t>1st</t>
  </si>
  <si>
    <t>kclpharmacy</t>
  </si>
  <si>
    <t>क</t>
  </si>
  <si>
    <t>vpeaos0blyw</t>
  </si>
  <si>
    <t>hsv2</t>
  </si>
  <si>
    <t>harvey</t>
  </si>
  <si>
    <t>thanku</t>
  </si>
  <si>
    <t>yeh</t>
  </si>
  <si>
    <t>hindi</t>
  </si>
  <si>
    <t>mem</t>
  </si>
  <si>
    <t>acha</t>
  </si>
  <si>
    <t>mama</t>
  </si>
  <si>
    <t>sai</t>
  </si>
  <si>
    <t>teaching</t>
  </si>
  <si>
    <t>save</t>
  </si>
  <si>
    <t>months</t>
  </si>
  <si>
    <t>odion</t>
  </si>
  <si>
    <t>curing</t>
  </si>
  <si>
    <t>hepatitis</t>
  </si>
  <si>
    <t>telling</t>
  </si>
  <si>
    <t>english</t>
  </si>
  <si>
    <t>ik</t>
  </si>
  <si>
    <t>explain</t>
  </si>
  <si>
    <t>gt</t>
  </si>
  <si>
    <t>13</t>
  </si>
  <si>
    <t>yeah</t>
  </si>
  <si>
    <t>kent</t>
  </si>
  <si>
    <t>robinson</t>
  </si>
  <si>
    <t>break</t>
  </si>
  <si>
    <t>pictures</t>
  </si>
  <si>
    <t>education</t>
  </si>
  <si>
    <t>putting</t>
  </si>
  <si>
    <t>dependent</t>
  </si>
  <si>
    <t>america</t>
  </si>
  <si>
    <t>local</t>
  </si>
  <si>
    <t>schools</t>
  </si>
  <si>
    <t>money</t>
  </si>
  <si>
    <t>raising</t>
  </si>
  <si>
    <t>deal</t>
  </si>
  <si>
    <t>company</t>
  </si>
  <si>
    <t>awesome</t>
  </si>
  <si>
    <t>program</t>
  </si>
  <si>
    <t>lecture</t>
  </si>
  <si>
    <t>yoga</t>
  </si>
  <si>
    <t>lifestyle</t>
  </si>
  <si>
    <t>link</t>
  </si>
  <si>
    <t>insights</t>
  </si>
  <si>
    <t>sharing</t>
  </si>
  <si>
    <t>excellent</t>
  </si>
  <si>
    <t>appreciate</t>
  </si>
  <si>
    <t>permanently</t>
  </si>
  <si>
    <t>comunicable</t>
  </si>
  <si>
    <t>understood</t>
  </si>
  <si>
    <t>minute</t>
  </si>
  <si>
    <t>study</t>
  </si>
  <si>
    <t>totally</t>
  </si>
  <si>
    <t>patient</t>
  </si>
  <si>
    <t>chance</t>
  </si>
  <si>
    <t>body</t>
  </si>
  <si>
    <t>wrong</t>
  </si>
  <si>
    <t>ill</t>
  </si>
  <si>
    <t>damn</t>
  </si>
  <si>
    <t>revising</t>
  </si>
  <si>
    <t>results</t>
  </si>
  <si>
    <t>comments</t>
  </si>
  <si>
    <t>questions</t>
  </si>
  <si>
    <t>edexcel</t>
  </si>
  <si>
    <t>state</t>
  </si>
  <si>
    <t>complete</t>
  </si>
  <si>
    <t>topics</t>
  </si>
  <si>
    <t>difficult</t>
  </si>
  <si>
    <t>common</t>
  </si>
  <si>
    <t>lots</t>
  </si>
  <si>
    <t>types</t>
  </si>
  <si>
    <t>person</t>
  </si>
  <si>
    <t>perfect</t>
  </si>
  <si>
    <t>bring</t>
  </si>
  <si>
    <t>16</t>
  </si>
  <si>
    <t>visit</t>
  </si>
  <si>
    <t>healthy</t>
  </si>
  <si>
    <t>lesson</t>
  </si>
  <si>
    <t>dangerous</t>
  </si>
  <si>
    <t>build</t>
  </si>
  <si>
    <t>total</t>
  </si>
  <si>
    <t>drink</t>
  </si>
  <si>
    <t>hard</t>
  </si>
  <si>
    <t>keep</t>
  </si>
  <si>
    <t>big</t>
  </si>
  <si>
    <t>won</t>
  </si>
  <si>
    <t>50</t>
  </si>
  <si>
    <t>nepal</t>
  </si>
  <si>
    <t>interested</t>
  </si>
  <si>
    <t>developing</t>
  </si>
  <si>
    <t>guess</t>
  </si>
  <si>
    <t>hear</t>
  </si>
  <si>
    <t>enjoyed</t>
  </si>
  <si>
    <t>wonderful</t>
  </si>
  <si>
    <t>enlarge</t>
  </si>
  <si>
    <t>believe</t>
  </si>
  <si>
    <t>drugs</t>
  </si>
  <si>
    <t>remedy</t>
  </si>
  <si>
    <t>problems</t>
  </si>
  <si>
    <t>thing</t>
  </si>
  <si>
    <t>stay</t>
  </si>
  <si>
    <t>kind</t>
  </si>
  <si>
    <t>organization</t>
  </si>
  <si>
    <t>humans</t>
  </si>
  <si>
    <t>care</t>
  </si>
  <si>
    <t>growing</t>
  </si>
  <si>
    <t>inflammatory</t>
  </si>
  <si>
    <t>nature</t>
  </si>
  <si>
    <t>conditions</t>
  </si>
  <si>
    <t>co</t>
  </si>
  <si>
    <t>course</t>
  </si>
  <si>
    <t>avoid</t>
  </si>
  <si>
    <t>studyiq</t>
  </si>
  <si>
    <t>vipan</t>
  </si>
  <si>
    <t>instagram</t>
  </si>
  <si>
    <t>traditional</t>
  </si>
  <si>
    <t>healing</t>
  </si>
  <si>
    <t>vinaka</t>
  </si>
  <si>
    <t>fiji</t>
  </si>
  <si>
    <t>support</t>
  </si>
  <si>
    <t>rage</t>
  </si>
  <si>
    <t>toxins</t>
  </si>
  <si>
    <t>indian</t>
  </si>
  <si>
    <t>par</t>
  </si>
  <si>
    <t>kcl</t>
  </si>
  <si>
    <t>tutorials</t>
  </si>
  <si>
    <t>kaise</t>
  </si>
  <si>
    <t>kre</t>
  </si>
  <si>
    <t>kar</t>
  </si>
  <si>
    <t>chapter</t>
  </si>
  <si>
    <t>bahut</t>
  </si>
  <si>
    <t>issues</t>
  </si>
  <si>
    <t>supplement</t>
  </si>
  <si>
    <t>12</t>
  </si>
  <si>
    <t>sleep</t>
  </si>
  <si>
    <t>walrus</t>
  </si>
  <si>
    <t>liulife</t>
  </si>
  <si>
    <t>write</t>
  </si>
  <si>
    <t>hospital</t>
  </si>
  <si>
    <t>told</t>
  </si>
  <si>
    <t>osunma</t>
  </si>
  <si>
    <t>grade</t>
  </si>
  <si>
    <t>ma</t>
  </si>
  <si>
    <t>btaya</t>
  </si>
  <si>
    <t>mere</t>
  </si>
  <si>
    <t>suffer</t>
  </si>
  <si>
    <t>rhe</t>
  </si>
  <si>
    <t>li</t>
  </si>
  <si>
    <t>phir</t>
  </si>
  <si>
    <t>ko</t>
  </si>
  <si>
    <t>kisi</t>
  </si>
  <si>
    <t>ayurvedic</t>
  </si>
  <si>
    <t>jo</t>
  </si>
  <si>
    <t>forced</t>
  </si>
  <si>
    <t>classrom</t>
  </si>
  <si>
    <t>country</t>
  </si>
  <si>
    <t>btw</t>
  </si>
  <si>
    <t>things</t>
  </si>
  <si>
    <t>reply</t>
  </si>
  <si>
    <t>series</t>
  </si>
  <si>
    <t>contacted</t>
  </si>
  <si>
    <t>greatest</t>
  </si>
  <si>
    <t>surprise</t>
  </si>
  <si>
    <t>pancreatic</t>
  </si>
  <si>
    <t>tnx</t>
  </si>
  <si>
    <t>super</t>
  </si>
  <si>
    <t>hey</t>
  </si>
  <si>
    <t>haha</t>
  </si>
  <si>
    <t>choices</t>
  </si>
  <si>
    <t>punitive</t>
  </si>
  <si>
    <t>taxation</t>
  </si>
  <si>
    <t>communist</t>
  </si>
  <si>
    <t>income</t>
  </si>
  <si>
    <t>decrease</t>
  </si>
  <si>
    <t>poor</t>
  </si>
  <si>
    <t>liberals</t>
  </si>
  <si>
    <t>lives</t>
  </si>
  <si>
    <t>effects</t>
  </si>
  <si>
    <t>federal</t>
  </si>
  <si>
    <t>keeps</t>
  </si>
  <si>
    <t>higher</t>
  </si>
  <si>
    <t>junk</t>
  </si>
  <si>
    <t>food</t>
  </si>
  <si>
    <t>factors</t>
  </si>
  <si>
    <t>71</t>
  </si>
  <si>
    <t>homework</t>
  </si>
  <si>
    <t>arantxa</t>
  </si>
  <si>
    <t>cayón</t>
  </si>
  <si>
    <t>prevention</t>
  </si>
  <si>
    <t>nmh</t>
  </si>
  <si>
    <t>students</t>
  </si>
  <si>
    <t>improve</t>
  </si>
  <si>
    <t>subject</t>
  </si>
  <si>
    <t>emily</t>
  </si>
  <si>
    <t>gacha</t>
  </si>
  <si>
    <t>height</t>
  </si>
  <si>
    <t>#1</t>
  </si>
  <si>
    <t>glory</t>
  </si>
  <si>
    <t>finally</t>
  </si>
  <si>
    <t>ojie</t>
  </si>
  <si>
    <t>terminate</t>
  </si>
  <si>
    <t>set</t>
  </si>
  <si>
    <t>coming</t>
  </si>
  <si>
    <t>effort</t>
  </si>
  <si>
    <t>wish</t>
  </si>
  <si>
    <t>teachers</t>
  </si>
  <si>
    <t>lockdown</t>
  </si>
  <si>
    <t>learning</t>
  </si>
  <si>
    <t>dude</t>
  </si>
  <si>
    <t>smile</t>
  </si>
  <si>
    <t>specification</t>
  </si>
  <si>
    <t>difference</t>
  </si>
  <si>
    <t>leading</t>
  </si>
  <si>
    <t>lead</t>
  </si>
  <si>
    <t>aswell</t>
  </si>
  <si>
    <t>cell</t>
  </si>
  <si>
    <t>words</t>
  </si>
  <si>
    <t>direct</t>
  </si>
  <si>
    <t>gcses</t>
  </si>
  <si>
    <t>gonna</t>
  </si>
  <si>
    <t>2020</t>
  </si>
  <si>
    <t>high</t>
  </si>
  <si>
    <t>stress</t>
  </si>
  <si>
    <t>vids</t>
  </si>
  <si>
    <t>24</t>
  </si>
  <si>
    <t>guide</t>
  </si>
  <si>
    <t>cares</t>
  </si>
  <si>
    <t>started</t>
  </si>
  <si>
    <t>aka</t>
  </si>
  <si>
    <t>lt</t>
  </si>
  <si>
    <t>11</t>
  </si>
  <si>
    <t>breakdown</t>
  </si>
  <si>
    <t>search_query</t>
  </si>
  <si>
    <t>2019</t>
  </si>
  <si>
    <t>read</t>
  </si>
  <si>
    <t>content</t>
  </si>
  <si>
    <t>title</t>
  </si>
  <si>
    <t>playlists</t>
  </si>
  <si>
    <t>physical</t>
  </si>
  <si>
    <t>being</t>
  </si>
  <si>
    <t>definition</t>
  </si>
  <si>
    <t>teach</t>
  </si>
  <si>
    <t>extremely</t>
  </si>
  <si>
    <t>constantly</t>
  </si>
  <si>
    <t>immune</t>
  </si>
  <si>
    <t>30</t>
  </si>
  <si>
    <t>prayers</t>
  </si>
  <si>
    <t>malaria</t>
  </si>
  <si>
    <t>grateful</t>
  </si>
  <si>
    <t>club</t>
  </si>
  <si>
    <t>matter</t>
  </si>
  <si>
    <t>king</t>
  </si>
  <si>
    <t>bio</t>
  </si>
  <si>
    <t>achieve</t>
  </si>
  <si>
    <t>watched</t>
  </si>
  <si>
    <t>website</t>
  </si>
  <si>
    <t>smokes</t>
  </si>
  <si>
    <t>exercises</t>
  </si>
  <si>
    <t>decreases</t>
  </si>
  <si>
    <t>effect</t>
  </si>
  <si>
    <t>agreed</t>
  </si>
  <si>
    <t>alcohol</t>
  </si>
  <si>
    <t>rip</t>
  </si>
  <si>
    <t>oof</t>
  </si>
  <si>
    <t>absolute</t>
  </si>
  <si>
    <t>smoking</t>
  </si>
  <si>
    <t>idea</t>
  </si>
  <si>
    <t>cent</t>
  </si>
  <si>
    <t>brief</t>
  </si>
  <si>
    <t>burden</t>
  </si>
  <si>
    <t>published</t>
  </si>
  <si>
    <t>findings</t>
  </si>
  <si>
    <t>000</t>
  </si>
  <si>
    <t>deaths</t>
  </si>
  <si>
    <t>quality</t>
  </si>
  <si>
    <t>large</t>
  </si>
  <si>
    <t>preparation</t>
  </si>
  <si>
    <t>plan</t>
  </si>
  <si>
    <t>progress</t>
  </si>
  <si>
    <t>action</t>
  </si>
  <si>
    <t>public</t>
  </si>
  <si>
    <t>patients</t>
  </si>
  <si>
    <t>2025</t>
  </si>
  <si>
    <t>part</t>
  </si>
  <si>
    <t>fantastic</t>
  </si>
  <si>
    <t>status</t>
  </si>
  <si>
    <t>jarvis</t>
  </si>
  <si>
    <t>yp</t>
  </si>
  <si>
    <t>cdn</t>
  </si>
  <si>
    <t>kris</t>
  </si>
  <si>
    <t>ronsin</t>
  </si>
  <si>
    <t>agree</t>
  </si>
  <si>
    <t>enlargement</t>
  </si>
  <si>
    <t>product</t>
  </si>
  <si>
    <t>100</t>
  </si>
  <si>
    <t>12134191563</t>
  </si>
  <si>
    <t>met</t>
  </si>
  <si>
    <t>reason</t>
  </si>
  <si>
    <t>roots</t>
  </si>
  <si>
    <t>organs</t>
  </si>
  <si>
    <t>page</t>
  </si>
  <si>
    <t>justice</t>
  </si>
  <si>
    <t>peace</t>
  </si>
  <si>
    <t>list</t>
  </si>
  <si>
    <t>individuals</t>
  </si>
  <si>
    <t>metabolic</t>
  </si>
  <si>
    <t>syndrome</t>
  </si>
  <si>
    <t>sort</t>
  </si>
  <si>
    <t>2nd</t>
  </si>
  <si>
    <t>intrinsic</t>
  </si>
  <si>
    <t>result</t>
  </si>
  <si>
    <t>plzz</t>
  </si>
  <si>
    <t>add</t>
  </si>
  <si>
    <t>bare</t>
  </si>
  <si>
    <t>pls</t>
  </si>
  <si>
    <t>41</t>
  </si>
  <si>
    <t>detailed</t>
  </si>
  <si>
    <t>fear</t>
  </si>
  <si>
    <t>store</t>
  </si>
  <si>
    <t>apps</t>
  </si>
  <si>
    <t>details</t>
  </si>
  <si>
    <t>id</t>
  </si>
  <si>
    <t>2xxut9b</t>
  </si>
  <si>
    <t>drvipangoyal</t>
  </si>
  <si>
    <t>goyal</t>
  </si>
  <si>
    <t>2odgnaf</t>
  </si>
  <si>
    <t>vipangoyal13</t>
  </si>
  <si>
    <t>thoroughly</t>
  </si>
  <si>
    <t>strategy</t>
  </si>
  <si>
    <t>doc</t>
  </si>
  <si>
    <t>listen</t>
  </si>
  <si>
    <t>decided</t>
  </si>
  <si>
    <t>culture</t>
  </si>
  <si>
    <t>affect</t>
  </si>
  <si>
    <t>approach</t>
  </si>
  <si>
    <t>jone</t>
  </si>
  <si>
    <t>islands</t>
  </si>
  <si>
    <t>tongans</t>
  </si>
  <si>
    <t>surgery</t>
  </si>
  <si>
    <t>dead</t>
  </si>
  <si>
    <t>indigenous</t>
  </si>
  <si>
    <t>change</t>
  </si>
  <si>
    <t>healthier</t>
  </si>
  <si>
    <t>sounds</t>
  </si>
  <si>
    <t>sugar</t>
  </si>
  <si>
    <t>reclaim</t>
  </si>
  <si>
    <t>diabetic</t>
  </si>
  <si>
    <t>brain</t>
  </si>
  <si>
    <t>symptom</t>
  </si>
  <si>
    <t>chinese</t>
  </si>
  <si>
    <t>reductionist</t>
  </si>
  <si>
    <t>replaceable</t>
  </si>
  <si>
    <t>balance</t>
  </si>
  <si>
    <t>lena</t>
  </si>
  <si>
    <t>kare</t>
  </si>
  <si>
    <t>college</t>
  </si>
  <si>
    <t>ek</t>
  </si>
  <si>
    <t>friend</t>
  </si>
  <si>
    <t>mujhe</t>
  </si>
  <si>
    <t>pharm</t>
  </si>
  <si>
    <t>chahiye</t>
  </si>
  <si>
    <t>banaiye</t>
  </si>
  <si>
    <t>hua</t>
  </si>
  <si>
    <t>hecp</t>
  </si>
  <si>
    <t>pharmacist</t>
  </si>
  <si>
    <t>liye</t>
  </si>
  <si>
    <t>links</t>
  </si>
  <si>
    <t>diya</t>
  </si>
  <si>
    <t>في</t>
  </si>
  <si>
    <t>pada</t>
  </si>
  <si>
    <t>sem</t>
  </si>
  <si>
    <t>stage</t>
  </si>
  <si>
    <t>bnaiye</t>
  </si>
  <si>
    <t>swttd</t>
  </si>
  <si>
    <t>ae</t>
  </si>
  <si>
    <t>q8</t>
  </si>
  <si>
    <t>hap</t>
  </si>
  <si>
    <t>basis</t>
  </si>
  <si>
    <t>thankful</t>
  </si>
  <si>
    <t>friends</t>
  </si>
  <si>
    <t>32j1zq1</t>
  </si>
  <si>
    <t>yvanna</t>
  </si>
  <si>
    <t>pulido</t>
  </si>
  <si>
    <t>च</t>
  </si>
  <si>
    <t>न</t>
  </si>
  <si>
    <t>र</t>
  </si>
  <si>
    <t>attack</t>
  </si>
  <si>
    <t>salami</t>
  </si>
  <si>
    <t>solution</t>
  </si>
  <si>
    <t>sickness</t>
  </si>
  <si>
    <t>mans</t>
  </si>
  <si>
    <t>explained</t>
  </si>
  <si>
    <t>ar2uygn27ru</t>
  </si>
  <si>
    <t>living</t>
  </si>
  <si>
    <t>jie</t>
  </si>
  <si>
    <t>hsv</t>
  </si>
  <si>
    <t>8nouaufxjzq</t>
  </si>
  <si>
    <t>shit</t>
  </si>
  <si>
    <t>33</t>
  </si>
  <si>
    <t>cooties</t>
  </si>
  <si>
    <t>pee</t>
  </si>
  <si>
    <t>pants</t>
  </si>
  <si>
    <t>bruh</t>
  </si>
  <si>
    <t>evening</t>
  </si>
  <si>
    <t>enjoying</t>
  </si>
  <si>
    <t>human</t>
  </si>
  <si>
    <t>consciousness</t>
  </si>
  <si>
    <t>smart</t>
  </si>
  <si>
    <t>optimal</t>
  </si>
  <si>
    <t>immunity</t>
  </si>
  <si>
    <t>walruses</t>
  </si>
  <si>
    <t>baby</t>
  </si>
  <si>
    <t>eggman</t>
  </si>
  <si>
    <t>coo</t>
  </si>
  <si>
    <t>iy</t>
  </si>
  <si>
    <t>47a68p60</t>
  </si>
  <si>
    <t>stinky</t>
  </si>
  <si>
    <t>uh</t>
  </si>
  <si>
    <t>subscribers</t>
  </si>
  <si>
    <t>gamer</t>
  </si>
  <si>
    <t>486420321924941</t>
  </si>
  <si>
    <t>stomach</t>
  </si>
  <si>
    <t>family</t>
  </si>
  <si>
    <t>products</t>
  </si>
  <si>
    <t>negative</t>
  </si>
  <si>
    <t>fast</t>
  </si>
  <si>
    <t>transmission</t>
  </si>
  <si>
    <t>present</t>
  </si>
  <si>
    <t>project</t>
  </si>
  <si>
    <t>comentario</t>
  </si>
  <si>
    <t>español</t>
  </si>
  <si>
    <t>من</t>
  </si>
  <si>
    <t>solido2</t>
  </si>
  <si>
    <t>za</t>
  </si>
  <si>
    <t>lbkxq_mbo3q</t>
  </si>
  <si>
    <t>starts</t>
  </si>
  <si>
    <t>lagti</t>
  </si>
  <si>
    <t>aap</t>
  </si>
  <si>
    <t>saath</t>
  </si>
  <si>
    <t>krna</t>
  </si>
  <si>
    <t>raha</t>
  </si>
  <si>
    <t>krte</t>
  </si>
  <si>
    <t>mcq</t>
  </si>
  <si>
    <t>crb0pnl5lmk</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</si>
  <si>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</si>
  <si>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</si>
  <si>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</si>
  <si>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</si>
  <si>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</si>
  <si>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</si>
  <si>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</si>
  <si>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</si>
  <si>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</si>
  <si>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</si>
  <si>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</si>
  <si>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</si>
  <si>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</si>
  <si>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</si>
  <si>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</si>
  <si>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</si>
  <si>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</si>
  <si>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</si>
  <si>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</si>
  <si>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</si>
  <si>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</si>
  <si>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</si>
  <si>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</si>
  <si>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</si>
  <si>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</si>
  <si>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</si>
  <si>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</si>
  <si>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</si>
  <si>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</si>
  <si>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</si>
  <si>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</si>
  <si>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</si>
  <si>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</si>
  <si>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</si>
  <si>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</si>
  <si>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</si>
  <si>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</si>
  <si>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</si>
  <si>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</si>
  <si>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</si>
  <si>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</si>
  <si>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</si>
  <si>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</si>
  <si>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</si>
  <si>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</si>
  <si>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</si>
  <si>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</si>
  <si>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</si>
  <si>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</si>
  <si>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</si>
  <si>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</si>
  <si>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</si>
  <si>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</si>
  <si>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</si>
  <si>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</si>
  <si>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</si>
  <si>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</si>
  <si>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</si>
  <si>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</si>
  <si>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</si>
  <si>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</si>
  <si>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</si>
  <si>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</si>
  <si>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Comment in Entire Graph</t>
  </si>
  <si>
    <t>https://gurudeseyesubai.org/hidden-causes-of-disease-3/</t>
  </si>
  <si>
    <t>http://gmail.com/</t>
  </si>
  <si>
    <t>https://play.google.com/store/apps/details?id=com.wow.studyiq</t>
  </si>
  <si>
    <t>https://bit.ly/2xxuT9B</t>
  </si>
  <si>
    <t>https://t.me/DrVipanGoyal</t>
  </si>
  <si>
    <t>https://bit.ly/2ODgNaf</t>
  </si>
  <si>
    <t>https://www.facebook.com/vipangoyal13</t>
  </si>
  <si>
    <t>https://youtu.be/sWTtD-aE-q8</t>
  </si>
  <si>
    <t>https://www.facebook.com/kclpharmacy/</t>
  </si>
  <si>
    <t>https://bit.ly/32j1Zq1</t>
  </si>
  <si>
    <t>Entire Graph Count</t>
  </si>
  <si>
    <t>Top URLs In Comment in G1</t>
  </si>
  <si>
    <t>http://www.youtube.com/results?search_query=%23LastMinuteSquad</t>
  </si>
  <si>
    <t>https://www.youtube.com/watch?v=H6DrSG_KQjo&amp;amp;t=3m34s</t>
  </si>
  <si>
    <t>Top URLs In Comment in G2</t>
  </si>
  <si>
    <t>G1 Count</t>
  </si>
  <si>
    <t>https://www.youtube.com/watch?v=fK1_SH3X2ek&amp;amp;t=2m13s</t>
  </si>
  <si>
    <t>http://paho.org/</t>
  </si>
  <si>
    <t>http://www.paho.org/nmh</t>
  </si>
  <si>
    <t>Top URLs In Comment in G3</t>
  </si>
  <si>
    <t>G2 Count</t>
  </si>
  <si>
    <t>https://m.facebook.com/Dr-Ehimare-486420321924941</t>
  </si>
  <si>
    <t>http://solido2.co.za/</t>
  </si>
  <si>
    <t>https://www.youtube.com/watch?v=LBkXQ_mBO3Q&amp;amp;t=0m50s</t>
  </si>
  <si>
    <t>https://www.youtube.com/watch?v=LBkXQ_mBO3Q&amp;amp;t=1m05s</t>
  </si>
  <si>
    <t>Top URLs In Comment in G4</t>
  </si>
  <si>
    <t>G3 Count</t>
  </si>
  <si>
    <t>https://youtu.be/ar2UyGn27RU</t>
  </si>
  <si>
    <t>https://www.youtube.com/watch?v=8nOuAUfXjzQ</t>
  </si>
  <si>
    <t>https://www.youtube.com/watch?v=vpEAos0blyw&amp;amp;t=0m16s</t>
  </si>
  <si>
    <t>https://www.youtube.com/watch?v=vpEAos0blyw&amp;amp;t=5m24s</t>
  </si>
  <si>
    <t>https://www.youtube.com/watch?v=vpEAos0blyw&amp;amp;t=5m18s</t>
  </si>
  <si>
    <t>https://www.youtube.com/watch?v=vpEAos0blyw&amp;amp;t=12m33s</t>
  </si>
  <si>
    <t>Top URLs In Comment in G5</t>
  </si>
  <si>
    <t>G4 Count</t>
  </si>
  <si>
    <t>Top URLs In Comment in G6</t>
  </si>
  <si>
    <t>G5 Count</t>
  </si>
  <si>
    <t>https://www.youtube.com/watch?v=HeOcduRiqyw&amp;amp;t=12m40s</t>
  </si>
  <si>
    <t>https://www.youtube.com/watch?v=ggOqMncgemw&amp;amp;t=13m25s</t>
  </si>
  <si>
    <t>Top URLs In Comment in G7</t>
  </si>
  <si>
    <t>G6 Count</t>
  </si>
  <si>
    <t>http://www.kclpharmacy.com/</t>
  </si>
  <si>
    <t>Top URLs In Comment in G8</t>
  </si>
  <si>
    <t>G7 Count</t>
  </si>
  <si>
    <t>http://liulife.org/</t>
  </si>
  <si>
    <t>https://www.youtube.com/watch?v=iy-47a68P60&amp;amp;t=2m41s</t>
  </si>
  <si>
    <t>https://www.youtube.com/watch?v=iy-47a68P60&amp;amp;t=3m33s</t>
  </si>
  <si>
    <t>Top URLs In Comment in G9</t>
  </si>
  <si>
    <t>G8 Count</t>
  </si>
  <si>
    <t>https://youtu.be/cRB0pNL5Lmk</t>
  </si>
  <si>
    <t>Top URLs In Comment in G10</t>
  </si>
  <si>
    <t>G9 Count</t>
  </si>
  <si>
    <t>G10 Count</t>
  </si>
  <si>
    <t>Top URLs In Comment</t>
  </si>
  <si>
    <t>http://www.youtube.com/results?search_query=%23LastMinuteSquad https://www.youtube.com/watch?v=H6DrSG_KQjo&amp;amp;t=3m34s</t>
  </si>
  <si>
    <t>https://gurudeseyesubai.org/hidden-causes-of-disease-3/ http://gmail.com/ https://www.youtube.com/watch?v=fK1_SH3X2ek&amp;amp;t=2m13s http://paho.org/ http://www.paho.org/nmh</t>
  </si>
  <si>
    <t>http://gmail.com/ https://m.facebook.com/Dr-Ehimare-486420321924941 http://solido2.co.za/ https://www.youtube.com/watch?v=LBkXQ_mBO3Q&amp;amp;t=0m50s https://www.youtube.com/watch?v=LBkXQ_mBO3Q&amp;amp;t=1m05s</t>
  </si>
  <si>
    <t>https://youtu.be/ar2UyGn27RU https://www.youtube.com/watch?v=8nOuAUfXjzQ https://www.youtube.com/watch?v=vpEAos0blyw&amp;amp;t=0m16s https://www.youtube.com/watch?v=vpEAos0blyw&amp;amp;t=5m24s https://www.youtube.com/watch?v=vpEAos0blyw&amp;amp;t=5m18s http://gmail.com/ https://www.youtube.com/watch?v=vpEAos0blyw&amp;amp;t=12m33s</t>
  </si>
  <si>
    <t>https://www.youtube.com/watch?v=HeOcduRiqyw&amp;amp;t=12m40s https://www.youtube.com/watch?v=ggOqMncgemw&amp;amp;t=13m25s</t>
  </si>
  <si>
    <t>https://youtu.be/sWTtD-aE-q8 https://www.facebook.com/kclpharmacy/ http://www.kclpharmacy.com/</t>
  </si>
  <si>
    <t>http://liulife.org/ https://www.youtube.com/watch?v=iy-47a68P60&amp;amp;t=2m41s https://www.youtube.com/watch?v=iy-47a68P60&amp;amp;t=3m33s</t>
  </si>
  <si>
    <t>https://play.google.com/store/apps/details?id=com.wow.studyiq https://bit.ly/2xxuT9B https://t.me/DrVipanGoyal https://bit.ly/2ODgNaf https://www.facebook.com/vipangoyal13 http://gmail.com/ https://www.youtube.com/watch?v=5Q411ntL0jQ&amp;amp;t=03m54s</t>
  </si>
  <si>
    <t>http://www.youtube.com/results?search_query=%232019GCSEs</t>
  </si>
  <si>
    <t>Top Domains In Comment in Entire Graph</t>
  </si>
  <si>
    <t>gurudeseyesubai.org</t>
  </si>
  <si>
    <t>bit.ly</t>
  </si>
  <si>
    <t>facebook.com</t>
  </si>
  <si>
    <t>youtu.be</t>
  </si>
  <si>
    <t>google.com</t>
  </si>
  <si>
    <t>t.me</t>
  </si>
  <si>
    <t>liulife.org</t>
  </si>
  <si>
    <t>Top Domains In Comment in G1</t>
  </si>
  <si>
    <t>Top Domains In Comment in G2</t>
  </si>
  <si>
    <t>Top Domains In Comment in G3</t>
  </si>
  <si>
    <t>Top Domains In Comment in G4</t>
  </si>
  <si>
    <t>Top Domains In Comment in G5</t>
  </si>
  <si>
    <t>Top Domains In Comment in G6</t>
  </si>
  <si>
    <t>Top Domains In Comment in G7</t>
  </si>
  <si>
    <t>kclpharmacy.com</t>
  </si>
  <si>
    <t>Top Domains In Comment in G8</t>
  </si>
  <si>
    <t>Top Domains In Comment in G9</t>
  </si>
  <si>
    <t>Top Domains In Comment in G10</t>
  </si>
  <si>
    <t>Top Domains In Comment</t>
  </si>
  <si>
    <t>gurudeseyesubai.org paho.org gmail.com youtube.com</t>
  </si>
  <si>
    <t>gmail.com facebook.com youtube.com co.za</t>
  </si>
  <si>
    <t>youtube.com youtu.be gmail.com</t>
  </si>
  <si>
    <t>youtu.be facebook.com kclpharmacy.com</t>
  </si>
  <si>
    <t>youtube.com liulife.org</t>
  </si>
  <si>
    <t>bit.ly google.com t.me facebook.com gmail.com youtube.com</t>
  </si>
  <si>
    <t>Top Hashtags In Comment in Entire Graph</t>
  </si>
  <si>
    <t>Top Hashtags In Comment in G1</t>
  </si>
  <si>
    <t>Top Hashtags In Comment in G2</t>
  </si>
  <si>
    <t>Top Hashtags In Comment in G3</t>
  </si>
  <si>
    <t>Top Hashtags In Comment in G4</t>
  </si>
  <si>
    <t>Top Hashtags In Comment in G5</t>
  </si>
  <si>
    <t>Top Hashtags In Comment in G6</t>
  </si>
  <si>
    <t>Top Hashtags In Comment in G7</t>
  </si>
  <si>
    <t>Top Hashtags In Comment in G8</t>
  </si>
  <si>
    <t>Top Hashtags In Comment in G9</t>
  </si>
  <si>
    <t>Top Hashtags In Comment in G10</t>
  </si>
  <si>
    <t>Top Hashtags In Comment</t>
  </si>
  <si>
    <t>Top Words in Comment in Entire Graph</t>
  </si>
  <si>
    <t>Top Words in Comment in G1</t>
  </si>
  <si>
    <t>Top Words in Comment in G2</t>
  </si>
  <si>
    <t>Top Words in Comment in G3</t>
  </si>
  <si>
    <t>Top Words in Comment in G4</t>
  </si>
  <si>
    <t>Top Words in Comment in G5</t>
  </si>
  <si>
    <t>Top Words in Comment in G6</t>
  </si>
  <si>
    <t>Top Words in Comment in G7</t>
  </si>
  <si>
    <t>Top Words in Comment in G8</t>
  </si>
  <si>
    <t>Top Words in Comment in G9</t>
  </si>
  <si>
    <t>Top Words in Comment in G10</t>
  </si>
  <si>
    <t>Top Words in Comment</t>
  </si>
  <si>
    <t>exam good luck paper tomorrow hiv test sir freesciencelessons topic</t>
  </si>
  <si>
    <t>teacher people disease org hidden like gurudeseyesubai health google love</t>
  </si>
  <si>
    <t>dr good disease cure diseases help ehimare herpes information communicable</t>
  </si>
  <si>
    <t>online petra anderson classes class virus laryssa olson bro great</t>
  </si>
  <si>
    <t>covid disease dr ncd people penis health pandemic chronic problem</t>
  </si>
  <si>
    <t>sir ki ke ka hindi starts helpful lagti aap ho</t>
  </si>
  <si>
    <t>sir hai kr ka plz notes kclpharmacy 1st epidemiology nhi</t>
  </si>
  <si>
    <t>health planet ayurveda helps sleep diet walrus liulife improve yoga</t>
  </si>
  <si>
    <t>mam mem plz upload crb0pnl5lmk question vedio mcq ke thanku</t>
  </si>
  <si>
    <t>diet people like medicine talk meat pacific holistic good vinaka</t>
  </si>
  <si>
    <t>sir communicable aids bit ly disease studyiq vipan facebook vedio</t>
  </si>
  <si>
    <t>gcse good luck</t>
  </si>
  <si>
    <t>ncds jordan show discussion india diseases ncd great nepal communicable</t>
  </si>
  <si>
    <t>welcome emmatheteachie</t>
  </si>
  <si>
    <t>good revising</t>
  </si>
  <si>
    <t>bit ly 32j1zq1</t>
  </si>
  <si>
    <t>Top Word Pairs in Comment in Entire Graph</t>
  </si>
  <si>
    <t>good,luck</t>
  </si>
  <si>
    <t>gurudeseyesubai,org</t>
  </si>
  <si>
    <t>org,hidden</t>
  </si>
  <si>
    <t>hidden,disease</t>
  </si>
  <si>
    <t>communicable,disease</t>
  </si>
  <si>
    <t>covid,19</t>
  </si>
  <si>
    <t>online,classes</t>
  </si>
  <si>
    <t>communicable,diseases</t>
  </si>
  <si>
    <t>bit,ly</t>
  </si>
  <si>
    <t>petra,anderson</t>
  </si>
  <si>
    <t>Top Word Pairs in Comment in G1</t>
  </si>
  <si>
    <t>test,tomorrow</t>
  </si>
  <si>
    <t>common,cold</t>
  </si>
  <si>
    <t>organisation,topic</t>
  </si>
  <si>
    <t>mental,health</t>
  </si>
  <si>
    <t>aqa,spec</t>
  </si>
  <si>
    <t>minute,revision</t>
  </si>
  <si>
    <t>revision,guide</t>
  </si>
  <si>
    <t>hiv,common</t>
  </si>
  <si>
    <t>Top Word Pairs in Comment in G2</t>
  </si>
  <si>
    <t>google,classroom</t>
  </si>
  <si>
    <t>disease,gurudeseyesubai</t>
  </si>
  <si>
    <t>paho,org</t>
  </si>
  <si>
    <t>health,teacher</t>
  </si>
  <si>
    <t>dr,odion</t>
  </si>
  <si>
    <t>teacher,google</t>
  </si>
  <si>
    <t>kent,robinson</t>
  </si>
  <si>
    <t>Top Word Pairs in Comment in G3</t>
  </si>
  <si>
    <t>dr,ehimare</t>
  </si>
  <si>
    <t>dr,harvey</t>
  </si>
  <si>
    <t>dr,osunma</t>
  </si>
  <si>
    <t>comunicable,disease</t>
  </si>
  <si>
    <t>cure,hsv2</t>
  </si>
  <si>
    <t>herpes,good</t>
  </si>
  <si>
    <t>good,information</t>
  </si>
  <si>
    <t>gmail,gmail</t>
  </si>
  <si>
    <t>gmail,whatsapp</t>
  </si>
  <si>
    <t>facebook,dr</t>
  </si>
  <si>
    <t>Top Word Pairs in Comment in G4</t>
  </si>
  <si>
    <t>laryssa,olson</t>
  </si>
  <si>
    <t>right,doctor</t>
  </si>
  <si>
    <t>doctor,ojie</t>
  </si>
  <si>
    <t>ojie,helping</t>
  </si>
  <si>
    <t>helping,terminate</t>
  </si>
  <si>
    <t>terminate,herpes</t>
  </si>
  <si>
    <t>herpes,permanently</t>
  </si>
  <si>
    <t>permanently,natural</t>
  </si>
  <si>
    <t>Top Word Pairs in Comment in G5</t>
  </si>
  <si>
    <t>chronic,inflammatory</t>
  </si>
  <si>
    <t>emily,gacha</t>
  </si>
  <si>
    <t>penis,enlargement</t>
  </si>
  <si>
    <t>doctor,otors</t>
  </si>
  <si>
    <t>whatsapp,12134191563</t>
  </si>
  <si>
    <t>enlarge,penis</t>
  </si>
  <si>
    <t>dr,otors</t>
  </si>
  <si>
    <t>sharing,justice</t>
  </si>
  <si>
    <t>justice,peace</t>
  </si>
  <si>
    <t>Top Word Pairs in Comment in G6</t>
  </si>
  <si>
    <t>Top Word Pairs in Comment in G7</t>
  </si>
  <si>
    <t>kcl,tutorials</t>
  </si>
  <si>
    <t>swttd,ae</t>
  </si>
  <si>
    <t>ae,q8</t>
  </si>
  <si>
    <t>facebook,kclpharmacy</t>
  </si>
  <si>
    <t>upload,kr</t>
  </si>
  <si>
    <t>sir,pharma</t>
  </si>
  <si>
    <t>nhi,hai</t>
  </si>
  <si>
    <t>tutorials,sir</t>
  </si>
  <si>
    <t>sir,plz</t>
  </si>
  <si>
    <t>plz,sir</t>
  </si>
  <si>
    <t>Top Word Pairs in Comment in G8</t>
  </si>
  <si>
    <t>planet,ayurveda</t>
  </si>
  <si>
    <t>improve,health</t>
  </si>
  <si>
    <t>glad,enjoying</t>
  </si>
  <si>
    <t>interested,smart</t>
  </si>
  <si>
    <t>smart,supplement</t>
  </si>
  <si>
    <t>supplement,diet</t>
  </si>
  <si>
    <t>diet,easily</t>
  </si>
  <si>
    <t>easily,traditional</t>
  </si>
  <si>
    <t>traditional,indian</t>
  </si>
  <si>
    <t>build,optimal</t>
  </si>
  <si>
    <t>Top Word Pairs in Comment in G9</t>
  </si>
  <si>
    <t>plz,upload</t>
  </si>
  <si>
    <t>mam,plz</t>
  </si>
  <si>
    <t>Top Word Pairs in Comment in G10</t>
  </si>
  <si>
    <t>thoroughly,enjoyed</t>
  </si>
  <si>
    <t>pacific,people</t>
  </si>
  <si>
    <t>big,pharma</t>
  </si>
  <si>
    <t>holistic,medicine</t>
  </si>
  <si>
    <t>diabetic,rage</t>
  </si>
  <si>
    <t>rage,symptom</t>
  </si>
  <si>
    <t>replaceable,parts</t>
  </si>
  <si>
    <t>parts,humans</t>
  </si>
  <si>
    <t>balance,nature</t>
  </si>
  <si>
    <t>Top Word Pairs in Comment</t>
  </si>
  <si>
    <t>good,luck  test,tomorrow  common,cold  organisation,topic  mental,health  aqa,spec  minute,revision  revision,guide  hiv,common</t>
  </si>
  <si>
    <t>gurudeseyesubai,org  org,hidden  hidden,disease  google,classroom  disease,gurudeseyesubai  paho,org  health,teacher  dr,odion  teacher,google  kent,robinson</t>
  </si>
  <si>
    <t>dr,ehimare  dr,harvey  dr,osunma  comunicable,disease  cure,hsv2  herpes,good  good,information  gmail,gmail  gmail,whatsapp  facebook,dr</t>
  </si>
  <si>
    <t>petra,anderson  online,classes  laryssa,olson  right,doctor  doctor,ojie  ojie,helping  helping,terminate  terminate,herpes  herpes,permanently  permanently,natural</t>
  </si>
  <si>
    <t>covid,19  chronic,inflammatory  emily,gacha  penis,enlargement  doctor,otors  whatsapp,12134191563  enlarge,penis  dr,otors  sharing,justice  justice,peace</t>
  </si>
  <si>
    <t>kcl,tutorials  swttd,ae  ae,q8  facebook,kclpharmacy  upload,kr  sir,pharma  nhi,hai  tutorials,sir  sir,plz  plz,sir</t>
  </si>
  <si>
    <t>planet,ayurveda  improve,health  glad,enjoying  interested,smart  smart,supplement  supplement,diet  diet,easily  easily,traditional  traditional,indian  build,optimal</t>
  </si>
  <si>
    <t>plz,upload  mam,plz</t>
  </si>
  <si>
    <t>thoroughly,enjoyed  pacific,people  big,pharma  holistic,medicine  diabetic,rage  rage,symptom  replaceable,parts  parts,humans  balance,nature</t>
  </si>
  <si>
    <t>bit,ly  communicable,disease  play,google  google,store  store,apps  apps,details  details,id  id,wow  wow,studyiq  ly,2xxut9b</t>
  </si>
  <si>
    <t>communicable,diseases  50,cent  cent,playlist  kris,ronsin  bring,discussion  discussion,ncds  developing,countries  status,report  jordan,jarvis  yp,cdn</t>
  </si>
  <si>
    <t>bit,ly  ly,32j1zq1</t>
  </si>
  <si>
    <t>URLs In Comment by Count</t>
  </si>
  <si>
    <t>https://www.youtube.com/watch?v=LBkXQ_mBO3Q&amp;amp;t=0m50s https://www.youtube.com/watch?v=LBkXQ_mBO3Q&amp;amp;t=1m05s</t>
  </si>
  <si>
    <t>https://m.facebook.com/Dr-Ehimare-486420321924941 http://gmail.com/</t>
  </si>
  <si>
    <t>https://play.google.com/store/apps/details?id=com.wow.studyiq https://bit.ly/2xxuT9B https://t.me/DrVipanGoyal https://bit.ly/2ODgNaf https://www.facebook.com/vipangoyal13 http://gmail.com/</t>
  </si>
  <si>
    <t>https://www.youtube.com/watch?v=5Q411ntL0jQ&amp;amp;t=03m54s</t>
  </si>
  <si>
    <t>http://www.paho.org/nmh http://paho.org/</t>
  </si>
  <si>
    <t>URLs In Comment by Salience</t>
  </si>
  <si>
    <t>Domains In Comment by Count</t>
  </si>
  <si>
    <t>facebook.com gmail.com</t>
  </si>
  <si>
    <t>bit.ly google.com t.me facebook.com gmail.com</t>
  </si>
  <si>
    <t>Domains In Comment by Salience</t>
  </si>
  <si>
    <t>Hashtags In Comment by Count</t>
  </si>
  <si>
    <t>Hashtags In Comment by Salience</t>
  </si>
  <si>
    <t>Top Words in Comment by Count</t>
  </si>
  <si>
    <t>mam smh nhi aata theory pde mcq solve kre</t>
  </si>
  <si>
    <t>crb0pnl5lmk yh</t>
  </si>
  <si>
    <t>mam plz upload questions</t>
  </si>
  <si>
    <t>mam adolescence health topic ke upar bhi banaiye</t>
  </si>
  <si>
    <t>thanku mama</t>
  </si>
  <si>
    <t>mem gk par bnaiye pls</t>
  </si>
  <si>
    <t>mam nutrition related questions</t>
  </si>
  <si>
    <t>mam plz immunoglobin vedio bna</t>
  </si>
  <si>
    <t>hey nursing field discuss idea contect</t>
  </si>
  <si>
    <t>thanku mam</t>
  </si>
  <si>
    <t>mcq paper cho ke salebus ho upload plz thanxxxx</t>
  </si>
  <si>
    <t>hindi vedio banay</t>
  </si>
  <si>
    <t>uterine pacmaker situated cornua uterus cornea</t>
  </si>
  <si>
    <t>madam</t>
  </si>
  <si>
    <t>tqqqq mem plz upload topics</t>
  </si>
  <si>
    <t>mam question bheje</t>
  </si>
  <si>
    <t>mam useful question</t>
  </si>
  <si>
    <t>amazing helped youuuuuuuuuuuu</t>
  </si>
  <si>
    <t>thnq sir</t>
  </si>
  <si>
    <t>क sir ji र न भय</t>
  </si>
  <si>
    <t>hindi medium ka apna mhanayk salute sir</t>
  </si>
  <si>
    <t>kuki yeh book ma diya hua thing notice important topics</t>
  </si>
  <si>
    <t>sir malaria ar dengue failta communicable desease kaise aayega</t>
  </si>
  <si>
    <t>krte study bahut mast explain mujhe banking exam ka krna</t>
  </si>
  <si>
    <t>itne faltu ki baat kyu karte ho</t>
  </si>
  <si>
    <t>sir mosquito bites infected</t>
  </si>
  <si>
    <t>starts ggoqmncgemw 13m25s 13 25</t>
  </si>
  <si>
    <t>quick revision lot terminology error like meningitis scripted kind knowledge</t>
  </si>
  <si>
    <t>good teaching</t>
  </si>
  <si>
    <t>raha yeh padha yaa ad kar priyal ma acha padhati</t>
  </si>
  <si>
    <t>understanding hindi bit</t>
  </si>
  <si>
    <t>sir hindi saath english ka krna tha</t>
  </si>
  <si>
    <t>ke sir savi rogo dawa bare janne liye koi book</t>
  </si>
  <si>
    <t>great lecture sir</t>
  </si>
  <si>
    <t>shandar sir</t>
  </si>
  <si>
    <t>tho bkwas kr li aapne suru</t>
  </si>
  <si>
    <t>aap ki series best hai</t>
  </si>
  <si>
    <t>sir lagti hlo diabetes wale patient ko bhookh jyada aap</t>
  </si>
  <si>
    <t>thanku sir</t>
  </si>
  <si>
    <t>jay johar</t>
  </si>
  <si>
    <t>starts heocduriqyw 12m40s 12 40</t>
  </si>
  <si>
    <t>oooowow</t>
  </si>
  <si>
    <t>simple easily understandable kids</t>
  </si>
  <si>
    <t>download graphics</t>
  </si>
  <si>
    <t>lbkxq_mbo3q ur zotters class reading #1 0m50s 50 #2 1m05s</t>
  </si>
  <si>
    <t>ty</t>
  </si>
  <si>
    <t>solido2 co za solid o2 hyperbaric oxygen treatments chambers immune</t>
  </si>
  <si>
    <t>estoy buscando comentario español ماذا</t>
  </si>
  <si>
    <t>من معهد المحموديه اول دس لايك عندي وابلاغ بلكي توب</t>
  </si>
  <si>
    <t>corona stronger</t>
  </si>
  <si>
    <t>like job fiverr</t>
  </si>
  <si>
    <t>help complete school project</t>
  </si>
  <si>
    <t>comentario español buscabas</t>
  </si>
  <si>
    <t>complete school project</t>
  </si>
  <si>
    <t>good easy wow</t>
  </si>
  <si>
    <t>good class</t>
  </si>
  <si>
    <t>disease called covid 19</t>
  </si>
  <si>
    <t>types communicable deasies</t>
  </si>
  <si>
    <t>excellent information</t>
  </si>
  <si>
    <t>hate ranju thami ma</t>
  </si>
  <si>
    <t>great lesson</t>
  </si>
  <si>
    <t>ypur lesson</t>
  </si>
  <si>
    <t>excellent jisko bhi asea lagta like kare</t>
  </si>
  <si>
    <t>thankyou teaching</t>
  </si>
  <si>
    <t>boring fuck gym teacher watching bull shit</t>
  </si>
  <si>
    <t>great job ticks insects arachnids</t>
  </si>
  <si>
    <t>great covid 19 coranavirus save people world including india</t>
  </si>
  <si>
    <t>disease lots gmail grateful thankful dr_ayeye family herpes good solution</t>
  </si>
  <si>
    <t>sathwika present 5a</t>
  </si>
  <si>
    <t>teacher played class 5th grade</t>
  </si>
  <si>
    <t>yuktha creative life grade watching quiz tom</t>
  </si>
  <si>
    <t>6th grade understandings ur vid subscribers</t>
  </si>
  <si>
    <t>8th</t>
  </si>
  <si>
    <t>fast speak</t>
  </si>
  <si>
    <t>present sir abe sale</t>
  </si>
  <si>
    <t>help alot presentation</t>
  </si>
  <si>
    <t>good explanation thanku</t>
  </si>
  <si>
    <t>outline primary strategy communicable disease</t>
  </si>
  <si>
    <t>good explanation</t>
  </si>
  <si>
    <t>nice information communicable diseases learn lot things</t>
  </si>
  <si>
    <t>mans sounds like airline hosts</t>
  </si>
  <si>
    <t>commenting 2021 like</t>
  </si>
  <si>
    <t>watching 2021</t>
  </si>
  <si>
    <t>sir help science</t>
  </si>
  <si>
    <t>detailed informative age appropriate students benefit tremendously</t>
  </si>
  <si>
    <t>nice information</t>
  </si>
  <si>
    <t>transmission book stated vector borne diseases ate indirect droplet direct</t>
  </si>
  <si>
    <t>fever communicable disease</t>
  </si>
  <si>
    <t>dr osunma herbs cure months hsv2 finally rid herbal product</t>
  </si>
  <si>
    <t>god answers prayers believe negative herpes virus beat down help</t>
  </si>
  <si>
    <t>dr harvey told hospital stomach time herbal products contact 2010</t>
  </si>
  <si>
    <t>brooooooooom</t>
  </si>
  <si>
    <t>brief explanation</t>
  </si>
  <si>
    <t>virus diseases cure type living eternity sit down think listen</t>
  </si>
  <si>
    <t>good information communicable diseases</t>
  </si>
  <si>
    <t>useful daughter school explanation</t>
  </si>
  <si>
    <t>dr ehimare cure treatment hsv2 medical herpes gmail facebook 486420321924941</t>
  </si>
  <si>
    <t>write essay upset good</t>
  </si>
  <si>
    <t>xd gamer lmaooo</t>
  </si>
  <si>
    <t>ur legend</t>
  </si>
  <si>
    <t>glad enjoying comment support great awesome hear gm adam mate</t>
  </si>
  <si>
    <t>yas true stinkyyyyyyy uh stinkyyyyyyyyyy suck buddyyyyyyyyyyyy</t>
  </si>
  <si>
    <t>bet</t>
  </si>
  <si>
    <t>perfect channell deserves subscribers</t>
  </si>
  <si>
    <t>uh stinky</t>
  </si>
  <si>
    <t>rednaxela aka poor friends banana king stinky</t>
  </si>
  <si>
    <t>boi hellioooo</t>
  </si>
  <si>
    <t>people ethan close</t>
  </si>
  <si>
    <t>well posted school</t>
  </si>
  <si>
    <t>interested smart supplement diet easily traditional indian build optimal immunity</t>
  </si>
  <si>
    <t>iy 47a68p60 3m33s 33 america obesity samir sort ur grammar</t>
  </si>
  <si>
    <t>walruses famous alchoholics smokers</t>
  </si>
  <si>
    <t>baby walrus health problems</t>
  </si>
  <si>
    <t>liulife live org healthy habits app helps better longer join</t>
  </si>
  <si>
    <t>iy 47a68p60 2m41s 41 talking person catch disease affect nation</t>
  </si>
  <si>
    <t>eggman coo walrus cachoo</t>
  </si>
  <si>
    <t>gunna talk baby health problems walrus</t>
  </si>
  <si>
    <t>walruses drink smoke lol</t>
  </si>
  <si>
    <t>class clue parents evening</t>
  </si>
  <si>
    <t>planet ayurveda sleep improve health yoga consciousness boring moves postures</t>
  </si>
  <si>
    <t>bored like learn bio</t>
  </si>
  <si>
    <t>ill chopped</t>
  </si>
  <si>
    <t>binge watching evening chill revise</t>
  </si>
  <si>
    <t>coviddddd19</t>
  </si>
  <si>
    <t>great job</t>
  </si>
  <si>
    <t>cochrans class</t>
  </si>
  <si>
    <t>berkovitz</t>
  </si>
  <si>
    <t>claudia classsss</t>
  </si>
  <si>
    <t>laryssa olson bruh rly think better checked pee ur pants</t>
  </si>
  <si>
    <t>petra anderson cooties petraaaaaaaa hhahhaahah nvr man atm ill ra</t>
  </si>
  <si>
    <t>play roblox</t>
  </si>
  <si>
    <t>glad halpful guys methodschools helpful vpeaos0blyw 12m33s 12 33 experts</t>
  </si>
  <si>
    <t>covid 19 pandemic</t>
  </si>
  <si>
    <t>virus kai fite picture looked bit like corona creepy</t>
  </si>
  <si>
    <t>bro watching online classes</t>
  </si>
  <si>
    <t>pissing</t>
  </si>
  <si>
    <t>yeah boring</t>
  </si>
  <si>
    <t>bro sucks</t>
  </si>
  <si>
    <t>virus copper serena spencer yeah corona like ve bro</t>
  </si>
  <si>
    <t>online classes like tf wanna hereeeee</t>
  </si>
  <si>
    <t>ong shit boring asf</t>
  </si>
  <si>
    <t>coach thornton class</t>
  </si>
  <si>
    <t>8nouaufxjzq guinea worms dead</t>
  </si>
  <si>
    <t>health class</t>
  </si>
  <si>
    <t>voice pierce skull</t>
  </si>
  <si>
    <t>method health minute</t>
  </si>
  <si>
    <t>online classes</t>
  </si>
  <si>
    <t>forgot disease called covid19</t>
  </si>
  <si>
    <t>gmail permanent cure herpes virus medicine dr oseigba mercy man</t>
  </si>
  <si>
    <t>vpeaos0blyw 5m18s 18 gotta like fun jie</t>
  </si>
  <si>
    <t>help read comments notes realised</t>
  </si>
  <si>
    <t>happy vpeaos0blyw 5m24s 24 fungi fun jie</t>
  </si>
  <si>
    <t>covid xd</t>
  </si>
  <si>
    <t>comments visuals</t>
  </si>
  <si>
    <t>saaame pandemic living 2020 2021 remind</t>
  </si>
  <si>
    <t>health teacher</t>
  </si>
  <si>
    <t>weiner</t>
  </si>
  <si>
    <t>wow charles</t>
  </si>
  <si>
    <t>workmans class</t>
  </si>
  <si>
    <t>bro confusing ndndkdnndbsns explained well</t>
  </si>
  <si>
    <t>cos online classes</t>
  </si>
  <si>
    <t>guess online school</t>
  </si>
  <si>
    <t>vpeaos0blyw 0m16s 16 mans</t>
  </si>
  <si>
    <t>herbal sickness medication best solution health issues viral great professional</t>
  </si>
  <si>
    <t>salami instagram wana express gratitude doctor contact salami_healing_herbs check curing</t>
  </si>
  <si>
    <t>elites releasing man diseases people solomon islands facts smdh</t>
  </si>
  <si>
    <t>hope people world healthy heatlhcare</t>
  </si>
  <si>
    <t>health organization world china</t>
  </si>
  <si>
    <t>covid india attack 19 consequences trauma ptsd complicated grief melancholic</t>
  </si>
  <si>
    <t>च क न ट र डब ल य एचओ</t>
  </si>
  <si>
    <t>chinese puppet</t>
  </si>
  <si>
    <t>help world keep good work hopefully pandemic dangerous illnesses control</t>
  </si>
  <si>
    <t>يعمرييييي يا جدتي</t>
  </si>
  <si>
    <t>watching skewl gt</t>
  </si>
  <si>
    <t>yvanna pulido yayyayay beb</t>
  </si>
  <si>
    <t>nezuko chaaaaaaaaaaaaaaaaaaaannnnnn ayaayayaaayyayayayya yyaayaayaayayaya samantha dela pena sammy</t>
  </si>
  <si>
    <t>wew</t>
  </si>
  <si>
    <t>love mam plz ggive ur</t>
  </si>
  <si>
    <t>good knowledge</t>
  </si>
  <si>
    <t>bit ly 32j1zq1 welcome thankful share friends colleagues pleasure</t>
  </si>
  <si>
    <t>nice vedio</t>
  </si>
  <si>
    <t>thenk sir</t>
  </si>
  <si>
    <t>kclpharmacy في download notes swttd ae q8 facebook sbse phle</t>
  </si>
  <si>
    <t>ys sir ceutical aur hap dono</t>
  </si>
  <si>
    <t>sir ji pharmacuetical chemistry pada</t>
  </si>
  <si>
    <t>sir compatative basis kuch batao plz</t>
  </si>
  <si>
    <t>sir plesase teach hap chapter brain spinal coard cns</t>
  </si>
  <si>
    <t>plz sir</t>
  </si>
  <si>
    <t>sir send pharm 1st hecp epidemiology notes</t>
  </si>
  <si>
    <t>sir 4th sem cognosy ka bnaiye</t>
  </si>
  <si>
    <t>bahut sukriya sir ji</t>
  </si>
  <si>
    <t>sir cancer lielez bimari phir antineoplastic drug ka ku kia</t>
  </si>
  <si>
    <t>sir kr ki aur plz 2nd sem vedio upload pharma</t>
  </si>
  <si>
    <t>jai ho prabhu</t>
  </si>
  <si>
    <t>love bhai</t>
  </si>
  <si>
    <t>sir pharma 1st xam ka kb ho skta kcl tutorials</t>
  </si>
  <si>
    <t>sir pharmacognosy ke marphology microscopy pada digiye</t>
  </si>
  <si>
    <t>धन यव द सर</t>
  </si>
  <si>
    <t>sir chapter epidemiology ka upload kar dijiyega</t>
  </si>
  <si>
    <t>sir plz epidemiology demography uper bana dijiye</t>
  </si>
  <si>
    <t>sir aiims pharmacist ka kaise taiyari kre btaye</t>
  </si>
  <si>
    <t>sir links kya ap jo description diya hai phorma 1st</t>
  </si>
  <si>
    <t>hecp pure syllabus par mcqs chahiye pharmacist exam preparation ke</t>
  </si>
  <si>
    <t>sir epidemiology par vedio banaiye</t>
  </si>
  <si>
    <t>sir mujhe pharm ke notes chahiye</t>
  </si>
  <si>
    <t>sir hai college pharma admission lena kase pta kare ki</t>
  </si>
  <si>
    <t>explanation useful</t>
  </si>
  <si>
    <t>awesome great work</t>
  </si>
  <si>
    <t>vinaka vakalevu god bless continuously spred word good health</t>
  </si>
  <si>
    <t>medicine diet holistic like rage toxins growing sugar reclaim diabetic</t>
  </si>
  <si>
    <t>pacific people eating wrong foods eat home grown</t>
  </si>
  <si>
    <t>like thoroughly enjoyed talk informative enlightening statistics shocking programmes fiji</t>
  </si>
  <si>
    <t>raising important issue dr jone totally support holistic wellness approach</t>
  </si>
  <si>
    <t>easy help inform people heal big pharma</t>
  </si>
  <si>
    <t>tongans well jone career jeopardy add thing aim avoid allopathic</t>
  </si>
  <si>
    <t>comment underlies fear big pharma cure chemical approach</t>
  </si>
  <si>
    <t>ted talk people forget stress affect health absolutely vulnerable disease</t>
  </si>
  <si>
    <t>shared</t>
  </si>
  <si>
    <t>vinaka true</t>
  </si>
  <si>
    <t>vinaka doc</t>
  </si>
  <si>
    <t>pacific meat agree heart meditation 101 people vegan avoid dairy</t>
  </si>
  <si>
    <t>diet meat book genesis tells fruit vegetables call bible calls</t>
  </si>
  <si>
    <t>vuniwai message</t>
  </si>
  <si>
    <t>good talk doc mind matter persistence pay interesting listen</t>
  </si>
  <si>
    <t>wonderful analysis strategy</t>
  </si>
  <si>
    <t>thoroughly enjoyed wonderful talk</t>
  </si>
  <si>
    <t>ayurveda yoga total healing</t>
  </si>
  <si>
    <t>suffering herpes virus totally depressed predicament meet dr okosun great</t>
  </si>
  <si>
    <t>bit ly studyiq vipan facebook play google store apps details</t>
  </si>
  <si>
    <t>aids etc generic conceptual clarity 5q411ntl0jq 03m54s 03 54 communicable</t>
  </si>
  <si>
    <t>expecting detailed explanation</t>
  </si>
  <si>
    <t>dnnayvaad sir apka</t>
  </si>
  <si>
    <t>aids contracted saliva</t>
  </si>
  <si>
    <t>sir ji vedio informative</t>
  </si>
  <si>
    <t>far aids communicable disease</t>
  </si>
  <si>
    <t>aids transfusion transmitted ur confusion</t>
  </si>
  <si>
    <t>noncommunicable diseases ncds kill 41 million people equivalent 71 deaths</t>
  </si>
  <si>
    <t>easy communicable hard</t>
  </si>
  <si>
    <t>super sir bhut acha samjaya</t>
  </si>
  <si>
    <t>kuch dmrt ke bare bto sir basic pls</t>
  </si>
  <si>
    <t>vedio nice buddy like</t>
  </si>
  <si>
    <t>plzz sir paid batch maay add krooo</t>
  </si>
  <si>
    <t>covid 19 contagious</t>
  </si>
  <si>
    <t>communicable disease dangerous</t>
  </si>
  <si>
    <t>wow commented</t>
  </si>
  <si>
    <t>alarming pacific countries ncd keeps raising</t>
  </si>
  <si>
    <t>welcome problem rhea happy help</t>
  </si>
  <si>
    <t>thatnk emmatheteachie</t>
  </si>
  <si>
    <t>magically slowly stop wearing masks</t>
  </si>
  <si>
    <t>guys end pandemic richard kambinda well true tho andrew calabrese</t>
  </si>
  <si>
    <t>covid ncd 19 communicable disease chronic inflammatory conditions pandemic diseases</t>
  </si>
  <si>
    <t>stay home generation higher purpose expose real intentions kind mainstream</t>
  </si>
  <si>
    <t>snakes rot hell</t>
  </si>
  <si>
    <t>dr love talks ryan maria</t>
  </si>
  <si>
    <t>vaccine derived polio thing</t>
  </si>
  <si>
    <t>sharing justice peace</t>
  </si>
  <si>
    <t>penis otors enlarge problem enlargement contact doctor whatsapp 12134191563 medical</t>
  </si>
  <si>
    <t>pl sir beast live momey true</t>
  </si>
  <si>
    <t>discussion comment great ll ncds kris ronsin jordan show haha</t>
  </si>
  <si>
    <t>check diseases status report jordan jarvis yp cdn issue show</t>
  </si>
  <si>
    <t>ncd great overview hear</t>
  </si>
  <si>
    <t>india program work district public health specialist ncd funny affected</t>
  </si>
  <si>
    <t>ncds communicable diseases nepal health findings 000 control opportunity review</t>
  </si>
  <si>
    <t>listening 50 cent playlist lol</t>
  </si>
  <si>
    <t>good helpful thankyou</t>
  </si>
  <si>
    <t>spec parts playlists vaccine hiv extremely topic specification finished recommend</t>
  </si>
  <si>
    <t>ready won 2019</t>
  </si>
  <si>
    <t>revision workbook</t>
  </si>
  <si>
    <t>ria rahman lol sis thriving</t>
  </si>
  <si>
    <t>organisation topic test tomorrow teacher consists leaf stuff idea playlist</t>
  </si>
  <si>
    <t>typo h6drsg_kqjo 3m34s 34 good thankyou</t>
  </si>
  <si>
    <t>big donnie coming</t>
  </si>
  <si>
    <t>b7 communicable test</t>
  </si>
  <si>
    <t>man absolute lifesaver</t>
  </si>
  <si>
    <t>watched min long appreciate help sir friking legend</t>
  </si>
  <si>
    <t>paper wait content cancer diabetes aqa biology btw</t>
  </si>
  <si>
    <t>effects smoking detail lining alveoli damaged</t>
  </si>
  <si>
    <t>exam bord</t>
  </si>
  <si>
    <t>effect smoking alcohol type diabetes class</t>
  </si>
  <si>
    <t>gcse topic</t>
  </si>
  <si>
    <t>join club</t>
  </si>
  <si>
    <t>gcse fine</t>
  </si>
  <si>
    <t>good luck tomorrow lmao</t>
  </si>
  <si>
    <t>couple results search_query 232019gcses #2019gcses like mad guy absolute plug</t>
  </si>
  <si>
    <t>well assuming gcse tommorow good luck</t>
  </si>
  <si>
    <t>16 exam oop</t>
  </si>
  <si>
    <t>biology oof</t>
  </si>
  <si>
    <t>exams rip</t>
  </si>
  <si>
    <t>right exam emm cardiovascular diseases</t>
  </si>
  <si>
    <t>ur good bruder keep relevant hard work</t>
  </si>
  <si>
    <t>watching 10mins exam rip</t>
  </si>
  <si>
    <t>tb hpv drink hiv lead infect patient chance body fighting</t>
  </si>
  <si>
    <t>summary smoke lol</t>
  </si>
  <si>
    <t>decreases exercise negate presence dangerous chemicals carcinogens build fatty deposits</t>
  </si>
  <si>
    <t>freaking legend passed exams</t>
  </si>
  <si>
    <t>smoke guys lol</t>
  </si>
  <si>
    <t>ve question chance person suffering heart disease smokes takes exercises</t>
  </si>
  <si>
    <t>2021 science lesson</t>
  </si>
  <si>
    <t>visit healthy caribbean coalition help educate agitate people chronic disease</t>
  </si>
  <si>
    <t>flashcards triple science revision material website</t>
  </si>
  <si>
    <t>youngji 16</t>
  </si>
  <si>
    <t>gcse happy results sooo helping achieve notes watched constantly exam</t>
  </si>
  <si>
    <t>ve bio mock morning ahhhhhhhhh mocks advice</t>
  </si>
  <si>
    <t>freshi3 king</t>
  </si>
  <si>
    <t>beautiful</t>
  </si>
  <si>
    <t>cute lol</t>
  </si>
  <si>
    <t>ummm think stumbled wrong fan club</t>
  </si>
  <si>
    <t>joey right</t>
  </si>
  <si>
    <t>ismabos 99 smile</t>
  </si>
  <si>
    <t>breathtaking</t>
  </si>
  <si>
    <t>tunnel vision words bring down</t>
  </si>
  <si>
    <t>topic mock november grateful like protein synthesis</t>
  </si>
  <si>
    <t>specific diseases infections malaria etc</t>
  </si>
  <si>
    <t>communicable freesciencelessons examples diseases</t>
  </si>
  <si>
    <t>abbie rose legs</t>
  </si>
  <si>
    <t>ve arthritis</t>
  </si>
  <si>
    <t>finn hadley burgess think examples pretty explanatory safe reccomend good</t>
  </si>
  <si>
    <t>lil peeper armyyyy</t>
  </si>
  <si>
    <t>30 mins exam</t>
  </si>
  <si>
    <t>lol test</t>
  </si>
  <si>
    <t>god damn tuberculosis killed boah arthur</t>
  </si>
  <si>
    <t>cold types freesciencelessons hiya hiv common colds occur body vaccine</t>
  </si>
  <si>
    <t>difficult produce vaccine hiv common cold salome balasuriya helping freesciencelessons</t>
  </si>
  <si>
    <t>organisation topic aswell</t>
  </si>
  <si>
    <t>good inspiring</t>
  </si>
  <si>
    <t>learn mental health aqa spec sucks cuz important</t>
  </si>
  <si>
    <t>mental edexcel health state cgp revision guide states complete physical</t>
  </si>
  <si>
    <t>sir exam playlist freesciencelessons learn examples tb hiv hpv applicable</t>
  </si>
  <si>
    <t>lucky lockdown</t>
  </si>
  <si>
    <t>mid mental breakdown</t>
  </si>
  <si>
    <t>good luck tomorow</t>
  </si>
  <si>
    <t>paper tomorrow</t>
  </si>
  <si>
    <t>questions ask</t>
  </si>
  <si>
    <t>hope well</t>
  </si>
  <si>
    <t>save gcse</t>
  </si>
  <si>
    <t>ve read comments like exams tomorrow</t>
  </si>
  <si>
    <t>good luck</t>
  </si>
  <si>
    <t>biology paper tomorrow minute revision</t>
  </si>
  <si>
    <t>man gift</t>
  </si>
  <si>
    <t>2019 paper squad</t>
  </si>
  <si>
    <t>hehe results search_query 23lastminutesquad #lastminutesquad</t>
  </si>
  <si>
    <t>good luck test xd</t>
  </si>
  <si>
    <t>ooh yikes good luck kiddos</t>
  </si>
  <si>
    <t>good luck exam</t>
  </si>
  <si>
    <t>halo kookie tmr</t>
  </si>
  <si>
    <t>biology exam good luck</t>
  </si>
  <si>
    <t>1h30mins exam xd</t>
  </si>
  <si>
    <t>11 exams major breakdown lmao</t>
  </si>
  <si>
    <t>explanation disease sir alzheimer vascular parkinson explain urs well understood</t>
  </si>
  <si>
    <t>lt 10 revising eoy exams</t>
  </si>
  <si>
    <t>man plugs hisworkbuook time ily tho</t>
  </si>
  <si>
    <t>lol stop guy damage good</t>
  </si>
  <si>
    <t>guys revising gcses aka nerd</t>
  </si>
  <si>
    <t>good job ve started revising mock exams</t>
  </si>
  <si>
    <t>good bro ll well</t>
  </si>
  <si>
    <t>iconic music</t>
  </si>
  <si>
    <t>cares health</t>
  </si>
  <si>
    <t>guy yall advantage cram info night exam 24 revision guide</t>
  </si>
  <si>
    <t>adblock vids</t>
  </si>
  <si>
    <t>ill health caused high levels stress damn</t>
  </si>
  <si>
    <t>corona gonna mess 2020 gcse</t>
  </si>
  <si>
    <t>well gcses watching wrong</t>
  </si>
  <si>
    <t>home learning</t>
  </si>
  <si>
    <t>corona time</t>
  </si>
  <si>
    <t>leading sir difference hiv tb hpv cervical cancer exact examples</t>
  </si>
  <si>
    <t>totally win</t>
  </si>
  <si>
    <t>guy primeminister</t>
  </si>
  <si>
    <t>organisation topic</t>
  </si>
  <si>
    <t>corona virus comunicable disease</t>
  </si>
  <si>
    <t>comment stop wasting time study</t>
  </si>
  <si>
    <t>mock exams week gt</t>
  </si>
  <si>
    <t>coronavirus</t>
  </si>
  <si>
    <t>guy smile communicable disease think caught</t>
  </si>
  <si>
    <t>helps christmas break test</t>
  </si>
  <si>
    <t>school helpful</t>
  </si>
  <si>
    <t>2021 comment</t>
  </si>
  <si>
    <t>lot sir science test tomorrow paying attention online classes</t>
  </si>
  <si>
    <t>ikr</t>
  </si>
  <si>
    <t>dude literally saving life</t>
  </si>
  <si>
    <t>school toilets minute revision</t>
  </si>
  <si>
    <t>shaun helping kids supply teachers lockdown learning 2013 man</t>
  </si>
  <si>
    <t>biology test tomorrow wish luck</t>
  </si>
  <si>
    <t>love books called science lessons effort guy</t>
  </si>
  <si>
    <t>paper moc tomorrow</t>
  </si>
  <si>
    <t>oldcapemaycrab1</t>
  </si>
  <si>
    <t>coming summit ncd control</t>
  </si>
  <si>
    <t>comunicable disease distinguish</t>
  </si>
  <si>
    <t>set people</t>
  </si>
  <si>
    <t>bad</t>
  </si>
  <si>
    <t>right doctor ojie helping terminate herpes permanently natural herbs medication</t>
  </si>
  <si>
    <t>finally cured chronic lower respiratory disease appreciate dr gbenga help</t>
  </si>
  <si>
    <t>english fun paper supreme glory brahmacharya</t>
  </si>
  <si>
    <t>height #1 medicine company</t>
  </si>
  <si>
    <t>組織的犯罪集団は 東京都墨田区吾妻橋１ ４ ２に本部を置くesp科学研究所 代表 石井美津子 株式会社イー エス ピーです 国際組織犯罪防止条約が発効されましたので</t>
  </si>
  <si>
    <t>emily gacha yaers vsid anrddha serey wrent bireti cxan</t>
  </si>
  <si>
    <t>nice knowledge</t>
  </si>
  <si>
    <t>pagal</t>
  </si>
  <si>
    <t>love simple informative sharing</t>
  </si>
  <si>
    <t>paho org nmh send hired company worked designer email cayona</t>
  </si>
  <si>
    <t>gurudeseyesubai org hidden disease interesting topic wow link insights subject</t>
  </si>
  <si>
    <t>download like show medical students</t>
  </si>
  <si>
    <t>information required plz chronic diseases prevention important worthy pictures sensitive</t>
  </si>
  <si>
    <t>wow good liked pictures</t>
  </si>
  <si>
    <t>best lecture deserved benefited</t>
  </si>
  <si>
    <t>awesome program create type animation</t>
  </si>
  <si>
    <t>funny like arantxa cayón tnx yar telling priya single 3min</t>
  </si>
  <si>
    <t>hidden gurudeseyesubai org disease glad like learn check diseases</t>
  </si>
  <si>
    <t>well ncd love highlight main behavioral risk factors policy place</t>
  </si>
  <si>
    <t>people government taxes dependent choices punitive taxation communist income liberals</t>
  </si>
  <si>
    <t>qatar airways india ltd tel</t>
  </si>
  <si>
    <t>like trains</t>
  </si>
  <si>
    <t>like pictures funny</t>
  </si>
  <si>
    <t>health teacher google classroom nvtn eyes dominic world guy background</t>
  </si>
  <si>
    <t>watching corona break</t>
  </si>
  <si>
    <t>school work</t>
  </si>
  <si>
    <t>kent robinson lol</t>
  </si>
  <si>
    <t>solon</t>
  </si>
  <si>
    <t>kent robinson fuck lmao</t>
  </si>
  <si>
    <t>love ur pfp</t>
  </si>
  <si>
    <t>yup teacher</t>
  </si>
  <si>
    <t>science teacher fk1_sh3x2ek 2m13s 13 try telling government</t>
  </si>
  <si>
    <t>teacher google classroom classrom</t>
  </si>
  <si>
    <t>kid named daniel reply bro</t>
  </si>
  <si>
    <t>disliked gt</t>
  </si>
  <si>
    <t>hey nice vedio</t>
  </si>
  <si>
    <t>teacher meee thx</t>
  </si>
  <si>
    <t>sucks google classroom ik fucking ass holy fuck</t>
  </si>
  <si>
    <t>like love english</t>
  </si>
  <si>
    <t>comment help</t>
  </si>
  <si>
    <t>health class arieschic pinder assignment</t>
  </si>
  <si>
    <t>bro hahah</t>
  </si>
  <si>
    <t>super helpful</t>
  </si>
  <si>
    <t>herpes disease dr odion suffering people medicine gmail past months</t>
  </si>
  <si>
    <t>hmm cure save stephen hawkings</t>
  </si>
  <si>
    <t>class right watching reply</t>
  </si>
  <si>
    <t>nice nic</t>
  </si>
  <si>
    <t>healt teacher</t>
  </si>
  <si>
    <t>jzjsjs</t>
  </si>
  <si>
    <t>like aaral</t>
  </si>
  <si>
    <t>country americas narrator btw think easy profitible things replaced</t>
  </si>
  <si>
    <t>help meeew</t>
  </si>
  <si>
    <t>forced health teacher help</t>
  </si>
  <si>
    <t>watching exams</t>
  </si>
  <si>
    <t>health teacher forced</t>
  </si>
  <si>
    <t>classmates</t>
  </si>
  <si>
    <t>great epidemic age nevermind</t>
  </si>
  <si>
    <t>springdales teacher send google classroom</t>
  </si>
  <si>
    <t>sai btaya mama bhi ki ka planet ayurveda sir bhot</t>
  </si>
  <si>
    <t>Top Words in Comment by Salience</t>
  </si>
  <si>
    <t>ur zotters class reading #1 0m50s 50 #2 1m05s 05</t>
  </si>
  <si>
    <t>easy wow good</t>
  </si>
  <si>
    <t>herbs interested smart supplement diet easily traditional indian build optimal</t>
  </si>
  <si>
    <t>sleep consciousness boring moves postures natural remedies helps lifestyle diseases</t>
  </si>
  <si>
    <t>bruh rly think better checked pee ur pants prove wuts</t>
  </si>
  <si>
    <t>cooties petraaaaaaaa hhahhaahah nvr man atm ill ra ta hahahah</t>
  </si>
  <si>
    <t>yayyayay beb yvanna pulido</t>
  </si>
  <si>
    <t>plesase teach hap chapter brain spinal coard cns sir</t>
  </si>
  <si>
    <t>ki plz kr 2nd sem vedio upload pharma 5unit nhi</t>
  </si>
  <si>
    <t>pharma 1st xam ka kb ho skta kcl tutorials sir</t>
  </si>
  <si>
    <t>links kya ap jo description diya hai phorma 1st sallybush</t>
  </si>
  <si>
    <t>rage toxins growing reclaim diabetic symptom reductionist replaceable parts humans</t>
  </si>
  <si>
    <t>problem rhea happy help welcome</t>
  </si>
  <si>
    <t>issue show twigh communicable global action plan glad enjoyed communicaable</t>
  </si>
  <si>
    <t>vaccine hiv extremely spec parts playlists topic specification finished recommend</t>
  </si>
  <si>
    <t>tb hpv hiv lead infect patient chance body fighting access</t>
  </si>
  <si>
    <t>mental health state cgp revision guide states complete physical social</t>
  </si>
  <si>
    <t>learn examples tb hiv hpv applicable content separate ve missing</t>
  </si>
  <si>
    <t>yaers vsid anrddha serey wrent bireti cxan emily gacha</t>
  </si>
  <si>
    <t>stefanie rimpel gurudeseyesubai org hidden disease interesting topic wow link</t>
  </si>
  <si>
    <t>glad like learn check diseases hidden gurudeseyesubai org disease</t>
  </si>
  <si>
    <t>government dependent choices punitive taxation communist liberals lives federal schools</t>
  </si>
  <si>
    <t>fk1_sh3x2ek 2m13s 13 try telling government science teacher</t>
  </si>
  <si>
    <t>classroom classrom teacher google</t>
  </si>
  <si>
    <t>google classroom ik fucking ass holy fuck sucks</t>
  </si>
  <si>
    <t>herpes dr odion suffering medicine gmail past months series treatment</t>
  </si>
  <si>
    <t>Top Word Pairs in Comment by Count</t>
  </si>
  <si>
    <t>mam,smh  smh,nhi  nhi,aata  aata,theory  theory,pde  pde,mcq  mcq,solve  solve,kre</t>
  </si>
  <si>
    <t>yh,crb0pnl5lmk  crb0pnl5lmk,crb0pnl5lmk</t>
  </si>
  <si>
    <t>mam,plz  plz,upload  upload,questions</t>
  </si>
  <si>
    <t>mam,adolescence  adolescence,health  health,topic  topic,ke  ke,upar  upar,bhi  bhi,banaiye</t>
  </si>
  <si>
    <t>thanku,mama</t>
  </si>
  <si>
    <t>mem,gk  gk,par  par,bnaiye  bnaiye,pls</t>
  </si>
  <si>
    <t>mam,nutrition  nutrition,related  related,questions</t>
  </si>
  <si>
    <t>mam,plz  plz,immunoglobin  immunoglobin,vedio  vedio,bna</t>
  </si>
  <si>
    <t>hey,nursing  nursing,field  field,discuss  discuss,idea  idea,contect</t>
  </si>
  <si>
    <t>thanku,mam</t>
  </si>
  <si>
    <t>mcq,paper  paper,cho  cho,ke  ke,salebus  salebus,ho  ho,upload  upload,plz</t>
  </si>
  <si>
    <t>hindi,vedio  vedio,banay</t>
  </si>
  <si>
    <t>uterine,pacmaker  pacmaker,situated  situated,cornua  cornua,uterus  uterus,cornea</t>
  </si>
  <si>
    <t>tqqqq,mem  mem,plz  plz,upload  upload,topics</t>
  </si>
  <si>
    <t>mam,question  question,bheje</t>
  </si>
  <si>
    <t>mam,useful  useful,question</t>
  </si>
  <si>
    <t>amazing,helped  helped,youuuuuuuuuuuu</t>
  </si>
  <si>
    <t>thnq,sir</t>
  </si>
  <si>
    <t>sir,ji  ji,क  क,र  र,न  न,क  क,भय</t>
  </si>
  <si>
    <t>hindi,medium  medium,ka  ka,apna  apna,mhanayk  mhanayk,salute  salute,sir</t>
  </si>
  <si>
    <t>kuki,yeh  yeh,book  book,ma  ma,diya  diya,hua  thing,notice  notice,important  important,topics  topics,class  class,10th</t>
  </si>
  <si>
    <t>sir,malaria  malaria,ar  ar,dengue  dengue,failta  failta,communicable  communicable,desease  desease,kaise  kaise,aayega</t>
  </si>
  <si>
    <t>bahut,mast  mast,explain  explain,krte  krte,mujhe  mujhe,banking  banking,exam  exam,ka  ka,study  study,krna  krna,nhi</t>
  </si>
  <si>
    <t>itne,faltu  faltu,ki  ki,baat  baat,kyu  kyu,karte  karte,ho</t>
  </si>
  <si>
    <t>sir,mosquito  mosquito,bites  bites,infected</t>
  </si>
  <si>
    <t>starts,ggoqmncgemw  ggoqmncgemw,13m25s  13m25s,13  13,25</t>
  </si>
  <si>
    <t>quick,revision  revision,lot  lot,terminology  terminology,error  error,like  like,meningitis  meningitis,scripted  scripted,kind  kind,knowledge</t>
  </si>
  <si>
    <t>good,teaching</t>
  </si>
  <si>
    <t>yeh,padha  padha,raha  raha,yaa  yaa,ad  ad,kar  kar,raha  raha,priyal  priyal,ma  ma,acha  acha,padhati</t>
  </si>
  <si>
    <t>understanding,hindi  hindi,bit</t>
  </si>
  <si>
    <t>sir,hindi  hindi,saath  saath,english  english,ka  ka,krna  krna,tha</t>
  </si>
  <si>
    <t>sir,savi  savi,rogo  rogo,ke  ke,dawa  dawa,ke  ke,bare  bare,janne  janne,ke  ke,liye  liye,koi</t>
  </si>
  <si>
    <t>great,sir</t>
  </si>
  <si>
    <t>great,lecture  lecture,sir</t>
  </si>
  <si>
    <t>shandar,sir</t>
  </si>
  <si>
    <t>tho,bkwas  bkwas,kr  kr,li  li,aapne  aapne,suru</t>
  </si>
  <si>
    <t>aap,ki  ki,series  series,best  best,hai</t>
  </si>
  <si>
    <t>hlo,sir  sir,sir  sir,diabetes  diabetes,wale  wale,patient  patient,ko  ko,bhookh  bhookh,jyada  jyada,lagti  lagti,aap</t>
  </si>
  <si>
    <t>thanku,sir</t>
  </si>
  <si>
    <t>jay,johar</t>
  </si>
  <si>
    <t>starts,heocduriqyw  heocduriqyw,12m40s  12m40s,12  12,40</t>
  </si>
  <si>
    <t>simple,easily  easily,understandable  understandable,kids</t>
  </si>
  <si>
    <t>download,graphics</t>
  </si>
  <si>
    <t>ur,zotters  zotters,class  class,reading  reading,#1  #1,lbkxq_mbo3q  lbkxq_mbo3q,0m50s  0m50s,50  #2,lbkxq_mbo3q  lbkxq_mbo3q,1m05s  1m05s,05</t>
  </si>
  <si>
    <t>solido2,co  co,za  solid,o2  o2,hyperbaric  hyperbaric,oxygen  oxygen,treatments  treatments,chambers  chambers,immune  immune,boosting  boosting,infection</t>
  </si>
  <si>
    <t>estoy,buscando  buscando,comentario  comentario,español</t>
  </si>
  <si>
    <t>من,معهد  معهد,المحموديه  المحموديه,اول  اول,دس  دس,لايك  لايك,من  من,عندي  عندي,وابلاغ  وابلاغ,بلكي  بلكي,توب</t>
  </si>
  <si>
    <t>corona,stronger</t>
  </si>
  <si>
    <t>like,job  job,fiverr</t>
  </si>
  <si>
    <t>help,complete  complete,school  school,project</t>
  </si>
  <si>
    <t>comentario,español  español,buscabas</t>
  </si>
  <si>
    <t>complete,school  school,project</t>
  </si>
  <si>
    <t>easy,good</t>
  </si>
  <si>
    <t>good,class</t>
  </si>
  <si>
    <t>disease,called  called,covid  covid,19</t>
  </si>
  <si>
    <t>types,communicable  communicable,deasies</t>
  </si>
  <si>
    <t>excellent,information</t>
  </si>
  <si>
    <t>hate,ranju  ranju,thami  thami,ma</t>
  </si>
  <si>
    <t>great,lesson</t>
  </si>
  <si>
    <t>ypur,lesson</t>
  </si>
  <si>
    <t>excellent,jisko  jisko,bhi  bhi,asea  asea,lagta  lagta,like  like,kare</t>
  </si>
  <si>
    <t>thankyou,teaching</t>
  </si>
  <si>
    <t>boring,fuck  fuck,gym  gym,teacher  teacher,watching  watching,bull  bull,shit</t>
  </si>
  <si>
    <t>great,job  job,ticks  ticks,insects  insects,arachnids</t>
  </si>
  <si>
    <t>covid,19  19,coranavirus  coranavirus,save  save,people  people,world  world,including  including,india</t>
  </si>
  <si>
    <t>grateful,thankful  thankful,dr_ayeye  dr_ayeye,family  family,herpes  herpes,good  good,solution  solution,disease  disease,life  life,unable  unable,work</t>
  </si>
  <si>
    <t>sathwika,present  present,5a</t>
  </si>
  <si>
    <t>teacher,played  played,class  class,5th  5th,grade</t>
  </si>
  <si>
    <t>yuktha,creative  creative,life  life,grade  grade,watching  watching,quiz  quiz,tom</t>
  </si>
  <si>
    <t>6th,grade  ur,vid  vid,subscribers</t>
  </si>
  <si>
    <t>fast,speak</t>
  </si>
  <si>
    <t>present,sir  sir,abe  abe,sale</t>
  </si>
  <si>
    <t>help,alot  alot,presentation</t>
  </si>
  <si>
    <t>good,explanation  explanation,thanku</t>
  </si>
  <si>
    <t>outline,primary  primary,strategy  strategy,communicable  communicable,disease</t>
  </si>
  <si>
    <t>good,explanation</t>
  </si>
  <si>
    <t>nice,information  information,communicable  communicable,diseases  diseases,learn  learn,lot  lot,things</t>
  </si>
  <si>
    <t>mans,sounds  sounds,like  like,airline  airline,hosts</t>
  </si>
  <si>
    <t>commenting,2021  2021,like</t>
  </si>
  <si>
    <t>watching,2021</t>
  </si>
  <si>
    <t>sir,help  help,science</t>
  </si>
  <si>
    <t>detailed,informative  informative,age  age,appropriate  appropriate,students  students,benefit  benefit,tremendously</t>
  </si>
  <si>
    <t>nice,information</t>
  </si>
  <si>
    <t>book,stated  stated,vector  vector,borne  borne,diseases  diseases,ate  ate,indirect  indirect,droplet  droplet,transmission  transmission,direct  direct,transmission</t>
  </si>
  <si>
    <t>fever,communicable  communicable,disease</t>
  </si>
  <si>
    <t>dr,osunma  osunma,herbs  herbs,cure  cure,months  months,hsv2  hsv2,finally  finally,rid  rid,herbal  herbal,product  product,dr</t>
  </si>
  <si>
    <t>god,answers  answers,prayers  prayers,believe  believe,negative  negative,herpes  herpes,virus  virus,beat  beat,down  down,help  help,dr</t>
  </si>
  <si>
    <t>dr,harvey  told,dr  herbal,products  2010,local  local,hospital  hospital,hagerstown  hagerstown,maryland  maryland,stomach  stomach,issues  issues,transferred</t>
  </si>
  <si>
    <t>brief,explanation</t>
  </si>
  <si>
    <t>cure,type  type,virus  virus,diseases  living,virus  virus,eternity  eternity,sit  sit,down  down,think  think,cure  diseases,listen</t>
  </si>
  <si>
    <t>good,information  information,communicable  communicable,diseases</t>
  </si>
  <si>
    <t>useful,daughter  daughter,school  school,explanation</t>
  </si>
  <si>
    <t>dr,ehimare  cure,hsv2  facebook,dr  ehimare,486420321924941  ehimare,herbal  herbal,treatment  treatment,100  100,guaranteed  guaranteed,cure  hsv2,reason</t>
  </si>
  <si>
    <t>write,essay  essay,upset  upset,good</t>
  </si>
  <si>
    <t>xd,gamer  gamer,xd  gamer,lmaooo</t>
  </si>
  <si>
    <t>ur,legend</t>
  </si>
  <si>
    <t>glad,enjoying  great,glad  awesome,hear  hear,gm  gm,glad  comment,support  adam,support  support,mate  mate,leaving  leaving,comment</t>
  </si>
  <si>
    <t>true,stinkyyyyyyy  uh,stinkyyyyyyyyyy  suck,buddyyyyyyyyyyyy</t>
  </si>
  <si>
    <t>perfect,channell  channell,deserves  deserves,subscribers</t>
  </si>
  <si>
    <t>uh,stinky</t>
  </si>
  <si>
    <t>rednaxela,aka  aka,poor  poor,friends  banana,king  king,stinky</t>
  </si>
  <si>
    <t>ethan,close</t>
  </si>
  <si>
    <t>well,posted  posted,school</t>
  </si>
  <si>
    <t>interested,smart  smart,supplement  supplement,diet  diet,easily  easily,traditional  traditional,indian  build,optimal  optimal,immunity  immunity,pandemic  pandemic,time</t>
  </si>
  <si>
    <t>iy,47a68p60  47a68p60,3m33s  3m33s,33  33,america  america,obesity  samir,sort  sort,ur  ur,grammar</t>
  </si>
  <si>
    <t>walruses,famous  famous,alchoholics  alchoholics,smokers</t>
  </si>
  <si>
    <t>baby,walrus  walrus,health  health,problems</t>
  </si>
  <si>
    <t>liulife,org  liulife,healthy  healthy,habits  habits,app  app,helps  helps,live  live,better  better,live  live,longer  longer,join</t>
  </si>
  <si>
    <t>iy,47a68p60  47a68p60,2m41s  2m41s,41  41,talking  talking,person  person,catch  catch,disease  disease,affect  affect,nation  nation,well</t>
  </si>
  <si>
    <t>eggman,eggman  eggman,walrus  walrus,coo  coo,coo  coo,cachoo</t>
  </si>
  <si>
    <t>gunna,talk  talk,baby  baby,health  health,problems  problems,walrus</t>
  </si>
  <si>
    <t>walruses,drink  drink,smoke  smoke,lol</t>
  </si>
  <si>
    <t>class,clue  clue,parents  parents,evening</t>
  </si>
  <si>
    <t>planet,ayurveda  improve,health  boring,moves  moves,postures  postures,improve  health,yoga  yoga,natural  natural,remedies  remedies,planet  ayurveda,helps</t>
  </si>
  <si>
    <t>bored,like  like,learn  learn,bio</t>
  </si>
  <si>
    <t>ill,chopped</t>
  </si>
  <si>
    <t>binge,watching  watching,evening  evening,chill  chill,revise</t>
  </si>
  <si>
    <t>great,job</t>
  </si>
  <si>
    <t>cochrans,class</t>
  </si>
  <si>
    <t>claudia,classsss</t>
  </si>
  <si>
    <t>laryssa,olson  olson,bruh  bruh,rly  rly,think  olson,better  better,checked  olson,pee  pee,ur  ur,pants  pants,prove</t>
  </si>
  <si>
    <t>petra,anderson  anderson,cooties  anderson,hhahhaahah  hhahhaahah,nvr  anderson,man  man,atm  anderson,ill  ill,ra  ra,ta  ta,hahahah</t>
  </si>
  <si>
    <t>play,roblox</t>
  </si>
  <si>
    <t>glad,halpful  halpful,guys  guys,methodschools  vpeaos0blyw,12m33s  12m33s,12  12,33  33,experts  experts,unfortunatley</t>
  </si>
  <si>
    <t>covid,19  19,pandemic</t>
  </si>
  <si>
    <t>kai,fite  fite,virus  virus,picture  picture,looked  looked,bit  bit,like  like,corona  corona,virus  virus,creepy</t>
  </si>
  <si>
    <t>bro,watching  watching,online  online,classes</t>
  </si>
  <si>
    <t>yeah,boring</t>
  </si>
  <si>
    <t>bro,sucks</t>
  </si>
  <si>
    <t>serena,spencer  spencer,yeah  yeah,corona  corona,virus  virus,like  like,virus  virus,ve</t>
  </si>
  <si>
    <t>online,classes  classes,like  like,tf  tf,wanna  wanna,hereeeee</t>
  </si>
  <si>
    <t>ong,shit  shit,boring  boring,asf</t>
  </si>
  <si>
    <t>coach,thornton  thornton,class</t>
  </si>
  <si>
    <t>guinea,worms  worms,dead  dead,8nouaufxjzq  8nouaufxjzq,8nouaufxjzq</t>
  </si>
  <si>
    <t>health,class</t>
  </si>
  <si>
    <t>voice,pierce  pierce,skull</t>
  </si>
  <si>
    <t>method,health  health,minute</t>
  </si>
  <si>
    <t>forgot,disease  disease,called  called,covid19</t>
  </si>
  <si>
    <t>permanent,cure  cure,herpes  herpes,virus  virus,medicine  medicine,dr  dr,oseigba  oseigba,mercy  mercy,man  man,great  great,herbal</t>
  </si>
  <si>
    <t>vpeaos0blyw,5m18s  5m18s,18  18,gotta  gotta,like  like,fun  fun,jie</t>
  </si>
  <si>
    <t>read,comments  comments,help  help,notes  notes,realised  realised,help</t>
  </si>
  <si>
    <t>vpeaos0blyw,5m24s  5m24s,24  24,fungi  fungi,fun  fun,jie</t>
  </si>
  <si>
    <t>covid,xd</t>
  </si>
  <si>
    <t>comments,visuals</t>
  </si>
  <si>
    <t>pandemic,living  living,2020  2020,2021  2021,remind</t>
  </si>
  <si>
    <t>ar2uygn27ru,ar2uygn27ru</t>
  </si>
  <si>
    <t>wow,charles</t>
  </si>
  <si>
    <t>workmans,class</t>
  </si>
  <si>
    <t>bro,confusing  confusing,ndndkdnndbsns  ndndkdnndbsns,explained  explained,well</t>
  </si>
  <si>
    <t>cos,online  online,classes</t>
  </si>
  <si>
    <t>guess,online  online,school</t>
  </si>
  <si>
    <t>vpeaos0blyw,0m16s  0m16s,16  16,mans</t>
  </si>
  <si>
    <t>herbal,medication  medication,best  best,solution  solution,health  health,issues  issues,viral  viral,sickness  sickness,great  great,professional  professional,herbal</t>
  </si>
  <si>
    <t>wana,express  express,gratitude  gratitude,doctor  doctor,salami  salami,contact  contact,instagram  instagram,salami_healing_herbs  salami_healing_herbs,check  check,instagram  instagram,curing</t>
  </si>
  <si>
    <t>elites,releasing  releasing,man  man,diseases  diseases,people  people,solomon  solomon,islands  islands,facts  facts,smdh</t>
  </si>
  <si>
    <t>hope,people  people,world  world,healthy  healthy,heatlhcare</t>
  </si>
  <si>
    <t>health,organization  world,health  organization,china  china,health</t>
  </si>
  <si>
    <t>covid,attack  india,covid  attack,covid  covid,19  19,consequences  consequences,trauma  trauma,ptsd  ptsd,complicated  complicated,grief  grief,melancholic</t>
  </si>
  <si>
    <t>च,न  न,क  क,च  च,ट  ट,क  क,र  र,डब  डब,ल  ल,य  य,एचओ</t>
  </si>
  <si>
    <t>chinese,puppet</t>
  </si>
  <si>
    <t>keep,good  good,work  work,help  help,hopefully  hopefully,world  world,help  help,pandemic  pandemic,dangerous  dangerous,illnesses  illnesses,control</t>
  </si>
  <si>
    <t>يعمرييييي,يا  يا,جدتي</t>
  </si>
  <si>
    <t>woah,online  online,school</t>
  </si>
  <si>
    <t>watching,skewl  skewl,gt</t>
  </si>
  <si>
    <t>yvanna,pulido  pulido,yayyayay  pulido,beb</t>
  </si>
  <si>
    <t>nezuko,chaaaaaaaaaaaaaaaaaaaannnnnn  samantha,dela  dela,pena  pena,sammy</t>
  </si>
  <si>
    <t>love,mam  mam,plz  plz,ggive  ggive,ur</t>
  </si>
  <si>
    <t>good,knowledge</t>
  </si>
  <si>
    <t>bit,ly  ly,32j1zq1  welcome,thankful  thankful,share  share,friends  friends,colleagues  pleasure,bit  32j1zq1,bit</t>
  </si>
  <si>
    <t>nice,vedio</t>
  </si>
  <si>
    <t>thenk,sir</t>
  </si>
  <si>
    <t>swttd,ae  ae,q8  facebook,kclpharmacy  sbse,phle  phle,google  google,ik  ik,uska  uska,pci  pci,list  list,nam</t>
  </si>
  <si>
    <t>ys,sir  sir,ceutical  ceutical,aur  aur,hap  hap,dono</t>
  </si>
  <si>
    <t>sir,ji  ji,pharmacuetical  pharmacuetical,chemistry  chemistry,pada</t>
  </si>
  <si>
    <t>sir,compatative  compatative,basis  basis,kuch  kuch,batao  batao,plz</t>
  </si>
  <si>
    <t>sir,plesase  plesase,teach  teach,hap  hap,chapter  chapter,brain  brain,spinal  spinal,coard  coard,cns</t>
  </si>
  <si>
    <t>sir,send  send,pharm  pharm,1st  1st,hecp  hecp,epidemiology  epidemiology,notes</t>
  </si>
  <si>
    <t>sir,4th  4th,sem  sem,cognosy  cognosy,ka  ka,bnaiye</t>
  </si>
  <si>
    <t>bahut,bahut  bahut,sukriya  sukriya,sir  sir,ji</t>
  </si>
  <si>
    <t>sir,cancer  cancer,lielez  lielez,bimari  bimari,phir  phir,antineoplastic  antineoplastic,drug  drug,ka  ka,ku  ku,kia  kia,jata</t>
  </si>
  <si>
    <t>sir,2nd  2nd,sem  sem,ki  ki,vedio  vedio,upload  upload,kr  kr,pharma  pharma,ki  sir,aur  aur,5unit</t>
  </si>
  <si>
    <t>jai,ho  ho,prabhu</t>
  </si>
  <si>
    <t>love,bhai</t>
  </si>
  <si>
    <t>sir,pharma  pharma,1st  1st,xam  xam,ka  ka,kb  kb,ho  ho,skta  kcl,tutorials  tutorials,sir</t>
  </si>
  <si>
    <t>sir,sir  sir,pharmacognosy  pharmacognosy,ke  ke,marphology  marphology,microscopy  microscopy,pada  pada,digiye</t>
  </si>
  <si>
    <t>धन,यव  यव,द  द,सर</t>
  </si>
  <si>
    <t>sir,chapter  chapter,epidemiology  epidemiology,ka  ka,upload  upload,kar  kar,dijiyega</t>
  </si>
  <si>
    <t>sir,plz  plz,epidemiology  epidemiology,demography  demography,uper  uper,bana  bana,dijiye</t>
  </si>
  <si>
    <t>sir,aiims  aiims,pharmacist  pharmacist,ka  ka,kaise  kaise,taiyari  taiyari,kre  kre,btaye</t>
  </si>
  <si>
    <t>sir,kya  kya,ap  ap,jo  jo,description  description,links  links,diya  diya,hai  hai,links  links,phorma  phorma,1st</t>
  </si>
  <si>
    <t>hecp,pure  pure,syllabus  syllabus,par  par,mcqs  mcqs,chahiye  chahiye,pharmacist  pharmacist,exam  exam,preparation  preparation,ke  ke,liye</t>
  </si>
  <si>
    <t>sir,epidemiology  epidemiology,par  par,vedio  vedio,banaiye  banaiye,sir</t>
  </si>
  <si>
    <t>sir,mujhe  mujhe,pharm  pharm,ke  ke,notes  notes,chahiye</t>
  </si>
  <si>
    <t>sir,pharma  pharma,admission  admission,lena  lena,hai  hai,kase  kase,pta  pta,kare  kare,ki  ki,college  college,froud</t>
  </si>
  <si>
    <t>sir,chaptet  chaptet,10  10,kaha  kaha,hai</t>
  </si>
  <si>
    <t>explanation,useful</t>
  </si>
  <si>
    <t>awesome,great  great,work</t>
  </si>
  <si>
    <t>vinaka,vakalevu  vakalevu,god  god,bless  bless,continuously  continuously,spred  spred,word  word,good  good,health</t>
  </si>
  <si>
    <t>holistic,medicine  diabetic,rage  rage,symptom  replaceable,parts  parts,humans  balance,nature  agreed,stop  stop,growing  growing,sugar  sugar,cane</t>
  </si>
  <si>
    <t>pacific,people  people,eating  eating,wrong  wrong,foods  foods,eat  eat,home  home,grown</t>
  </si>
  <si>
    <t>thoroughly,enjoyed  enjoyed,talk  talk,informative  informative,enlightening  enlightening,statistics  statistics,shocking  shocking,like  like,programmes  programmes,fiji  fiji,addressing</t>
  </si>
  <si>
    <t>raising,important  important,issue  issue,dr  dr,jone  jone,totally  totally,support  support,holistic  holistic,wellness  wellness,approach  approach,wish</t>
  </si>
  <si>
    <t>easy,help  help,inform  inform,people  people,heal  heal,big  big,pharma</t>
  </si>
  <si>
    <t>jone,career  career,jeopardy  jeopardy,add  add,thing  thing,aim  aim,avoid  avoid,allopathic  allopathic,medication  medication,treatment  treatment,total</t>
  </si>
  <si>
    <t>comment,underlies  underlies,fear  fear,big  big,pharma  pharma,cure  cure,chemical  chemical,approach</t>
  </si>
  <si>
    <t>ted,talk  talk,people  people,forget  forget,stress  stress,affect  affect,health  health,absolutely  absolutely,vulnerable  vulnerable,disease</t>
  </si>
  <si>
    <t>vinaka,true</t>
  </si>
  <si>
    <t>vinaka,doc</t>
  </si>
  <si>
    <t>agree,heart  heart,meditation  meditation,101  101,pacific  pacific,people  people,vegan  vegan,avoid  avoid,meat  meat,dairy  dairy,pacific</t>
  </si>
  <si>
    <t>book,genesis  genesis,tells  tells,diet  diet,meat  meat,fruit  fruit,vegetables  vegetables,call  call,meat  meat,bible  bible,calls</t>
  </si>
  <si>
    <t>vuniwai,message</t>
  </si>
  <si>
    <t>good,talk  talk,doc  doc,mind  mind,matter  matter,persistence  persistence,pay  pay,interesting  interesting,listen</t>
  </si>
  <si>
    <t>wonderful,analysis  analysis,strategy</t>
  </si>
  <si>
    <t>thoroughly,enjoyed  enjoyed,wonderful  wonderful,talk</t>
  </si>
  <si>
    <t>ayurveda,yoga  yoga,total  total,healing</t>
  </si>
  <si>
    <t>suffering,herpes  herpes,virus  virus,totally  totally,depressed  depressed,predicament  predicament,meet  meet,dr  dr,okosun  okosun,great  great,traditional</t>
  </si>
  <si>
    <t>bit,ly  play,google  google,store  store,apps  apps,details  details,id  id,wow  wow,studyiq  ly,2xxut9b  dr,vipan</t>
  </si>
  <si>
    <t>generic,conceptual  conceptual,clarity  5q411ntl0jq,03m54s  03m54s,03  03,54  54,aids  aids,communicable  communicable,disease  disease,government  government,ads</t>
  </si>
  <si>
    <t>expecting,detailed  detailed,explanation</t>
  </si>
  <si>
    <t>dnnayvaad,sir  sir,apka</t>
  </si>
  <si>
    <t>aids,contracted  contracted,saliva</t>
  </si>
  <si>
    <t>sir,ji  ji,vedio  vedio,informative</t>
  </si>
  <si>
    <t>far,aids  aids,communicable  communicable,disease</t>
  </si>
  <si>
    <t>aids,transfusion  transfusion,transmitted  transmitted,ur  ur,confusion</t>
  </si>
  <si>
    <t>noncommunicable,diseases  diseases,ncds  ncds,kill  kill,41  41,million  million,people  people,equivalent  equivalent,71  71,deaths  deaths,globally</t>
  </si>
  <si>
    <t>easy,communicable  communicable,hard</t>
  </si>
  <si>
    <t>super,sir  sir,bhut  bhut,acha  acha,samjaya</t>
  </si>
  <si>
    <t>dmrt,ke  ke,bare  bare,kuch  kuch,bto  bto,sir  sir,basic  basic,kuch  kuch,pls</t>
  </si>
  <si>
    <t>nice,vedio  vedio,buddy  buddy,like  like,vedio</t>
  </si>
  <si>
    <t>plzz,sir  sir,paid  paid,batch  batch,maay  maay,add  add,krooo</t>
  </si>
  <si>
    <t>covid,19  19,contagious</t>
  </si>
  <si>
    <t>communicable,disease  disease,dangerous  dangerous,communicable</t>
  </si>
  <si>
    <t>wow,commented</t>
  </si>
  <si>
    <t>alarming,pacific  pacific,countries  countries,ncd  ncd,keeps  keeps,raising</t>
  </si>
  <si>
    <t>problem,rhea  welcome,happy  happy,help</t>
  </si>
  <si>
    <t>cheers,lad</t>
  </si>
  <si>
    <t>magically,slowly  slowly,stop  stop,wearing  wearing,masks</t>
  </si>
  <si>
    <t>guys,end  end,pandemic  richard,kambinda  kambinda,well  well,true  true,tho  andrew,calabrese  calabrese,guess  guess,protects</t>
  </si>
  <si>
    <t>covid,19  chronic,inflammatory  inflammatory,conditions  metabolic,syndrome  19,20  20,patients  patients,symptomatic  symptomatic,cpap  cpap,ventilation  ventilation,critical</t>
  </si>
  <si>
    <t>stay,home  generation,higher  higher,purpose  purpose,stay  home,expose  expose,real  real,intentions  intentions,kind  kind,mainstream  mainstream,media</t>
  </si>
  <si>
    <t>snakes,rot  rot,hell</t>
  </si>
  <si>
    <t>love,talks  talks,dr  dr,ryan  ryan,dr  dr,maria</t>
  </si>
  <si>
    <t>vaccine,derived  derived,polio  polio,thing</t>
  </si>
  <si>
    <t>sharing,justice  justice,peace</t>
  </si>
  <si>
    <t>penis,enlargement  doctor,otors  whatsapp,12134191563  enlarge,penis  dr,otors  herbal,penis  enlargement,product  product,100  100,guarantee  guarantee,enlarge</t>
  </si>
  <si>
    <t>pl,sir  sir,beast  beast,live  live,momey  momey,true</t>
  </si>
  <si>
    <t>kris,ronsin  haha,interesting  interesting,well  well,glad  glad,moment  moment,enjoy  enjoy,rest  rest,50  50,cent  cent,playlist</t>
  </si>
  <si>
    <t>status,report  jordan,jarvis  yp,cdn  check,twigh  twigh,communicable  communicable,diseases  diseases,global  global,action  action,plan  plan,status</t>
  </si>
  <si>
    <t>great,overview  overview,ncd  ncd,hear  hear,ncd</t>
  </si>
  <si>
    <t>work,district  district,public  public,health  health,specialist  specialist,ncd  ncd,india  india,funny  funny,india  india,affected  affected,country</t>
  </si>
  <si>
    <t>communicable,diseases  opportunity,review  review,brief  brief,burden  burden,communicable  diseases,nepal  nepal,report  report,published  published,globalization  globalization,health</t>
  </si>
  <si>
    <t>listening,50  50,cent  cent,playlist</t>
  </si>
  <si>
    <t>good,helpful  helpful,thankyou</t>
  </si>
  <si>
    <t>topic,parts  parts,specification  spec,finished  finished,recommend  recommend,playlists  playlists,title  aimed,aqa  aqa,spec  spec,stick  stick,definition</t>
  </si>
  <si>
    <t>ready,won  won,2019</t>
  </si>
  <si>
    <t>revision,workbook</t>
  </si>
  <si>
    <t>ria,rahman  rahman,lol  lol,sis  sis,thriving</t>
  </si>
  <si>
    <t>organisation,topic  topic,test  test,tomorrow  tomorrow,teacher  teacher,organisation  organisation,consists  consists,leaf  leaf,stuff  idea,playlist  playlist,start</t>
  </si>
  <si>
    <t>typo,h6drsg_kqjo  h6drsg_kqjo,3m34s  3m34s,34  good,thankyou</t>
  </si>
  <si>
    <t>big,donnie  donnie,coming</t>
  </si>
  <si>
    <t>b7,communicable  communicable,test</t>
  </si>
  <si>
    <t>man,absolute  absolute,lifesaver</t>
  </si>
  <si>
    <t>watched,min  min,long  long,appreciate  appreciate,help  help,sir  sir,friking  friking,legend</t>
  </si>
  <si>
    <t>wait,paper  paper,paper  paper,content  content,cancer  cancer,paper  paper,diabetes  diabetes,paper  paper,aqa  aqa,biology  biology,btw</t>
  </si>
  <si>
    <t>effects,smoking  smoking,detail  detail,lining  lining,alveoli  alveoli,damaged</t>
  </si>
  <si>
    <t>exam,bord</t>
  </si>
  <si>
    <t>effect,smoking  smoking,alcohol  type,diabetes  diabetes,class</t>
  </si>
  <si>
    <t>gcse,topic</t>
  </si>
  <si>
    <t>join,club</t>
  </si>
  <si>
    <t>gcse,fine</t>
  </si>
  <si>
    <t>good,luck  luck,tomorrow  tomorrow,lmao</t>
  </si>
  <si>
    <t>couple,results  results,search_query  search_query,232019gcses  232019gcses,#2019gcses  #2019gcses,like  like,mad  mad,guy  guy,absolute  absolute,plug</t>
  </si>
  <si>
    <t>well,assuming  assuming,gcse  gcse,tommorow  tommorow,good  good,luck</t>
  </si>
  <si>
    <t>16,exam  exam,oop</t>
  </si>
  <si>
    <t>biology,oof</t>
  </si>
  <si>
    <t>exams,rip</t>
  </si>
  <si>
    <t>right,exam  exam,emm  emm,cardiovascular  cardiovascular,diseases</t>
  </si>
  <si>
    <t>ur,good  good,bruder  bruder,keep  keep,relevant  relevant,hard  hard,work</t>
  </si>
  <si>
    <t>watching,10mins  10mins,exam  exam,rip</t>
  </si>
  <si>
    <t>hiv,lead  lead,tb  tb,tb  tb,infect  infect,patient  patient,chance  chance,body  body,fighting  fighting,access  access,hpv</t>
  </si>
  <si>
    <t>summary,smoke  smoke,lol</t>
  </si>
  <si>
    <t>exercise,negate  negate,presence  presence,dangerous  dangerous,chemicals  chemicals,carcinogens  carcinogens,decreases  decreases,build  build,fatty  fatty,deposits  deposits,freesciencelessons</t>
  </si>
  <si>
    <t>freaking,legend  legend,passed  passed,exams</t>
  </si>
  <si>
    <t>smoke,guys  guys,lol</t>
  </si>
  <si>
    <t>ve,question  question,chance  chance,person  person,suffering  suffering,heart  heart,disease  disease,smokes  smokes,takes  takes,exercises</t>
  </si>
  <si>
    <t>2021,science  science,lesson</t>
  </si>
  <si>
    <t>visit,healthy  healthy,caribbean  caribbean,coalition  coalition,help  help,educate  educate,agitate  agitate,people  people,chronic  chronic,disease  disease,problem</t>
  </si>
  <si>
    <t>flashcards,triple  triple,science  science,revision  revision,material  material,website</t>
  </si>
  <si>
    <t>youngji,16</t>
  </si>
  <si>
    <t>gcse,happy  happy,results  results,sooo  sooo,helping  helping,achieve  achieve,notes  notes,watched  watched,constantly  constantly,exam  exam,season</t>
  </si>
  <si>
    <t>ve,bio  bio,mock  mock,morning  morning,ahhhhhhhhh  mocks,advice</t>
  </si>
  <si>
    <t>freshi3,king</t>
  </si>
  <si>
    <t>cute,lol</t>
  </si>
  <si>
    <t>ummm,think  think,stumbled  stumbled,wrong  wrong,fan  fan,club</t>
  </si>
  <si>
    <t>joey,right</t>
  </si>
  <si>
    <t>ismabos,99  99,smile</t>
  </si>
  <si>
    <t>tunnel,vision  vision,words  words,bring  bring,down</t>
  </si>
  <si>
    <t>perfect,perfect</t>
  </si>
  <si>
    <t>mock,november  november,grateful  grateful,topic  topic,topic  topic,like  like,protein  protein,synthesis</t>
  </si>
  <si>
    <t>specific,diseases  diseases,infections  infections,malaria  malaria,etc</t>
  </si>
  <si>
    <t>freesciencelessons,examples  examples,communicable  communicable,communicable  communicable,diseases</t>
  </si>
  <si>
    <t>abbie,rose  rose,legs</t>
  </si>
  <si>
    <t>ve,arthritis</t>
  </si>
  <si>
    <t>finn,hadley  hadley,burgess  burgess,think  think,examples  examples,pretty  pretty,explanatory  explanatory,safe  safe,reccomend  reccomend,good  good,luck</t>
  </si>
  <si>
    <t>lil,peeper  peeper,armyyyy</t>
  </si>
  <si>
    <t>30,mins  mins,exam</t>
  </si>
  <si>
    <t>lol,test</t>
  </si>
  <si>
    <t>god,damn  damn,tuberculosis  tuberculosis,killed  killed,boah  boah,arthur</t>
  </si>
  <si>
    <t>hiya,hiv  hiv,common  common,cold  cold,types  types,colds  colds,occur  occur,body  body,vaccine  vaccine,type  type,cold</t>
  </si>
  <si>
    <t>difficult,produce  produce,vaccine  vaccine,hiv  hiv,common  common,cold  salome,balasuriya  balasuriya,helping  freesciencelessons,responding</t>
  </si>
  <si>
    <t>organisation,topic  topic,aswell</t>
  </si>
  <si>
    <t>good,inspiring</t>
  </si>
  <si>
    <t>learn,mental  mental,health  health,aqa  aqa,spec  spec,sucks  sucks,cuz  cuz,important</t>
  </si>
  <si>
    <t>mental,health  edexcel,cgp  cgp,revision  revision,guide  guide,states  states,mental  health,state  state,complete  complete,physical  physical,mental</t>
  </si>
  <si>
    <t>sir,learn  learn,examples  examples,tb  tb,hiv  hiv,hpv  sir,applicable  applicable,exam  exam,content  content,separate  separate,playlist</t>
  </si>
  <si>
    <t>miss,jones  jones,test  test,tomorrow</t>
  </si>
  <si>
    <t>lucky,lockdown</t>
  </si>
  <si>
    <t>mid,mental  mental,breakdown</t>
  </si>
  <si>
    <t>good,luck  luck,tomorow</t>
  </si>
  <si>
    <t>paper,tomorrow</t>
  </si>
  <si>
    <t>questions,ask</t>
  </si>
  <si>
    <t>hope,well</t>
  </si>
  <si>
    <t>save,gcse</t>
  </si>
  <si>
    <t>ve,read  read,comments  comments,like  like,exams  exams,tomorrow</t>
  </si>
  <si>
    <t>biology,paper  paper,tomorrow  tomorrow,minute  minute,revision</t>
  </si>
  <si>
    <t>man,gift</t>
  </si>
  <si>
    <t>2019,paper  paper,squad</t>
  </si>
  <si>
    <t>hehe,results  results,search_query  search_query,23lastminutesquad  23lastminutesquad,#lastminutesquad</t>
  </si>
  <si>
    <t>good,luck  luck,boys</t>
  </si>
  <si>
    <t>good,luck  luck,test  test,xd</t>
  </si>
  <si>
    <t>ooh,yikes  yikes,good  good,luck  luck,kiddos</t>
  </si>
  <si>
    <t>good,luck  luck,exam</t>
  </si>
  <si>
    <t>halo,kookie  kookie,tmr</t>
  </si>
  <si>
    <t>biology,exam  exam,good  good,luck</t>
  </si>
  <si>
    <t>1h30mins,exam  exam,xd</t>
  </si>
  <si>
    <t>11,exams  exams,major  major,breakdown  breakdown,lmao</t>
  </si>
  <si>
    <t>sir,explanation  explanation,alzheimer  alzheimer,disease  disease,vascular  vascular,disease  disease,parkinson  parkinson,explain  explain,urs  urs,well  well,understood</t>
  </si>
  <si>
    <t>lt,10  10,revising  revising,eoy  eoy,exams</t>
  </si>
  <si>
    <t>man,plugs  plugs,hisworkbuook  hisworkbuook,time  time,ily  ily,tho</t>
  </si>
  <si>
    <t>lol,stop  stop,guy  guy,damage  damage,good</t>
  </si>
  <si>
    <t>guys,revising  revising,gcses  gcses,aka  aka,nerd</t>
  </si>
  <si>
    <t>good,job  job,ve  ve,started  started,revising  revising,mock  mock,exams</t>
  </si>
  <si>
    <t>good,bro  bro,ll  ll,well</t>
  </si>
  <si>
    <t>iconic,music</t>
  </si>
  <si>
    <t>cares,health</t>
  </si>
  <si>
    <t>yall,advantage  advantage,guy  guy,cram  cram,info  info,night  night,exam  exam,guy  guy,24  24,revision  revision,guide</t>
  </si>
  <si>
    <t>adblock,vids</t>
  </si>
  <si>
    <t>ill,health  health,caused  caused,high  high,levels  levels,stress  stress,damn</t>
  </si>
  <si>
    <t>corona,gonna  gonna,mess  mess,2020  2020,gcse</t>
  </si>
  <si>
    <t>lol,sad  sad,life  life,lmao</t>
  </si>
  <si>
    <t>well,gcses  gcses,watching  watching,wrong</t>
  </si>
  <si>
    <t>home,learning</t>
  </si>
  <si>
    <t>corona,time</t>
  </si>
  <si>
    <t>sir,difference  difference,hiv  hiv,leading  leading,tb  tb,hpv  hpv,leading  leading,cervical  cervical,cancer  cancer,exact  exact,examples</t>
  </si>
  <si>
    <t>totally,win</t>
  </si>
  <si>
    <t>guy,primeminister</t>
  </si>
  <si>
    <t>truu,lol</t>
  </si>
  <si>
    <t>corona,virus  virus,comunicable  comunicable,disease</t>
  </si>
  <si>
    <t>comment,stop  stop,wasting  wasting,time  time,study</t>
  </si>
  <si>
    <t>mock,exams  exams,week  week,gt</t>
  </si>
  <si>
    <t>guy,smile  smile,communicable  communicable,disease  disease,think  think,caught</t>
  </si>
  <si>
    <t>helps,christmas  christmas,break  break,test</t>
  </si>
  <si>
    <t>school,helpful</t>
  </si>
  <si>
    <t>2021,comment</t>
  </si>
  <si>
    <t>lot,sir  sir,science  science,test  test,tomorrow  tomorrow,paying  paying,lot  lot,attention  attention,online  online,classes</t>
  </si>
  <si>
    <t>dude,literally  literally,saving  saving,life</t>
  </si>
  <si>
    <t>school,toilets  toilets,minute  minute,revision</t>
  </si>
  <si>
    <t>shaun,helping  helping,kids  kids,supply  supply,teachers  teachers,lockdown  lockdown,learning  learning,2013  2013,man</t>
  </si>
  <si>
    <t>biology,test  test,tomorrow  tomorrow,wish  wish,luck</t>
  </si>
  <si>
    <t>love,books  books,called  called,science  science,lessons  lessons,love  love,effort  effort,guy</t>
  </si>
  <si>
    <t>paper,moc  moc,tomorrow</t>
  </si>
  <si>
    <t>coming,summit  summit,ncd  ncd,control</t>
  </si>
  <si>
    <t>comunicable,disease  distinguish,comunicable  disease,comunicable</t>
  </si>
  <si>
    <t>set,people</t>
  </si>
  <si>
    <t>right,doctor  doctor,ojie  ojie,helping  helping,terminate  terminate,herpes  herpes,permanently  permanently,natural  natural,herbs  herbs,medication</t>
  </si>
  <si>
    <t>finally,cured  cured,chronic  chronic,lower  lower,respiratory  respiratory,disease  disease,appreciate  appreciate,dr  dr,gbenga  gbenga,help</t>
  </si>
  <si>
    <t>english,fun  paper,supreme  supreme,glory  glory,brahmacharya</t>
  </si>
  <si>
    <t>height,#1  #1,height  height,medicine  medicine,company</t>
  </si>
  <si>
    <t>lmao,wtf</t>
  </si>
  <si>
    <t>組織的犯罪集団は,東京都墨田区吾妻橋１  東京都墨田区吾妻橋１,４  ４,２に本部を置くesp科学研究所  ２に本部を置くesp科学研究所,代表  代表,石井美津子  石井美津子,株式会社イー  株式会社イー,エス  エス,ピーです  ピーです,国際組織犯罪防止条約が発効されましたので  国際組織犯罪防止条約が発効されましたので,この会社とこの会社の関連施設を厳重に処罰してください</t>
  </si>
  <si>
    <t>emily,gacha  gacha,yaers  gacha,vsid  vsid,anrddha  anrddha,serey  serey,wrent  wrent,bireti  bireti,cxan</t>
  </si>
  <si>
    <t>nice,knowledge</t>
  </si>
  <si>
    <t>fuck,online  online,classes</t>
  </si>
  <si>
    <t>love,simple  simple,informative  informative,sharing</t>
  </si>
  <si>
    <t>paho,org  org,nmh  hired,company  company,worked  worked,designer  nmh,paho  send,email  email,cayona  cayona,paho  org,paho</t>
  </si>
  <si>
    <t>gurudeseyesubai,org  org,hidden  hidden,disease  interesting,topic  topic,wow  wow,link  link,insights  insights,subject  subject,gurudeseyesubai  disease,gurudeseyesubai</t>
  </si>
  <si>
    <t>download,like  like,show  show,medical  medical,students</t>
  </si>
  <si>
    <t>information,required  required,plz  plz,chronic  chronic,diseases  diseases,prevention  important,worthy  worthy,pictures  pictures,sensitive</t>
  </si>
  <si>
    <t>wow,good  good,liked  liked,pictures</t>
  </si>
  <si>
    <t>best,lecture  lecture,deserved  deserved,benefited</t>
  </si>
  <si>
    <t>awesome,program  program,create  create,type  type,animation</t>
  </si>
  <si>
    <t>funny,like  arantxa,cayón  tnx,yar  yar,telling  like,priya  cayón,single  single,3min  3min,company  company,expensive  expensive,nnaa</t>
  </si>
  <si>
    <t>gurudeseyesubai,org  org,hidden  hidden,disease  disease,gurudeseyesubai  glad,hidden  hidden,gurudeseyesubai  like,learn  learn,check  check,hidden  hidden,diseases</t>
  </si>
  <si>
    <t>love,well  well,highlight  highlight,main  main,behavioral  behavioral,risk  risk,factors  factors,ncd  ncd,well  well,policy  policy,place</t>
  </si>
  <si>
    <t>punitive,taxation  junk,food  telling,people  people,stupid  stupid,informed  informed,choices  choices,government  government,step  step,force  force,people</t>
  </si>
  <si>
    <t>qatar,airways  airways,india  india,ltd  ltd,tel</t>
  </si>
  <si>
    <t>like,trains</t>
  </si>
  <si>
    <t>like,pictures  pictures,funny</t>
  </si>
  <si>
    <t>health,teacher  teacher,google  google,classroom  nvtn,eyes  dominic,world  guy,background  background,gameing  gameing,haha  haha,nice  kent,robinson</t>
  </si>
  <si>
    <t>watching,corona  corona,break</t>
  </si>
  <si>
    <t>school,work</t>
  </si>
  <si>
    <t>kent,robinson  robinson,lol</t>
  </si>
  <si>
    <t>kent,robinson  robinson,fuck</t>
  </si>
  <si>
    <t>love,ur  ur,pfp</t>
  </si>
  <si>
    <t>yup,teacher</t>
  </si>
  <si>
    <t>science,teacher  fk1_sh3x2ek,2m13s  2m13s,13  13,try  try,telling  telling,government</t>
  </si>
  <si>
    <t>teacher,google  google,classroom  google,classrom</t>
  </si>
  <si>
    <t>kid,named  named,daniel  daniel,reply</t>
  </si>
  <si>
    <t>disliked,gt</t>
  </si>
  <si>
    <t>hey,nice  nice,vedio</t>
  </si>
  <si>
    <t>google,classroom  classroom,ik  ik,fucking  fucking,sucks  sucks,ass  holy,fuck  fuck,sucks</t>
  </si>
  <si>
    <t>like,love  love,english</t>
  </si>
  <si>
    <t>comment,help</t>
  </si>
  <si>
    <t>health,class  arieschic,pinder  pinder,assignment</t>
  </si>
  <si>
    <t>mamniceteachingmam,thanksmam</t>
  </si>
  <si>
    <t>super,helpful</t>
  </si>
  <si>
    <t>dr,odion  suffering,herpes  herpes,past  past,months  months,series  series,treatment  treatment,improvement  improvement,testimonies  testimonies,dr  odion,curing</t>
  </si>
  <si>
    <t>cure,save  save,stephen  stephen,hawkings</t>
  </si>
  <si>
    <t>class,right  right,watching  watching,reply</t>
  </si>
  <si>
    <t>nice,teaching</t>
  </si>
  <si>
    <t>healt,teacher</t>
  </si>
  <si>
    <t>like,aaral</t>
  </si>
  <si>
    <t>country,americas  americas,narrator  btw,think  think,easy  easy,profitible  profitible,things  things,replaced</t>
  </si>
  <si>
    <t>help,meeew</t>
  </si>
  <si>
    <t>forced,health  health,teacher  teacher,help</t>
  </si>
  <si>
    <t>watching,exams</t>
  </si>
  <si>
    <t>health,teacher  teacher,forced</t>
  </si>
  <si>
    <t>great,epidemic  epidemic,age  age,nevermind</t>
  </si>
  <si>
    <t>springdales,teacher  teacher,send  send,google  google,classroom</t>
  </si>
  <si>
    <t>planet,ayurveda  sir,bhot  bhot,acha  acha,btaya  btaya,mere  mere,mama  mama,bhi  bhi,kafi  kafi,time  time,sai</t>
  </si>
  <si>
    <t>Top Word Pairs in Comment by Salience</t>
  </si>
  <si>
    <t>indian,build  indian,herbs  herbs,build  interested,smart  smart,supplement  supplement,diet  diet,easily  easily,traditional  traditional,indian  build,optimal</t>
  </si>
  <si>
    <t>boring,moves  moves,postures  postures,improve  health,yoga  yoga,natural  natural,remedies  remedies,planet  ayurveda,helps  helps,lifestyle  lifestyle,diseases</t>
  </si>
  <si>
    <t>olson,bruh  bruh,rly  rly,think  olson,better  better,checked  olson,pee  pee,ur  ur,pants  pants,prove  laryssa,olson</t>
  </si>
  <si>
    <t>anderson,cooties  anderson,hhahhaahah  hhahhaahah,nvr  anderson,man  man,atm  anderson,ill  ill,ra  ra,ta  ta,hahahah  hes,unna</t>
  </si>
  <si>
    <t>pulido,yayyayay  pulido,beb  yvanna,pulido</t>
  </si>
  <si>
    <t>diabetic,rage  rage,symptom  replaceable,parts  parts,humans  balance,nature  agreed,stop  stop,growing  growing,sugar  sugar,cane  cane,brits</t>
  </si>
  <si>
    <t>check,twigh  twigh,communicable  communicable,diseases  diseases,global  global,action  action,plan  plan,status  report,jordan  jarvis,yp  glad,enjoyed</t>
  </si>
  <si>
    <t>gacha,yaers  gacha,vsid  vsid,anrddha  anrddha,serey  serey,wrent  wrent,bireti  bireti,cxan  emily,gacha</t>
  </si>
  <si>
    <t>stefanie,rimpel  rimpel,interesting  gurudeseyesubai,org  org,hidden  hidden,disease  interesting,topic  topic,wow  wow,link  link,insights  insights,subject</t>
  </si>
  <si>
    <t>glad,hidden  hidden,gurudeseyesubai  like,learn  learn,check  check,hidden  hidden,diseases  diseases,gurudeseyesubai  gurudeseyesubai,org  org,hidden  hidden,disease</t>
  </si>
  <si>
    <t>fk1_sh3x2ek,2m13s  2m13s,13  13,try  try,telling  telling,government  science,teacher</t>
  </si>
  <si>
    <t>google,classroom  google,classrom  teacher,google</t>
  </si>
  <si>
    <t>Count of Published At</t>
  </si>
  <si>
    <t>Row Labels</t>
  </si>
  <si>
    <t>Grand Total</t>
  </si>
  <si>
    <t>2009</t>
  </si>
  <si>
    <t>Jul</t>
  </si>
  <si>
    <t>2011</t>
  </si>
  <si>
    <t>Apr</t>
  </si>
  <si>
    <t>Jun</t>
  </si>
  <si>
    <t>2012</t>
  </si>
  <si>
    <t>2014</t>
  </si>
  <si>
    <t>Nov</t>
  </si>
  <si>
    <t>2015</t>
  </si>
  <si>
    <t>Feb</t>
  </si>
  <si>
    <t>May</t>
  </si>
  <si>
    <t>Oct</t>
  </si>
  <si>
    <t>2016</t>
  </si>
  <si>
    <t>Jan</t>
  </si>
  <si>
    <t>Dec</t>
  </si>
  <si>
    <t>2017</t>
  </si>
  <si>
    <t>Aug</t>
  </si>
  <si>
    <t>Sep</t>
  </si>
  <si>
    <t>2018</t>
  </si>
  <si>
    <t>Mar</t>
  </si>
  <si>
    <t>Red</t>
  </si>
  <si>
    <t>G1: exam good luck paper tomorrow hiv test sir freesciencelessons topic</t>
  </si>
  <si>
    <t>G2: teacher people disease org hidden like gurudeseyesubai health google love</t>
  </si>
  <si>
    <t>G3: dr good disease cure diseases help ehimare herpes information communicable</t>
  </si>
  <si>
    <t>G4: online petra anderson classes class virus laryssa olson bro great</t>
  </si>
  <si>
    <t>G5: covid disease dr ncd people penis health pandemic chronic problem</t>
  </si>
  <si>
    <t>G6: sir ki ke ka hindi starts helpful lagti aap ho</t>
  </si>
  <si>
    <t>G7: sir hai kr ka plz notes kclpharmacy 1st epidemiology nhi</t>
  </si>
  <si>
    <t>G8: health planet ayurveda helps sleep diet walrus liulife improve yoga</t>
  </si>
  <si>
    <t>G9: mam mem plz upload crb0pnl5lmk question vedio mcq ke thanku</t>
  </si>
  <si>
    <t>G10: diet people like medicine talk meat pacific holistic good vinaka</t>
  </si>
  <si>
    <t>G11: sir communicable aids bit ly disease studyiq vipan facebook vedio</t>
  </si>
  <si>
    <t>G12: perfect</t>
  </si>
  <si>
    <t>G14: gcse good luck</t>
  </si>
  <si>
    <t>G15: ncds jordan show discussion india diseases ncd great nepal communicable</t>
  </si>
  <si>
    <t>G16: welcome emmatheteachie</t>
  </si>
  <si>
    <t>G17: good revising</t>
  </si>
  <si>
    <t>G20: bit ly 32j1zq1</t>
  </si>
  <si>
    <t>GraphSource░YouTubeUser▓GraphTerm░Noncommunicable Diseases▓ImportDescription░The graph represents the network of YouTube videos whose title, keywords, description, categories, or author's username contain "Noncommunicable Diseases".  The network was obtained from YouTube on Tuesday, 15 June 2021 at 11:31 UTC.
The network was limited to 50 videos.
There is an edge for each user who comented an a video.  There is an edge for each user who replied to a comment.▓ImportSuggestedTitle░YouTube Users Noncommunicable Diseases▓ImportSuggestedFileNameNoExtension░2021-06-15 11-31-02 NodeXL YouTube Users Noncommunicable Diseases▓GroupingDescription░The graph's vertices were grouped by cluster using the Clauset-Newman-Moore cluster algorithm.▓LayoutAlgorithm░The graph was laid out using the Harel-Koren Fast Multiscale layout algorithm.▓GraphDirectedness░The graph is directed.</t>
  </si>
  <si>
    <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recommended Youtube videos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&lt;value&gt;TimeSeries&lt;/value&gt;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t>
  </si>
  <si>
    <t>u you'd you'll you're you've your&lt;/value&gt;
      &lt;/setting&gt;
      &lt;setting name="WordMetricUserSettings" serializeAs="String"&gt;
        &lt;value&gt;CalculateSentiment░True▓TextColumnIsOnEdgeWorksheet░True▓TextColumnName░Comment▓CountByGroup░True▓SkipSingleTerms░True▓WordsToSkip░0 1 2 3 4 5 6 7 8 9 39 #39 a á à â å ä ã ab aber able about above abroad abst accordance according accordingly across actually added after afterwards again against ago ah ahead ahora ain't aint al all allow allows almost alone along alongside already als also also although always am amid amidst among amongst amoungst amp an and años another any anybody anyhow anymore anyone anything anyway anyways anywhere apart apparently aqui aquí are area areas aren aren't arent arise around arpa as así aside aspx aspx at au auch auf aunque aus avec aw away b back backs backward backwards be became because become becomes becoming been before beforehand began begin beginning beginnings begins behind bei beim below beside besides between beyond bin bis both bottom br br briefly but by c c'mon c's cada came can can't cannot cant cause causes cc ce certain certainly channel che clear clearly cmon com come comes como con consequently contain containing contains could could've couldn couldn't couldnt cry cuando currently d ð da damit dann dans dare daren't darent das dass date day days de dear definitely dein deine deinem deinen deiner deines del della dem den denen denn der deren des desde despite después dessen di dich did didn didn't didnt diese diesem diesen dieses different differently dijo dir directly dm do doch does doesn doesn't doesnt doing don don't donde done dont dort dos du due durante durch during ðÿ ðÿš e é è each early edu een eg eh eight eighty ein eine einem einen einer eines either el él eleven ella elle else else elsewhere en enough entirely entre er era es ès esa ese eso especially essai est esta está este esto estos et étaient étais était etant étant état été étée étées étés êtes étiez étions etre être etwa etwas euch euer euren eures even evenly ever evermore every everybody everyone everything everywhere exactly example except f face faces fais fait faites felt few fewer ff fifteen fifth fifty fify fill find finds first five fois follow for för forever former formerly forth forty forward found four fr free from front fue full fully für further furthered furthering furthermore furthers g gave general generally get get gets getting give given gives giving gleich go goes going gone got gotten h ha haben había hace had hadn't hadnt half han happens hardly has hasn hasn't hasnt hasta hat hatte hätte hatten hätten hättest have haven haven't havent having hay he he'd he'll he's hello hence her here here's hereafter hereby herein heres hereupon hers herself het hi hier him himself his hour hours how how'd how'll how's howbeit however href href html http https hundred i ï i.e. i'd i'll i'm i've ich ici ie if ihm ihn ihnen ihr ihre ihrem ihren il im im immediate immediately in in inasmuch indeed inner ins inside insofar instead int into inward is isn isn't isn't isnt ist it it'd it'll it's itd itll its itself ive j je jetzt just k kann knew know known knows können konnte könnte konnten könnten konntest könntest konntet l la las last lately later latest latter latterly le least les less lest let let's lets likely likewise little lo look looking looks los low m made mainly make makes making many más may maybe mayn't maynt me me mean means meantime meanwhile mein meine meinem meines menos merely mi mich might might might've might've mightn't mightnt mine mir mismo mit moi more moreover most most mostly move mr mrs ms much mucho muchos muss musste müsste mussten müssten müsstest must must've mustn't mustnt muy my myself n ñ  na na nach name namely nay ne near nearly necessarily necessary need needed needing needn't neednt needs neither neither net never neverless nevertheless new newer newest next ni nicht nine ninety no no no-one nobody noch non none nonetheless noone nor nor normally nos nos nosotras nosotros nosotros not noted nothing notwithstanding nous now nowhere nu nuestra nuestras nuestro nuestros number numbers nun nur o ó ò ö ob obtain obtained obviously och oder of off official often oh ohne ok okay old older oldest om om on once one one's ones only onto op or or ord os other others otherwise otra otras otro otros ou ought oughtn't oughtnt our ours ourselves out outside over overall owing own own p país para parte parted particular particularly parting pas per per perhaps pero please plus pm poca pocas poco pocos point pointed pointing points por porque possible possibly potentially pouquoi pour predominantly presumably previously primarily probably promptly provided provides puede put puts pw q que que qué qui quickly quien quién quienes quiénes quite quoi quot r ran rather re readily really recent recently regarding regardless regards relatively respectively ro round rt run s said same sans saw say saying says schon se second secondly seconds see seeing seem seemed seeming seems seen sees según sehr sein self selves sent ser serious seriously seven seventy several shall shan't shant she she'd she'll she's shed shell shes should should've shouldn shouldn't shouldnt showed showing shown showns si sí sich side sides sido sie siempre similar similarly since sincere sind six sixty slightly small smaller smallest so so sobre sogar soll sollst sollte sollten solltest solo sólo som some somebody someday somehow someone somethan something sometime sometimes somewhat somewhere somos son soon sorry sous soy ß still su sub subscribe such suggest sup sur sure sus t take taken taking también tan tanto te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t>
  </si>
  <si>
    <t>ll theyre theyve third thirty this those thou though thoughh thought thoughts thousand three throug through throughout thru thus ti tiempo tiene tiene tiene tienen tienes til till tis tja to to toda todas today todo todos together toi too took top toward towards tres tried tries trillion truly tu tú tun turn turned turning turns twas twas twelve twenty twice two u ú ù ü über um um un una und under underneath undoing une unless unlike unlikely uno unos uns unser unsere unserem unseren unseres unter until unto up upon ups upwards url us use used uses using usually v va van very vez vi via video videos viel vom von voor vor vos vosotras vosotros vous w want wanted wanting wants wäre wären wärest was was wasn wasn't wasnt watch way ways we we'd we'll we're we've web wenn went wer werden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wie will wir wird wirst with within without wo won't wonder wont would would've wouldn wouldn't wouldnt wurde wurden würden wurdest würdest www x y ya ye year years yes yet yo you you'd you'll you're you've youd youll your youre yours yourself yourselves youtu youtube youve yu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t>
  </si>
  <si>
    <t xml:space="preserve">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t>
  </si>
  <si>
    <t>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t>
  </si>
  <si>
    <t>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t>
  </si>
  <si>
    <t>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t>
  </si>
  <si>
    <t>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t>
  </si>
  <si>
    <t>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t>
  </si>
  <si>
    <t>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t>
  </si>
  <si>
    <t>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</si>
  <si>
    <t>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t>
  </si>
  <si>
    <t>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xmlns:xsd="http://www.w3.org/2001/XMLSchema"
            xmlns:xsi="http://www.w3.org/2001/XMLSchema-instance"&gt;
            &lt;IsEdgeColumn&gt;true&lt;/IsEdgeColumn&gt;
            &lt;StatusColumnName&gt;Comment&lt;/StatusColumnName&gt;
            &lt;TopTweetersMentio</t>
  </si>
  <si>
    <t>nedRepliedTo&gt;false&lt;/TopTweetersMentionedRepliedTo&gt;
            &lt;NetworkTopItemsUserSettingsToCalculate&gt;
              &lt;NetworkTopItemsUserSettings&gt;
                &lt;NumberOfItemsToGet&gt;10&lt;/NumberOfItemsToGet&gt;
                &lt;WorksheetName&gt;Edges&lt;/WorksheetName&gt;
                &lt;TableName&gt;Edges&lt;/TableName&gt;
                &lt;ColumnName&gt;URLs In Comment&lt;/ColumnName&gt;
                &lt;Delimiter&gt;Space&lt;/Delimiter&gt;
              &lt;/NetworkTopItemsUserSettings&gt;
              &lt;NetworkTopItemsUserSettings&gt;
                &lt;NumberOfItemsToGet&gt;10&lt;/NumberOfItemsToGet&gt;
                &lt;WorksheetName&gt;Edges&lt;/WorksheetName&gt;
                &lt;TableName&gt;Edges&lt;/TableName&gt;
                &lt;ColumnName&gt;Domains In Comment&lt;/ColumnName&gt;
                &lt;Delimiter&gt;Space&lt;/Delimiter&gt;
              &lt;/NetworkTopItemsUserSettings&gt;
              &lt;NetworkTopItemsUserSettings&gt;
                &lt;NumberOfItemsToGet&gt;10&lt;/NumberOfItemsToGet&gt;
                &lt;WorksheetName&gt;Edges&lt;/WorksheetName&gt;
                &lt;TableName&gt;Edges&lt;/TableName&gt;
                &lt;ColumnName&gt;Hashtags In Comment&lt;/ColumnName&gt;
                &lt;Delimiter&gt;Space&lt;/Delimiter&gt;
              &lt;/NetworkTopItemsUserSettings&gt;
            &lt;/NetworkTopItemsUserSettingsToCalculate&gt;
          &lt;/NetworkTopItemsListUserSettings&gt;
        &lt;/value&gt;
      &lt;/setting&gt;
      &lt;setting name="TimeSeriesUserSettings" serializeAs="String"&gt;
        &lt;value&gt;TimeColumnName░Published At▓TimeSlice░Months▓UniqueEdges░False▓SlicerColumns░Comment Type&lt;/value&gt;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&lt;value&gt;D:\NodeXL\_youtube&lt;/value&gt;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&lt;value&gt;Title&lt;/value&gt;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40 15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
  </si>
  <si>
    <t>YouTubeUser</t>
  </si>
  <si>
    <t>Noncommunicable Diseases</t>
  </si>
  <si>
    <t>The graph represents the network of YouTube videos whose title, keywords, description, categories, or author's username contain "Noncommunicable Diseases".  The network was obtained from YouTube on Tuesday, 15 June 2021 at 11:31 UTC.
The network was limited to 50 videos.
There is an edge for each user who comented an a video.  There is an edge for each user who replied to a comment.</t>
  </si>
  <si>
    <t>The graph was laid out using the Harel-Koren Fast Multiscale layout algorithm.</t>
  </si>
  <si>
    <t>The graph's vertices were grouped by cluster using the Clauset-Newman-Moore cluster algorithm.</t>
  </si>
  <si>
    <t>128, 128, 128</t>
  </si>
  <si>
    <t>Edge Weight▓1▓2▓0▓True▓Gray▓Red▓▓Edge Weight▓1▓2▓0▓3▓10▓False▓Edge Weight▓1▓2▓0▓40▓15▓False▓▓0▓0▓0▓True▓Black▓Black▓▓In-Degree▓0▓6▓0▓150▓1000▓False▓▓0▓0▓0▓0▓0▓False▓▓0▓0▓0▓0▓0▓False▓▓0▓0▓0▓0▓0▓False</t>
  </si>
  <si>
    <t>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Comment&lt;/value&gt;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&lt;value&gt;10&lt;/value&gt;
      &lt;/setting&gt;
      &lt;setting name="AutoSelect" serializeAs="String"&gt;
        &lt;value&gt;True&lt;/value&gt;
      &lt;/setting&gt;
      &lt;setting name="LabelUserSettings" serializeAs="String"&gt;
        &lt;value&gt;Microsoft Sans Serif, 36pt White BottomCenter 25 2147483647 Black True 314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t>
  </si>
  <si>
    <t>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</si>
  <si>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https://nodexlgraphgallery.org/Pages/Graph.aspx?graphID=256946</t>
  </si>
  <si>
    <t>https://nodexlgraphgallery.org/Images/Image.ashx?graphID=256946&amp;type=f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</si>
</sst>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0" fontId="0" fillId="0" borderId="0" xfId="0" quotePrefix="1"/>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22" fontId="0" fillId="0" borderId="0" xfId="0" applyNumberFormat="1" applyAlignment="1">
      <alignment/>
    </xf>
    <xf numFmtId="22"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1" fontId="0" fillId="4" borderId="1" xfId="24" applyNumberFormat="1" applyAlignment="1" quotePrefix="1">
      <alignment/>
    </xf>
    <xf numFmtId="167" fontId="0" fillId="4" borderId="1" xfId="24"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22" fontId="0" fillId="0" borderId="0" xfId="0" applyNumberFormat="1" applyAlignment="1">
      <alignment horizontal="left" indent="1"/>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33">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2"/>
      <tableStyleElement type="headerRow" dxfId="331"/>
    </tableStyle>
    <tableStyle name="NodeXL Table" pivot="0" count="1">
      <tableStyleElement type="headerRow" dxfId="33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356558"/>
        <c:axId val="9664703"/>
      </c:barChart>
      <c:catAx>
        <c:axId val="3835655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664703"/>
        <c:crosses val="autoZero"/>
        <c:auto val="1"/>
        <c:lblOffset val="100"/>
        <c:noMultiLvlLbl val="0"/>
      </c:catAx>
      <c:valAx>
        <c:axId val="96647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565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Noncommunicable Diseases from NodeXL YouTube User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Series'!$A$26:$A$101</c:f>
              <c:strCache>
                <c:ptCount val="64"/>
                <c:pt idx="0">
                  <c:v>Jul
2009</c:v>
                </c:pt>
                <c:pt idx="1">
                  <c:v>Apr
2011</c:v>
                </c:pt>
                <c:pt idx="2">
                  <c:v>Jun</c:v>
                </c:pt>
                <c:pt idx="3">
                  <c:v>Jul
2012</c:v>
                </c:pt>
                <c:pt idx="4">
                  <c:v>Jul
2014</c:v>
                </c:pt>
                <c:pt idx="5">
                  <c:v>Nov</c:v>
                </c:pt>
                <c:pt idx="6">
                  <c:v>Feb
2015</c:v>
                </c:pt>
                <c:pt idx="7">
                  <c:v>May</c:v>
                </c:pt>
                <c:pt idx="8">
                  <c:v>Jun</c:v>
                </c:pt>
                <c:pt idx="9">
                  <c:v>Oct</c:v>
                </c:pt>
                <c:pt idx="10">
                  <c:v>Nov</c:v>
                </c:pt>
                <c:pt idx="11">
                  <c:v>Jan
2016</c:v>
                </c:pt>
                <c:pt idx="12">
                  <c:v>May</c:v>
                </c:pt>
                <c:pt idx="13">
                  <c:v>Jun</c:v>
                </c:pt>
                <c:pt idx="14">
                  <c:v>Oct</c:v>
                </c:pt>
                <c:pt idx="15">
                  <c:v>Dec</c:v>
                </c:pt>
                <c:pt idx="16">
                  <c:v>Jan
2017</c:v>
                </c:pt>
                <c:pt idx="17">
                  <c:v>Apr</c:v>
                </c:pt>
                <c:pt idx="18">
                  <c:v>May</c:v>
                </c:pt>
                <c:pt idx="19">
                  <c:v>Aug</c:v>
                </c:pt>
                <c:pt idx="20">
                  <c:v>Sep</c:v>
                </c:pt>
                <c:pt idx="21">
                  <c:v>Oct</c:v>
                </c:pt>
                <c:pt idx="22">
                  <c:v>Nov</c:v>
                </c:pt>
                <c:pt idx="23">
                  <c:v>Dec</c:v>
                </c:pt>
                <c:pt idx="24">
                  <c:v>Jan
2018</c:v>
                </c:pt>
                <c:pt idx="25">
                  <c:v>Feb</c:v>
                </c:pt>
                <c:pt idx="26">
                  <c:v>Mar</c:v>
                </c:pt>
                <c:pt idx="27">
                  <c:v>Apr</c:v>
                </c:pt>
                <c:pt idx="28">
                  <c:v>May</c:v>
                </c:pt>
                <c:pt idx="29">
                  <c:v>Jun</c:v>
                </c:pt>
                <c:pt idx="30">
                  <c:v>Jul</c:v>
                </c:pt>
                <c:pt idx="31">
                  <c:v>Sep</c:v>
                </c:pt>
                <c:pt idx="32">
                  <c:v>Oct</c:v>
                </c:pt>
                <c:pt idx="33">
                  <c:v>Nov</c:v>
                </c:pt>
                <c:pt idx="34">
                  <c:v>Dec</c:v>
                </c:pt>
                <c:pt idx="35">
                  <c:v>Jan
2019</c:v>
                </c:pt>
                <c:pt idx="36">
                  <c:v>Feb</c:v>
                </c:pt>
                <c:pt idx="37">
                  <c:v>Mar</c:v>
                </c:pt>
                <c:pt idx="38">
                  <c:v>Apr</c:v>
                </c:pt>
                <c:pt idx="39">
                  <c:v>May</c:v>
                </c:pt>
                <c:pt idx="40">
                  <c:v>Jun</c:v>
                </c:pt>
                <c:pt idx="41">
                  <c:v>Aug</c:v>
                </c:pt>
                <c:pt idx="42">
                  <c:v>Sep</c:v>
                </c:pt>
                <c:pt idx="43">
                  <c:v>Oct</c:v>
                </c:pt>
                <c:pt idx="44">
                  <c:v>Nov</c:v>
                </c:pt>
                <c:pt idx="45">
                  <c:v>Dec</c:v>
                </c:pt>
                <c:pt idx="46">
                  <c:v>Jan
2020</c:v>
                </c:pt>
                <c:pt idx="47">
                  <c:v>Feb</c:v>
                </c:pt>
                <c:pt idx="48">
                  <c:v>Mar</c:v>
                </c:pt>
                <c:pt idx="49">
                  <c:v>Apr</c:v>
                </c:pt>
                <c:pt idx="50">
                  <c:v>May</c:v>
                </c:pt>
                <c:pt idx="51">
                  <c:v>Jun</c:v>
                </c:pt>
                <c:pt idx="52">
                  <c:v>Jul</c:v>
                </c:pt>
                <c:pt idx="53">
                  <c:v>Aug</c:v>
                </c:pt>
                <c:pt idx="54">
                  <c:v>Sep</c:v>
                </c:pt>
                <c:pt idx="55">
                  <c:v>Oct</c:v>
                </c:pt>
                <c:pt idx="56">
                  <c:v>Nov</c:v>
                </c:pt>
                <c:pt idx="57">
                  <c:v>Dec</c:v>
                </c:pt>
                <c:pt idx="58">
                  <c:v>Jan
2021</c:v>
                </c:pt>
                <c:pt idx="59">
                  <c:v>Feb</c:v>
                </c:pt>
                <c:pt idx="60">
                  <c:v>Mar</c:v>
                </c:pt>
                <c:pt idx="61">
                  <c:v>Apr</c:v>
                </c:pt>
                <c:pt idx="62">
                  <c:v>May</c:v>
                </c:pt>
                <c:pt idx="63">
                  <c:v>Jun</c:v>
                </c:pt>
              </c:strCache>
            </c:strRef>
          </c:cat>
          <c:val>
            <c:numRef>
              <c:f>'Time Series'!$B$26:$B$101</c:f>
              <c:numCache>
                <c:formatCode>General</c:formatCode>
                <c:ptCount val="64"/>
                <c:pt idx="0">
                  <c:v>1</c:v>
                </c:pt>
                <c:pt idx="1">
                  <c:v>2</c:v>
                </c:pt>
                <c:pt idx="2">
                  <c:v>2</c:v>
                </c:pt>
                <c:pt idx="3">
                  <c:v>1</c:v>
                </c:pt>
                <c:pt idx="4">
                  <c:v>1</c:v>
                </c:pt>
                <c:pt idx="5">
                  <c:v>1</c:v>
                </c:pt>
                <c:pt idx="6">
                  <c:v>6</c:v>
                </c:pt>
                <c:pt idx="7">
                  <c:v>1</c:v>
                </c:pt>
                <c:pt idx="8">
                  <c:v>4</c:v>
                </c:pt>
                <c:pt idx="9">
                  <c:v>1</c:v>
                </c:pt>
                <c:pt idx="10">
                  <c:v>1</c:v>
                </c:pt>
                <c:pt idx="11">
                  <c:v>1</c:v>
                </c:pt>
                <c:pt idx="12">
                  <c:v>1</c:v>
                </c:pt>
                <c:pt idx="13">
                  <c:v>11</c:v>
                </c:pt>
                <c:pt idx="14">
                  <c:v>2</c:v>
                </c:pt>
                <c:pt idx="15">
                  <c:v>3</c:v>
                </c:pt>
                <c:pt idx="16">
                  <c:v>2</c:v>
                </c:pt>
                <c:pt idx="17">
                  <c:v>3</c:v>
                </c:pt>
                <c:pt idx="18">
                  <c:v>4</c:v>
                </c:pt>
                <c:pt idx="19">
                  <c:v>1</c:v>
                </c:pt>
                <c:pt idx="20">
                  <c:v>14</c:v>
                </c:pt>
                <c:pt idx="21">
                  <c:v>5</c:v>
                </c:pt>
                <c:pt idx="22">
                  <c:v>2</c:v>
                </c:pt>
                <c:pt idx="23">
                  <c:v>2</c:v>
                </c:pt>
                <c:pt idx="24">
                  <c:v>5</c:v>
                </c:pt>
                <c:pt idx="25">
                  <c:v>7</c:v>
                </c:pt>
                <c:pt idx="26">
                  <c:v>1</c:v>
                </c:pt>
                <c:pt idx="27">
                  <c:v>5</c:v>
                </c:pt>
                <c:pt idx="28">
                  <c:v>7</c:v>
                </c:pt>
                <c:pt idx="29">
                  <c:v>4</c:v>
                </c:pt>
                <c:pt idx="30">
                  <c:v>1</c:v>
                </c:pt>
                <c:pt idx="31">
                  <c:v>3</c:v>
                </c:pt>
                <c:pt idx="32">
                  <c:v>3</c:v>
                </c:pt>
                <c:pt idx="33">
                  <c:v>3</c:v>
                </c:pt>
                <c:pt idx="34">
                  <c:v>2</c:v>
                </c:pt>
                <c:pt idx="35">
                  <c:v>5</c:v>
                </c:pt>
                <c:pt idx="36">
                  <c:v>11</c:v>
                </c:pt>
                <c:pt idx="37">
                  <c:v>5</c:v>
                </c:pt>
                <c:pt idx="38">
                  <c:v>24</c:v>
                </c:pt>
                <c:pt idx="39">
                  <c:v>39</c:v>
                </c:pt>
                <c:pt idx="40">
                  <c:v>6</c:v>
                </c:pt>
                <c:pt idx="41">
                  <c:v>2</c:v>
                </c:pt>
                <c:pt idx="42">
                  <c:v>7</c:v>
                </c:pt>
                <c:pt idx="43">
                  <c:v>7</c:v>
                </c:pt>
                <c:pt idx="44">
                  <c:v>26</c:v>
                </c:pt>
                <c:pt idx="45">
                  <c:v>12</c:v>
                </c:pt>
                <c:pt idx="46">
                  <c:v>9</c:v>
                </c:pt>
                <c:pt idx="47">
                  <c:v>21</c:v>
                </c:pt>
                <c:pt idx="48">
                  <c:v>29</c:v>
                </c:pt>
                <c:pt idx="49">
                  <c:v>84</c:v>
                </c:pt>
                <c:pt idx="50">
                  <c:v>33</c:v>
                </c:pt>
                <c:pt idx="51">
                  <c:v>30</c:v>
                </c:pt>
                <c:pt idx="52">
                  <c:v>22</c:v>
                </c:pt>
                <c:pt idx="53">
                  <c:v>18</c:v>
                </c:pt>
                <c:pt idx="54">
                  <c:v>42</c:v>
                </c:pt>
                <c:pt idx="55">
                  <c:v>39</c:v>
                </c:pt>
                <c:pt idx="56">
                  <c:v>26</c:v>
                </c:pt>
                <c:pt idx="57">
                  <c:v>21</c:v>
                </c:pt>
                <c:pt idx="58">
                  <c:v>29</c:v>
                </c:pt>
                <c:pt idx="59">
                  <c:v>31</c:v>
                </c:pt>
                <c:pt idx="60">
                  <c:v>30</c:v>
                </c:pt>
                <c:pt idx="61">
                  <c:v>40</c:v>
                </c:pt>
                <c:pt idx="62">
                  <c:v>40</c:v>
                </c:pt>
                <c:pt idx="63">
                  <c:v>10</c:v>
                </c:pt>
              </c:numCache>
            </c:numRef>
          </c:val>
        </c:ser>
        <c:axId val="64156296"/>
        <c:axId val="40535753"/>
      </c:barChart>
      <c:catAx>
        <c:axId val="64156296"/>
        <c:scaling>
          <c:orientation val="minMax"/>
        </c:scaling>
        <c:axPos val="b"/>
        <c:delete val="0"/>
        <c:numFmt formatCode="General" sourceLinked="1"/>
        <c:majorTickMark val="out"/>
        <c:minorTickMark val="none"/>
        <c:tickLblPos val="nextTo"/>
        <c:crossAx val="40535753"/>
        <c:crosses val="autoZero"/>
        <c:auto val="1"/>
        <c:lblOffset val="100"/>
        <c:noMultiLvlLbl val="0"/>
      </c:catAx>
      <c:valAx>
        <c:axId val="40535753"/>
        <c:scaling>
          <c:orientation val="minMax"/>
        </c:scaling>
        <c:axPos val="l"/>
        <c:majorGridlines/>
        <c:delete val="0"/>
        <c:numFmt formatCode="General" sourceLinked="1"/>
        <c:majorTickMark val="out"/>
        <c:minorTickMark val="none"/>
        <c:tickLblPos val="nextTo"/>
        <c:crossAx val="6415629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873464"/>
        <c:axId val="44643449"/>
      </c:barChart>
      <c:catAx>
        <c:axId val="1987346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643449"/>
        <c:crosses val="autoZero"/>
        <c:auto val="1"/>
        <c:lblOffset val="100"/>
        <c:noMultiLvlLbl val="0"/>
      </c:catAx>
      <c:valAx>
        <c:axId val="446434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734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246722"/>
        <c:axId val="59349587"/>
      </c:barChart>
      <c:catAx>
        <c:axId val="6624672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349587"/>
        <c:crosses val="autoZero"/>
        <c:auto val="1"/>
        <c:lblOffset val="100"/>
        <c:noMultiLvlLbl val="0"/>
      </c:catAx>
      <c:valAx>
        <c:axId val="593495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2467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384236"/>
        <c:axId val="42587213"/>
      </c:barChart>
      <c:catAx>
        <c:axId val="643842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587213"/>
        <c:crosses val="autoZero"/>
        <c:auto val="1"/>
        <c:lblOffset val="100"/>
        <c:noMultiLvlLbl val="0"/>
      </c:catAx>
      <c:valAx>
        <c:axId val="425872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842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740598"/>
        <c:axId val="27012199"/>
      </c:barChart>
      <c:catAx>
        <c:axId val="4774059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012199"/>
        <c:crosses val="autoZero"/>
        <c:auto val="1"/>
        <c:lblOffset val="100"/>
        <c:noMultiLvlLbl val="0"/>
      </c:catAx>
      <c:valAx>
        <c:axId val="270121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405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1783200"/>
        <c:axId val="40504481"/>
      </c:barChart>
      <c:catAx>
        <c:axId val="4178320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504481"/>
        <c:crosses val="autoZero"/>
        <c:auto val="1"/>
        <c:lblOffset val="100"/>
        <c:noMultiLvlLbl val="0"/>
      </c:catAx>
      <c:valAx>
        <c:axId val="405044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832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8996010"/>
        <c:axId val="59637499"/>
      </c:barChart>
      <c:catAx>
        <c:axId val="2899601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637499"/>
        <c:crosses val="autoZero"/>
        <c:auto val="1"/>
        <c:lblOffset val="100"/>
        <c:noMultiLvlLbl val="0"/>
      </c:catAx>
      <c:valAx>
        <c:axId val="596374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960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6975444"/>
        <c:axId val="65908085"/>
      </c:barChart>
      <c:catAx>
        <c:axId val="6697544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908085"/>
        <c:crosses val="autoZero"/>
        <c:auto val="1"/>
        <c:lblOffset val="100"/>
        <c:noMultiLvlLbl val="0"/>
      </c:catAx>
      <c:valAx>
        <c:axId val="659080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9754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6301854"/>
        <c:axId val="36954639"/>
      </c:barChart>
      <c:catAx>
        <c:axId val="56301854"/>
        <c:scaling>
          <c:orientation val="minMax"/>
        </c:scaling>
        <c:axPos val="b"/>
        <c:delete val="1"/>
        <c:majorTickMark val="out"/>
        <c:minorTickMark val="none"/>
        <c:tickLblPos val="none"/>
        <c:crossAx val="36954639"/>
        <c:crosses val="autoZero"/>
        <c:auto val="1"/>
        <c:lblOffset val="100"/>
        <c:noMultiLvlLbl val="0"/>
      </c:catAx>
      <c:valAx>
        <c:axId val="36954639"/>
        <c:scaling>
          <c:orientation val="minMax"/>
        </c:scaling>
        <c:axPos val="l"/>
        <c:delete val="1"/>
        <c:majorTickMark val="out"/>
        <c:minorTickMark val="none"/>
        <c:tickLblPos val="none"/>
        <c:crossAx val="5630185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15</xdr:col>
      <xdr:colOff>114300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371475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Comment Type"/>
            <xdr:cNvGraphicFramePr/>
          </xdr:nvGraphicFramePr>
          <xdr:xfrm>
            <a:off x="4448175" y="4191000"/>
            <a:ext cx="1266825" cy="1266825"/>
          </xdr:xfrm>
          <a:graphic>
            <a:graphicData uri="http://schemas.microsoft.com/office/drawing/2010/slicer">
              <sle:slicer xmlns:sle="http://schemas.microsoft.com/office/drawing/2010/slicer" name="Comment Type"/>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11" refreshedBy="Digital Space Lab" refreshedVersion="7">
  <cacheSource type="worksheet">
    <worksheetSource ref="A2:AP813" sheet="Edges"/>
  </cacheSource>
  <cacheFields count="43">
    <cacheField name="Vertex 1" numFmtId="49">
      <sharedItems containsMixedTypes="0" count="0"/>
    </cacheField>
    <cacheField name="Vertex 2" numFmtId="49">
      <sharedItems containsMixedTypes="0" count="0"/>
    </cacheField>
    <cacheField name="Color">
      <sharedItems containsMixedTypes="0" count="0"/>
    </cacheField>
    <cacheField name="Width" numFmtId="164">
      <sharedItems containsSemiMixedTypes="0" containsString="0" containsMixedTypes="0" containsNumber="1" containsInteger="1" count="0"/>
    </cacheField>
    <cacheField name="Style">
      <sharedItems containsString="0" containsBlank="1" containsMixedTypes="1" count="0"/>
    </cacheField>
    <cacheField name="Opacity" numFmtId="1">
      <sharedItems containsSemiMixedTypes="0" containsString="0" containsMixedTypes="0" containsNumber="1" containsInteger="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Comment Type">
      <sharedItems containsBlank="1" containsMixedTypes="0" count="3">
        <s v="Comment"/>
        <s v="Reply"/>
        <m/>
      </sharedItems>
    </cacheField>
    <cacheField name="Comment">
      <sharedItems containsBlank="1" containsMixedTypes="0" longText="1" count="0"/>
    </cacheField>
    <cacheField name="Author Channel ID">
      <sharedItems containsBlank="1" containsMixedTypes="0" count="0"/>
    </cacheField>
    <cacheField name="Author Display Name">
      <sharedItems containsBlank="1" containsMixedTypes="0" count="0"/>
    </cacheField>
    <cacheField name="Author Channel URL">
      <sharedItems containsBlank="1" containsMixedTypes="0" count="0"/>
    </cacheField>
    <cacheField name="Parent ID">
      <sharedItems containsBlank="1" containsMixedTypes="0" count="0"/>
    </cacheField>
    <cacheField name="Video ID">
      <sharedItems containsMixedTypes="0" count="0"/>
    </cacheField>
    <cacheField name="Video URL">
      <sharedItems containsMixedTypes="0" count="0"/>
    </cacheField>
    <cacheField name="Viewer Rating">
      <sharedItems containsBlank="1" containsMixedTypes="0" count="0"/>
    </cacheField>
    <cacheField name="Like Count">
      <sharedItems containsString="0" containsBlank="1" containsMixedTypes="0" containsNumber="1" containsInteger="1" count="0"/>
    </cacheField>
    <cacheField name="Published At" numFmtId="22">
      <sharedItems containsSemiMixedTypes="0" containsNonDate="0" containsDate="1" containsString="0" containsMixedTypes="0" count="811">
        <d v="2019-11-28T18:38:28.000"/>
        <d v="2019-11-28T18:51:16.000"/>
        <d v="2019-11-28T19:02:40.000"/>
        <d v="2019-11-29T03:11:36.000"/>
        <d v="2019-11-29T04:37:04.000"/>
        <d v="2021-02-14T01:58:38.000"/>
        <d v="2019-11-29T07:17:38.000"/>
        <d v="2019-11-29T07:24:44.000"/>
        <d v="2019-11-29T08:11:46.000"/>
        <d v="2019-11-29T09:52:26.000"/>
        <d v="2019-11-29T09:53:00.000"/>
        <d v="2019-11-29T09:54:01.000"/>
        <d v="2019-11-29T09:54:31.000"/>
        <d v="2019-11-29T14:15:27.000"/>
        <d v="2019-11-29T17:52:59.000"/>
        <d v="2019-11-29T17:25:15.000"/>
        <d v="2019-11-30T19:11:21.000"/>
        <d v="2019-12-02T19:48:29.000"/>
        <d v="2019-12-04T21:11:07.000"/>
        <d v="2019-12-04T21:13:48.000"/>
        <d v="2019-12-08T08:25:24.000"/>
        <d v="2019-12-10T04:58:36.000"/>
        <d v="2019-12-27T08:22:53.000"/>
        <d v="2020-01-06T18:23:22.000"/>
        <d v="2020-01-27T15:32:44.000"/>
        <d v="2020-06-30T04:48:04.000"/>
        <d v="2020-09-24T14:21:09.000"/>
        <d v="2020-09-27T20:26:11.000"/>
        <d v="2020-10-10T14:31:24.000"/>
        <d v="2021-06-07T16:54:13.000"/>
        <d v="2018-05-16T21:32:47.000"/>
        <d v="2019-09-11T09:09:29.000"/>
        <d v="2020-01-28T18:13:42.000"/>
        <d v="2020-02-16T04:10:26.000"/>
        <d v="2020-03-22T08:33:48.000"/>
        <d v="2020-05-11T19:57:20.000"/>
        <d v="2020-06-29T17:04:40.000"/>
        <d v="2021-01-03T09:59:31.000"/>
        <d v="2020-07-20T08:07:38.000"/>
        <d v="2020-07-23T15:17:09.000"/>
        <d v="2020-08-12T18:57:06.000"/>
        <d v="2020-08-19T07:13:05.000"/>
        <d v="2021-05-23T12:18:55.000"/>
        <d v="2020-08-20T01:19:47.000"/>
        <d v="2020-09-11T22:12:45.000"/>
        <d v="2020-10-08T08:31:30.000"/>
        <d v="2020-11-11T07:47:08.000"/>
        <d v="2020-12-24T17:11:22.000"/>
        <d v="2021-01-03T10:04:27.000"/>
        <d v="2021-01-20T05:41:40.000"/>
        <d v="2021-01-29T17:44:37.000"/>
        <d v="2021-02-28T17:51:26.000"/>
        <d v="2021-04-08T05:25:20.000"/>
        <d v="2019-09-13T12:33:22.000"/>
        <d v="2019-09-13T17:25:28.000"/>
        <d v="2019-11-29T10:52:13.000"/>
        <d v="2020-02-16T18:34:42.000"/>
        <d v="2020-03-10T03:29:03.000"/>
        <d v="2020-04-06T14:11:57.000"/>
        <d v="2020-07-05T10:49:37.000"/>
        <d v="2020-09-18T08:05:39.000"/>
        <d v="2020-10-08T15:28:45.000"/>
        <d v="2020-10-11T19:30:52.000"/>
        <d v="2020-11-07T13:09:22.000"/>
        <d v="2020-11-07T12:52:55.000"/>
        <d v="2021-04-24T07:42:24.000"/>
        <d v="2020-01-17T09:03:23.000"/>
        <d v="2020-08-03T16:53:34.000"/>
        <d v="2020-02-25T17:41:30.000"/>
        <d v="2020-03-09T06:20:10.000"/>
        <d v="2020-05-04T22:50:55.000"/>
        <d v="2020-06-16T15:58:22.000"/>
        <d v="2020-03-10T14:24:15.000"/>
        <d v="2020-03-10T14:23:17.000"/>
        <d v="2020-03-15T14:51:34.000"/>
        <d v="2020-07-26T08:09:54.000"/>
        <d v="2020-03-29T17:33:56.000"/>
        <d v="2020-08-03T16:53:04.000"/>
        <d v="2020-05-16T05:36:52.000"/>
        <d v="2020-05-21T05:37:36.000"/>
        <d v="2020-05-29T00:33:53.000"/>
        <d v="2020-06-04T12:25:30.000"/>
        <d v="2020-07-26T08:08:50.000"/>
        <d v="2020-06-16T23:26:55.000"/>
        <d v="2020-06-29T08:34:36.000"/>
        <d v="2020-07-09T06:09:32.000"/>
        <d v="2020-07-09T06:09:44.000"/>
        <d v="2020-07-09T06:04:43.000"/>
        <d v="2020-07-14T12:39:27.000"/>
        <d v="2021-03-02T13:08:39.000"/>
        <d v="2020-08-18T11:55:18.000"/>
        <d v="2020-08-24T13:01:01.000"/>
        <d v="2020-08-26T12:20:46.000"/>
        <d v="2020-09-03T09:26:12.000"/>
        <d v="2020-09-04T08:56:52.000"/>
        <d v="2020-09-04T09:50:35.000"/>
        <d v="2020-09-06T21:22:47.000"/>
        <d v="2020-09-10T05:49:38.000"/>
        <d v="2020-09-11T05:58:02.000"/>
        <d v="2020-09-11T07:07:42.000"/>
        <d v="2020-09-15T15:34:28.000"/>
        <d v="2020-09-18T16:11:16.000"/>
        <d v="2020-09-30T08:31:30.000"/>
        <d v="2020-09-22T09:48:36.000"/>
        <d v="2020-09-22T09:49:11.000"/>
        <d v="2020-09-24T19:38:06.000"/>
        <d v="2020-10-02T14:24:00.000"/>
        <d v="2020-12-21T10:10:22.000"/>
        <d v="2021-01-14T09:09:03.000"/>
        <d v="2020-11-04T19:49:25.000"/>
        <d v="2020-11-05T17:58:35.000"/>
        <d v="2020-11-25T00:26:54.000"/>
        <d v="2020-11-25T00:27:13.000"/>
        <d v="2020-11-25T00:27:26.000"/>
        <d v="2020-11-27T04:05:35.000"/>
        <d v="2020-12-03T20:24:57.000"/>
        <d v="2020-12-10T05:27:51.000"/>
        <d v="2020-12-10T11:53:54.000"/>
        <d v="2020-12-18T13:21:29.000"/>
        <d v="2020-12-27T11:41:44.000"/>
        <d v="2020-12-27T15:33:49.000"/>
        <d v="2021-01-08T07:24:37.000"/>
        <d v="2021-01-11T19:55:37.000"/>
        <d v="2021-01-14T03:12:02.000"/>
        <d v="2021-01-17T14:43:59.000"/>
        <d v="2021-03-02T13:06:30.000"/>
        <d v="2021-01-30T08:53:05.000"/>
        <d v="2021-02-15T04:15:04.000"/>
        <d v="2021-02-18T10:22:17.000"/>
        <d v="2021-02-25T06:04:53.000"/>
        <d v="2021-02-27T09:48:21.000"/>
        <d v="2021-03-04T15:03:42.000"/>
        <d v="2021-03-06T08:57:13.000"/>
        <d v="2021-03-15T09:11:01.000"/>
        <d v="2021-03-15T21:20:42.000"/>
        <d v="2021-03-15T22:44:08.000"/>
        <d v="2021-04-02T03:36:57.000"/>
        <d v="2021-04-06T09:59:24.000"/>
        <d v="2021-04-12T05:36:57.000"/>
        <d v="2021-04-12T05:42:28.000"/>
        <d v="2021-04-16T05:18:31.000"/>
        <d v="2021-04-23T12:35:56.000"/>
        <d v="2021-04-26T17:15:43.000"/>
        <d v="2021-04-26T19:14:19.000"/>
        <d v="2021-05-15T21:00:11.000"/>
        <d v="2021-05-17T16:23:30.000"/>
        <d v="2021-05-20T16:30:54.000"/>
        <d v="2020-07-06T17:33:28.000"/>
        <d v="2019-11-11T11:55:34.000"/>
        <d v="2020-06-10T06:40:03.000"/>
        <d v="2019-11-10T20:06:04.000"/>
        <d v="2020-02-06T22:55:40.000"/>
        <d v="2020-02-06T08:49:03.000"/>
        <d v="2020-10-30T17:43:54.000"/>
        <d v="2020-05-14T11:17:45.000"/>
        <d v="2020-06-10T06:27:37.000"/>
        <d v="2020-06-10T06:36:49.000"/>
        <d v="2020-06-10T06:28:43.000"/>
        <d v="2020-06-10T06:31:39.000"/>
        <d v="2020-06-10T06:27:58.000"/>
        <d v="2020-06-10T11:23:12.000"/>
        <d v="2020-06-10T06:25:55.000"/>
        <d v="2020-06-10T06:27:52.000"/>
        <d v="2020-06-10T06:37:00.000"/>
        <d v="2020-06-10T11:39:35.000"/>
        <d v="2020-06-10T06:38:22.000"/>
        <d v="2020-06-10T06:36:03.000"/>
        <d v="2020-07-03T12:02:13.000"/>
        <d v="2020-12-23T20:10:00.000"/>
        <d v="2021-04-27T08:29:06.000"/>
        <d v="2021-04-29T19:36:14.000"/>
        <d v="2020-10-21T07:23:42.000"/>
        <d v="2020-12-09T16:07:06.000"/>
        <d v="2020-10-28T12:53:02.000"/>
        <d v="2020-11-11T02:21:37.000"/>
        <d v="2020-12-02T13:16:16.000"/>
        <d v="2021-05-04T15:16:39.000"/>
        <d v="2021-05-27T21:06:11.000"/>
        <d v="2021-01-04T16:52:33.000"/>
        <d v="2021-02-25T18:22:48.000"/>
        <d v="2021-02-26T13:32:19.000"/>
        <d v="2021-03-03T10:48:33.000"/>
        <d v="2021-04-27T08:26:46.000"/>
        <d v="2021-04-27T10:48:14.000"/>
        <d v="2021-04-26T21:28:12.000"/>
        <d v="2021-04-29T19:39:14.000"/>
        <d v="2021-05-11T15:45:44.000"/>
        <d v="2021-05-27T09:37:54.000"/>
        <d v="2021-05-27T00:10:53.000"/>
        <d v="2020-10-27T15:50:59.000"/>
        <d v="2017-05-01T21:01:32.000"/>
        <d v="2017-10-03T16:31:44.000"/>
        <d v="2018-02-24T03:36:56.000"/>
        <d v="2019-01-04T18:46:49.000"/>
        <d v="2020-10-15T00:20:18.000"/>
        <d v="2019-08-22T05:07:09.000"/>
        <d v="2020-02-12T20:31:58.000"/>
        <d v="2020-02-12T20:34:08.000"/>
        <d v="2020-02-12T20:36:04.000"/>
        <d v="2020-02-12T20:43:25.000"/>
        <d v="2020-02-12T20:45:11.000"/>
        <d v="2020-02-12T20:47:27.000"/>
        <d v="2020-02-12T20:33:33.000"/>
        <d v="2020-02-12T20:35:15.000"/>
        <d v="2020-02-12T20:37:53.000"/>
        <d v="2020-02-12T20:41:57.000"/>
        <d v="2020-02-12T20:44:09.000"/>
        <d v="2020-02-12T20:46:37.000"/>
        <d v="2020-02-14T20:48:44.000"/>
        <d v="2020-02-12T20:29:36.000"/>
        <d v="2021-04-04T23:43:39.000"/>
        <d v="2020-03-17T20:15:43.000"/>
        <d v="2020-07-12T20:03:18.000"/>
        <d v="2020-04-02T22:48:04.000"/>
        <d v="2020-04-13T17:12:58.000"/>
        <d v="2020-04-22T20:24:11.000"/>
        <d v="2020-05-18T15:01:23.000"/>
        <d v="2020-08-31T15:04:40.000"/>
        <d v="2020-09-22T05:11:28.000"/>
        <d v="2021-05-12T21:46:58.000"/>
        <d v="2020-04-08T21:04:27.000"/>
        <d v="2020-05-20T17:13:36.000"/>
        <d v="2020-05-20T17:15:00.000"/>
        <d v="2020-07-12T19:53:52.000"/>
        <d v="2020-04-05T23:19:17.000"/>
        <d v="2020-09-22T16:44:10.000"/>
        <d v="2020-10-20T03:24:17.000"/>
        <d v="2020-05-04T18:17:28.000"/>
        <d v="2020-05-05T13:18:50.000"/>
        <d v="2020-05-07T17:26:10.000"/>
        <d v="2020-05-20T04:43:04.000"/>
        <d v="2020-05-20T17:15:46.000"/>
        <d v="2020-07-12T20:02:28.000"/>
        <d v="2020-07-12T20:03:30.000"/>
        <d v="2020-07-14T18:17:20.000"/>
        <d v="2020-08-14T06:16:15.000"/>
        <d v="2020-10-06T20:01:03.000"/>
        <d v="2020-10-07T19:45:45.000"/>
        <d v="2020-10-08T00:05:32.000"/>
        <d v="2020-10-08T00:21:56.000"/>
        <d v="2020-10-28T12:44:26.000"/>
        <d v="2020-11-04T18:40:49.000"/>
        <d v="2020-11-13T19:25:05.000"/>
        <d v="2020-11-19T13:18:33.000"/>
        <d v="2021-01-05T05:33:33.000"/>
        <d v="2021-01-05T05:33:50.000"/>
        <d v="2021-01-12T15:20:47.000"/>
        <d v="2021-01-13T15:05:44.000"/>
        <d v="2021-03-08T19:36:32.000"/>
        <d v="2021-01-19T22:20:12.000"/>
        <d v="2021-01-25T21:17:53.000"/>
        <d v="2021-02-01T15:49:35.000"/>
        <d v="2021-02-10T15:08:48.000"/>
        <d v="2021-02-10T15:05:51.000"/>
        <d v="2021-03-08T19:50:15.000"/>
        <d v="2021-03-19T03:42:40.000"/>
        <d v="2021-03-22T14:08:30.000"/>
        <d v="2021-03-24T13:59:04.000"/>
        <d v="2021-05-12T01:16:37.000"/>
        <d v="2021-06-14T21:58:38.000"/>
        <d v="2021-05-16T01:43:37.000"/>
        <d v="2021-05-20T15:17:17.000"/>
        <d v="2021-05-11T18:03:06.000"/>
        <d v="2021-05-11T18:06:58.000"/>
        <d v="2021-05-12T02:43:10.000"/>
        <d v="2021-05-12T03:26:36.000"/>
        <d v="2021-05-12T08:00:04.000"/>
        <d v="2021-05-12T09:57:28.000"/>
        <d v="2021-05-15T19:19:34.000"/>
        <d v="2019-10-17T16:18:24.000"/>
        <d v="2020-04-21T07:59:58.000"/>
        <d v="2020-04-21T08:00:02.000"/>
        <d v="2020-04-21T08:05:42.000"/>
        <d v="2020-04-21T08:00:20.000"/>
        <d v="2020-04-21T08:05:50.000"/>
        <d v="2020-04-21T08:03:59.000"/>
        <d v="2020-04-21T08:05:26.000"/>
        <d v="2020-04-21T08:13:23.000"/>
        <d v="2020-04-21T09:06:21.000"/>
        <d v="2020-04-21T08:54:52.000"/>
        <d v="2020-04-21T08:09:42.000"/>
        <d v="2020-04-21T08:13:00.000"/>
        <d v="2020-04-21T08:13:30.000"/>
        <d v="2020-04-21T08:11:48.000"/>
        <d v="2020-12-03T21:11:23.000"/>
        <d v="2021-05-03T21:23:41.000"/>
        <d v="2021-04-18T18:12:08.000"/>
        <d v="2021-04-03T05:48:18.000"/>
        <d v="2021-06-14T14:30:40.000"/>
        <d v="2021-06-11T18:47:11.000"/>
        <d v="2020-04-11T12:11:49.000"/>
        <d v="2020-04-11T12:12:58.000"/>
        <d v="2020-04-11T17:05:56.000"/>
        <d v="2020-04-11T12:15:52.000"/>
        <d v="2020-04-11T12:16:58.000"/>
        <d v="2020-04-11T12:15:18.000"/>
        <d v="2020-04-11T12:21:08.000"/>
        <d v="2020-04-11T13:50:30.000"/>
        <d v="2020-04-11T21:30:06.000"/>
        <d v="2020-04-11T12:33:26.000"/>
        <d v="2020-04-11T13:20:43.000"/>
        <d v="2020-04-11T13:21:09.000"/>
        <d v="2020-04-11T13:21:54.000"/>
        <d v="2020-04-11T14:19:56.000"/>
        <d v="2020-04-11T21:22:58.000"/>
        <d v="2020-04-11T15:46:26.000"/>
        <d v="2020-04-11T21:20:19.000"/>
        <d v="2020-04-11T21:37:05.000"/>
        <d v="2020-04-11T21:45:41.000"/>
        <d v="2020-04-11T22:48:46.000"/>
        <d v="2020-04-11T16:28:40.000"/>
        <d v="2020-04-11T17:45:49.000"/>
        <d v="2020-04-11T20:39:21.000"/>
        <d v="2020-04-11T21:22:14.000"/>
        <d v="2020-04-12T09:36:20.000"/>
        <d v="2020-04-12T09:53:37.000"/>
        <d v="2020-04-12T03:14:13.000"/>
        <d v="2020-04-12T03:52:23.000"/>
        <d v="2020-04-12T09:02:57.000"/>
        <d v="2020-04-12T13:59:09.000"/>
        <d v="2020-04-13T13:56:50.000"/>
        <d v="2020-04-14T19:31:41.000"/>
        <d v="2020-04-14T16:48:24.000"/>
        <d v="2020-04-23T08:09:44.000"/>
        <d v="2020-04-23T06:31:30.000"/>
        <d v="2020-04-26T17:20:05.000"/>
        <d v="2020-04-26T19:54:07.000"/>
        <d v="2020-04-26T19:56:51.000"/>
        <d v="2020-04-26T17:49:29.000"/>
        <d v="2020-04-29T09:13:34.000"/>
        <d v="2020-04-30T20:45:54.000"/>
        <d v="2020-04-30T17:56:26.000"/>
        <d v="2020-06-12T07:33:58.000"/>
        <d v="2020-07-02T11:09:41.000"/>
        <d v="2020-07-04T15:41:50.000"/>
        <d v="2020-07-03T05:31:49.000"/>
        <d v="2021-04-07T20:07:44.000"/>
        <d v="2019-04-09T13:32:30.000"/>
        <d v="2019-06-16T14:38:20.000"/>
        <d v="2019-12-06T16:04:35.000"/>
        <d v="2021-04-28T04:01:40.000"/>
        <d v="2021-04-14T05:30:35.000"/>
        <d v="2016-06-02T01:26:10.000"/>
        <d v="2019-04-28T16:02:03.000"/>
        <d v="2016-06-03T06:36:24.000"/>
        <d v="2016-06-05T00:14:28.000"/>
        <d v="2016-06-09T09:52:20.000"/>
        <d v="2016-06-11T16:23:23.000"/>
        <d v="2016-06-12T03:10:54.000"/>
        <d v="2016-06-16T14:01:00.000"/>
        <d v="2016-06-11T14:56:36.000"/>
        <d v="2016-06-28T19:41:59.000"/>
        <d v="2016-10-31T11:07:40.000"/>
        <d v="2016-12-20T13:01:48.000"/>
        <d v="2017-01-11T12:46:59.000"/>
        <d v="2017-05-17T02:56:21.000"/>
        <d v="2017-05-20T17:24:44.000"/>
        <d v="2018-10-01T02:50:02.000"/>
        <d v="2019-04-28T16:07:53.000"/>
        <d v="2019-11-16T11:51:49.000"/>
        <d v="2020-07-28T06:08:31.000"/>
        <d v="2021-01-09T02:27:57.000"/>
        <d v="2021-03-16T20:43:51.000"/>
        <d v="2021-03-17T19:21:10.000"/>
        <d v="2021-05-09T12:42:06.000"/>
        <d v="2020-03-25T05:07:17.000"/>
        <d v="2020-03-25T07:47:42.000"/>
        <d v="2020-03-25T05:24:34.000"/>
        <d v="2020-03-25T05:33:42.000"/>
        <d v="2020-03-25T05:41:53.000"/>
        <d v="2020-03-25T05:50:00.000"/>
        <d v="2020-03-25T06:33:38.000"/>
        <d v="2020-03-25T06:58:24.000"/>
        <d v="2021-04-12T11:29:33.000"/>
        <d v="2020-03-25T07:46:57.000"/>
        <d v="2020-03-25T12:42:19.000"/>
        <d v="2020-09-14T05:04:21.000"/>
        <d v="2020-09-27T10:50:48.000"/>
        <d v="2020-10-31T16:32:54.000"/>
        <d v="2021-01-30T05:19:28.000"/>
        <d v="2021-03-05T18:58:15.000"/>
        <d v="2021-04-15T10:54:54.000"/>
        <d v="2021-04-24T18:07:14.000"/>
        <d v="2021-04-25T13:05:10.000"/>
        <d v="2021-04-22T18:57:29.000"/>
        <d v="2021-05-23T10:00:51.000"/>
        <d v="2019-12-10T10:28:01.000"/>
        <d v="2019-12-09T19:34:52.000"/>
        <d v="2020-05-02T16:03:18.000"/>
        <d v="2020-05-05T19:22:56.000"/>
        <d v="2020-05-01T09:41:12.000"/>
        <d v="2020-09-04T19:00:54.000"/>
        <d v="2020-09-04T12:11:06.000"/>
        <d v="2021-01-28T11:02:07.000"/>
        <d v="2021-02-22T11:22:11.000"/>
        <d v="2021-02-24T02:17:28.000"/>
        <d v="2021-02-21T10:12:25.000"/>
        <d v="2020-09-08T18:21:26.000"/>
        <d v="2020-09-08T19:02:59.000"/>
        <d v="2020-09-09T13:21:36.000"/>
        <d v="2020-09-09T21:20:32.000"/>
        <d v="2020-09-08T16:30:29.000"/>
        <d v="2020-09-08T17:24:50.000"/>
        <d v="2020-09-08T17:52:47.000"/>
        <d v="2020-09-08T19:49:27.000"/>
        <d v="2020-09-08T22:50:40.000"/>
        <d v="2019-10-14T18:42:55.000"/>
        <d v="2020-09-09T00:39:22.000"/>
        <d v="2020-09-09T06:03:20.000"/>
        <d v="2020-09-08T17:56:10.000"/>
        <d v="2020-09-09T13:20:45.000"/>
        <d v="2020-09-10T15:27:04.000"/>
        <d v="2015-02-19T17:45:22.000"/>
        <d v="2015-02-19T14:29:14.000"/>
        <d v="2015-06-14T13:14:47.000"/>
        <d v="2015-02-20T15:02:20.000"/>
        <d v="2015-02-22T14:53:09.000"/>
        <d v="2015-02-22T04:16:40.000"/>
        <d v="2015-06-14T13:16:23.000"/>
        <d v="2015-06-14T11:25:07.000"/>
        <d v="2015-11-10T18:13:35.000"/>
        <d v="2015-10-29T05:58:49.000"/>
        <d v="2018-06-26T10:35:57.000"/>
        <d v="2018-06-26T15:53:36.000"/>
        <d v="2018-06-22T05:11:23.000"/>
        <d v="2017-09-18T22:11:18.000"/>
        <d v="2017-09-21T17:22:12.000"/>
        <d v="2018-03-29T01:02:56.000"/>
        <d v="2017-09-24T01:44:56.000"/>
        <d v="2018-11-27T17:12:52.000"/>
        <d v="2017-09-28T21:22:50.000"/>
        <d v="2017-10-24T20:12:58.000"/>
        <d v="2017-09-28T21:19:49.000"/>
        <d v="2018-10-15T21:12:29.000"/>
        <d v="2018-04-04T18:16:16.000"/>
        <d v="2018-04-04T18:16:31.000"/>
        <d v="2018-04-04T18:16:01.000"/>
        <d v="2018-05-14T22:56:10.000"/>
        <d v="2018-09-27T00:09:25.000"/>
        <d v="2019-01-27T18:45:08.000"/>
        <d v="2019-02-09T20:13:43.000"/>
        <d v="2020-03-03T00:08:40.000"/>
        <d v="2019-04-10T12:40:51.000"/>
        <d v="2019-04-14T17:47:06.000"/>
        <d v="2019-04-14T13:26:23.000"/>
        <d v="2019-04-21T12:22:55.000"/>
        <d v="2019-04-19T21:12:03.000"/>
        <d v="2019-05-02T19:05:22.000"/>
        <d v="2019-05-02T19:08:00.000"/>
        <d v="2019-05-12T13:59:48.000"/>
        <d v="2019-05-12T16:29:13.000"/>
        <d v="2019-05-13T15:11:09.000"/>
        <d v="2019-05-13T20:37:12.000"/>
        <d v="2019-05-13T22:13:45.000"/>
        <d v="2019-05-14T17:19:08.000"/>
        <d v="2019-05-11T22:11:44.000"/>
        <d v="2019-05-12T17:59:42.000"/>
        <d v="2019-05-13T22:00:03.000"/>
        <d v="2019-05-14T10:33:26.000"/>
        <d v="2019-05-14T13:11:44.000"/>
        <d v="2020-11-18T20:43:22.000"/>
        <d v="2019-05-14T19:49:11.000"/>
        <d v="2019-09-08T20:25:05.000"/>
        <d v="2019-10-22T10:31:24.000"/>
        <d v="2020-11-07T18:59:26.000"/>
        <d v="2021-03-14T12:54:35.000"/>
        <d v="2020-01-19T15:49:56.000"/>
        <d v="2020-05-12T18:31:27.000"/>
        <d v="2020-05-28T16:28:00.000"/>
        <d v="2020-10-07T20:39:32.000"/>
        <d v="2021-01-06T00:13:34.000"/>
        <d v="2020-10-27T13:59:47.000"/>
        <d v="2020-11-01T20:36:34.000"/>
        <d v="2021-03-14T12:41:19.000"/>
        <d v="2021-01-14T14:45:25.000"/>
        <d v="2021-03-08T21:47:45.000"/>
        <d v="2021-01-25T15:14:32.000"/>
        <d v="2011-06-29T13:21:10.000"/>
        <d v="2017-09-17T19:09:20.000"/>
        <d v="2017-09-17T21:55:17.000"/>
        <d v="2017-09-17T19:28:58.000"/>
        <d v="2018-05-14T23:16:06.000"/>
        <d v="2019-06-17T22:59:39.000"/>
        <d v="2017-09-17T19:35:52.000"/>
        <d v="2018-01-07T18:52:12.000"/>
        <d v="2018-05-02T19:08:40.000"/>
        <d v="2018-09-12T20:47:30.000"/>
        <d v="2019-04-09T15:54:32.000"/>
        <d v="2019-05-08T14:03:10.000"/>
        <d v="2019-11-30T18:09:42.000"/>
        <d v="2019-12-03T20:52:13.000"/>
        <d v="2020-06-17T16:20:20.000"/>
        <d v="2021-03-05T17:15:45.000"/>
        <d v="2017-09-17T19:41:32.000"/>
        <d v="2017-09-18T08:47:20.000"/>
        <d v="2020-11-19T23:33:45.000"/>
        <d v="2018-02-04T12:19:48.000"/>
        <d v="2018-02-04T21:12:10.000"/>
        <d v="2018-02-04T12:23:59.000"/>
        <d v="2018-02-28T20:13:46.000"/>
        <d v="2018-04-03T22:19:21.000"/>
        <d v="2018-06-25T20:40:24.000"/>
        <d v="2019-05-08T20:50:57.000"/>
        <d v="2018-05-12T17:27:36.000"/>
        <d v="2019-05-09T21:58:41.000"/>
        <d v="2019-05-12T16:57:51.000"/>
        <d v="2020-03-25T12:43:39.000"/>
        <d v="2018-05-15T13:44:42.000"/>
        <d v="2018-10-29T20:07:46.000"/>
        <d v="2019-01-29T23:30:18.000"/>
        <d v="2019-02-05T20:24:17.000"/>
        <d v="2019-02-05T21:37:53.000"/>
        <d v="2019-02-05T20:59:56.000"/>
        <d v="2019-02-05T21:10:09.000"/>
        <d v="2019-02-05T21:10:33.000"/>
        <d v="2019-01-30T22:27:56.000"/>
        <d v="2019-02-11T23:51:46.000"/>
        <d v="2019-03-24T16:40:40.000"/>
        <d v="2019-03-24T15:40:17.000"/>
        <d v="2019-04-09T13:36:50.000"/>
        <d v="2019-04-09T13:52:16.000"/>
        <d v="2019-04-09T15:45:02.000"/>
        <d v="2019-04-16T11:52:40.000"/>
        <d v="2019-04-14T12:46:06.000"/>
        <d v="2019-04-14T12:51:13.000"/>
        <d v="2019-04-14T00:18:30.000"/>
        <d v="2019-05-08T20:53:23.000"/>
        <d v="2019-04-14T17:46:54.000"/>
        <d v="2019-04-16T15:57:49.000"/>
        <d v="2019-04-18T15:41:33.000"/>
        <d v="2019-04-14T13:49:15.000"/>
        <d v="2019-04-22T03:35:04.000"/>
        <d v="2019-05-08T23:09:41.000"/>
        <d v="2021-02-18T18:08:32.000"/>
        <d v="2019-05-11T22:05:07.000"/>
        <d v="2019-05-13T14:25:19.000"/>
        <d v="2019-05-16T08:01:47.000"/>
        <d v="2020-01-08T17:54:42.000"/>
        <d v="2020-06-01T16:30:38.000"/>
        <d v="2019-05-13T18:39:11.000"/>
        <d v="2019-05-13T19:36:52.000"/>
        <d v="2020-10-08T17:41:31.000"/>
        <d v="2020-11-23T20:13:54.000"/>
        <d v="2019-05-13T19:51:22.000"/>
        <d v="2019-05-13T20:23:04.000"/>
        <d v="2019-12-10T07:50:43.000"/>
        <d v="2019-05-13T20:51:48.000"/>
        <d v="2019-05-13T21:43:32.000"/>
        <d v="2019-05-13T22:46:33.000"/>
        <d v="2019-05-14T07:10:29.000"/>
        <d v="2019-05-14T08:29:23.000"/>
        <d v="2019-05-14T08:41:15.000"/>
        <d v="2019-05-14T10:39:55.000"/>
        <d v="2019-05-14T10:57:50.000"/>
        <d v="2020-03-17T21:46:29.000"/>
        <d v="2019-05-14T11:26:24.000"/>
        <d v="2019-05-14T12:30:32.000"/>
        <d v="2019-05-14T17:45:10.000"/>
        <d v="2019-05-20T02:08:15.000"/>
        <d v="2019-06-11T18:17:14.000"/>
        <d v="2019-06-14T10:47:49.000"/>
        <d v="2019-06-17T22:57:36.000"/>
        <d v="2019-06-17T23:01:32.000"/>
        <d v="2019-11-09T16:39:37.000"/>
        <d v="2019-11-13T21:18:37.000"/>
        <d v="2020-04-05T17:47:11.000"/>
        <d v="2019-08-16T13:27:42.000"/>
        <d v="2021-03-13T15:49:07.000"/>
        <d v="2019-10-09T22:06:45.000"/>
        <d v="2019-11-10T10:24:55.000"/>
        <d v="2019-11-18T01:35:56.000"/>
        <d v="2019-12-15T23:25:30.000"/>
        <d v="2020-01-06T08:13:34.000"/>
        <d v="2020-02-18T10:55:19.000"/>
        <d v="2020-03-17T19:42:53.000"/>
        <d v="2020-04-11T20:13:39.000"/>
        <d v="2020-03-23T10:43:34.000"/>
        <d v="2020-03-23T15:35:13.000"/>
        <d v="2020-04-29T11:28:22.000"/>
        <d v="2020-12-05T23:02:00.000"/>
        <d v="2020-05-11T21:09:29.000"/>
        <d v="2020-09-28T20:48:36.000"/>
        <d v="2020-10-28T12:01:41.000"/>
        <d v="2020-05-18T08:57:34.000"/>
        <d v="2020-06-08T17:59:34.000"/>
        <d v="2020-06-08T13:50:56.000"/>
        <d v="2020-06-15T14:06:13.000"/>
        <d v="2021-03-03T10:01:16.000"/>
        <d v="2020-10-23T18:03:12.000"/>
        <d v="2020-10-28T08:39:18.000"/>
        <d v="2020-11-29T19:57:58.000"/>
        <d v="2020-12-21T11:21:18.000"/>
        <d v="2020-12-21T14:42:37.000"/>
        <d v="2020-12-23T18:41:26.000"/>
        <d v="2021-01-13T11:17:14.000"/>
        <d v="2021-01-24T14:39:24.000"/>
        <d v="2021-02-28T20:52:09.000"/>
        <d v="2021-02-08T20:20:47.000"/>
        <d v="2021-03-28T12:23:42.000"/>
        <d v="2021-03-30T11:56:08.000"/>
        <d v="2021-04-11T20:25:05.000"/>
        <d v="2021-05-16T23:29:38.000"/>
        <d v="2021-05-18T19:47:06.000"/>
        <d v="2021-05-25T08:30:11.000"/>
        <d v="2021-05-27T22:12:06.000"/>
        <d v="2011-04-28T22:04:39.000"/>
        <d v="2011-06-01T07:23:36.000"/>
        <d v="2021-04-28T12:02:29.000"/>
        <d v="2018-02-05T04:56:10.000"/>
        <d v="2018-07-10T16:04:53.000"/>
        <d v="2018-12-27T15:07:23.000"/>
        <d v="2019-02-27T15:20:50.000"/>
        <d v="2021-03-02T13:10:55.000"/>
        <d v="2019-03-24T05:49:27.000"/>
        <d v="2019-04-03T16:37:49.000"/>
        <d v="2019-09-24T22:43:18.000"/>
        <d v="2020-08-26T17:41:21.000"/>
        <d v="2020-09-22T03:41:38.000"/>
        <d v="2020-11-10T13:06:25.000"/>
        <d v="2021-02-15T04:24:04.000"/>
        <d v="2021-02-24T10:16:57.000"/>
        <d v="2021-02-24T16:06:20.000"/>
        <d v="2021-03-03T09:10:52.000"/>
        <d v="2021-04-27T15:43:35.000"/>
        <d v="2021-04-27T15:47:10.000"/>
        <d v="2021-05-03T02:46:08.000"/>
        <d v="2021-06-09T10:45:10.000"/>
        <d v="2017-09-04T10:44:16.000"/>
        <d v="2017-10-23T16:13:10.000"/>
        <d v="2017-12-03T00:57:32.000"/>
        <d v="2021-05-21T06:07:21.000"/>
        <d v="2017-11-01T12:50:09.000"/>
        <d v="2017-11-18T07:19:05.000"/>
        <d v="2020-04-23T09:02:40.000"/>
        <d v="2020-04-23T09:08:36.000"/>
        <d v="2018-02-25T15:16:56.000"/>
        <d v="2021-04-15T11:54:44.000"/>
        <d v="2020-11-08T16:11:57.000"/>
        <d v="2020-11-24T02:42:20.000"/>
        <d v="2020-05-21T07:24:08.000"/>
        <d v="2017-04-27T00:48:41.000"/>
        <d v="2020-04-06T01:46:47.000"/>
        <d v="2017-04-12T05:38:36.000"/>
        <d v="2018-01-18T01:02:13.000"/>
        <d v="2017-05-17T10:08:17.000"/>
        <d v="2018-01-01T12:46:47.000"/>
        <d v="2019-01-27T17:48:42.000"/>
        <d v="2018-01-01T12:26:17.000"/>
        <d v="2018-09-09T14:15:17.000"/>
        <d v="2018-11-26T09:03:13.000"/>
        <d v="2020-08-12T11:26:51.000"/>
        <d v="2020-10-20T15:55:09.000"/>
        <d v="2020-10-20T15:56:25.000"/>
        <d v="2018-12-31T08:25:07.000"/>
        <d v="2019-02-09T08:54:36.000"/>
        <d v="2019-03-01T05:09:11.000"/>
        <d v="2019-10-13T03:27:17.000"/>
        <d v="2019-02-09T15:26:12.000"/>
        <d v="2020-04-05T11:49:09.000"/>
        <d v="2019-03-27T12:09:36.000"/>
        <d v="2020-04-05T11:48:21.000"/>
        <d v="2019-04-09T13:26:06.000"/>
        <d v="2019-04-09T14:55:18.000"/>
        <d v="2020-01-26T00:44:13.000"/>
        <d v="2020-01-26T01:10:53.000"/>
        <d v="2020-05-01T13:28:29.000"/>
        <d v="2020-02-09T16:36:38.000"/>
        <d v="2020-10-20T15:50:46.000"/>
        <d v="2020-10-20T15:51:55.000"/>
        <d v="2020-03-05T09:45:39.000"/>
        <d v="2020-03-05T15:24:49.000"/>
        <d v="2020-04-01T17:40:43.000"/>
        <d v="2020-03-31T15:50:59.000"/>
        <d v="2020-04-03T19:48:43.000"/>
        <d v="2020-04-08T20:59:26.000"/>
        <d v="2020-04-23T15:28:37.000"/>
        <d v="2020-04-23T15:36:32.000"/>
        <d v="2020-04-27T17:46:13.000"/>
        <d v="2020-05-08T19:05:18.000"/>
        <d v="2020-05-13T18:56:32.000"/>
        <d v="2020-06-09T20:03:00.000"/>
        <d v="2020-08-16T16:03:06.000"/>
        <d v="2020-08-21T06:54:20.000"/>
        <d v="2020-10-09T16:26:49.000"/>
        <d v="2020-10-16T22:20:48.000"/>
        <d v="2020-12-01T14:56:09.000"/>
        <d v="2021-02-02T10:57:01.000"/>
        <d v="2021-02-02T10:57:10.000"/>
        <d v="2021-02-10T01:39:37.000"/>
        <d v="2021-02-10T15:50:28.000"/>
        <d v="2021-02-22T15:09:11.000"/>
        <d v="2021-02-25T19:21:00.000"/>
        <d v="2021-03-02T10:56:22.000"/>
        <d v="2021-03-05T01:37:54.000"/>
        <d v="2021-04-24T22:36:32.000"/>
        <d v="2021-05-06T07:32:40.000"/>
        <d v="2020-04-03T20:05:08.000"/>
        <d v="2020-04-23T15:32:23.000"/>
        <d v="2020-04-23T15:32:28.000"/>
        <d v="2020-05-27T13:25:05.000"/>
        <d v="2020-06-06T02:49:18.000"/>
        <d v="2020-12-01T18:48:30.000"/>
        <d v="2021-01-25T05:38:21.000"/>
        <d v="2021-02-08T18:44:56.000"/>
        <d v="2021-04-21T21:57:41.000"/>
        <d v="2020-04-01T17:41:27.000"/>
        <d v="2020-04-06T01:46:31.000"/>
        <d v="2020-04-07T11:09:03.000"/>
        <d v="2020-04-29T08:24:10.000"/>
        <d v="2020-05-10T21:41:00.000"/>
        <d v="2020-05-10T21:51:08.000"/>
        <d v="2020-05-10T21:52:05.000"/>
        <d v="2020-05-11T15:54:34.000"/>
        <d v="2020-05-11T15:55:10.000"/>
        <d v="2020-05-28T09:03:23.000"/>
        <d v="2020-06-07T15:29:46.000"/>
        <d v="2021-05-21T20:52:15.000"/>
        <d v="2021-05-21T20:53:11.000"/>
        <d v="2020-12-01T18:48:47.000"/>
        <d v="2021-04-21T21:59:38.000"/>
        <d v="2021-05-29T19:27:23.000"/>
        <d v="2021-06-14T15:51:13.000"/>
        <d v="2020-06-10T04:56:19.000"/>
        <d v="2020-06-25T06:27:24.000"/>
        <d v="2020-07-20T14:57:28.000"/>
        <d v="2020-07-21T06:51:01.000"/>
        <d v="2020-08-07T11:04:02.000"/>
        <d v="2020-08-19T07:20:36.000"/>
        <d v="2020-10-20T15:32:18.000"/>
        <d v="2020-10-31T08:29:17.000"/>
        <d v="2020-10-31T13:45:59.000"/>
        <d v="2020-08-23T00:31:57.000"/>
        <d v="2020-09-22T16:57:47.000"/>
        <d v="2020-09-29T07:49:54.000"/>
        <d v="2020-10-01T04:41:34.000"/>
        <d v="2020-10-01T04:41:46.000"/>
        <d v="2020-10-14T03:15:18.000"/>
        <d v="2020-10-22T07:09:58.000"/>
        <d v="2020-10-22T20:36:02.000"/>
        <d v="2020-10-28T02:27:17.000"/>
        <d v="2020-10-31T08:28:07.000"/>
        <d v="2020-11-05T06:35:19.000"/>
        <d v="2020-11-09T03:40:58.000"/>
        <d v="2020-11-20T00:20:21.000"/>
        <d v="2020-11-20T00:18:59.000"/>
        <d v="2020-12-01T18:48:16.000"/>
        <d v="2021-03-05T18:43:51.000"/>
        <d v="2020-12-08T01:31:37.000"/>
        <d v="2021-01-13T17:29:37.000"/>
        <d v="2021-01-23T16:14:54.000"/>
        <d v="2021-06-14T15:51:00.000"/>
        <d v="2021-01-25T05:38:52.000"/>
        <d v="2021-02-08T18:47:41.000"/>
        <d v="2021-02-13T11:07:59.000"/>
        <d v="2021-02-21T03:47:53.000"/>
        <d v="2021-03-11T03:25:33.000"/>
        <d v="2021-04-12T06:46:01.000"/>
        <d v="2021-04-13T02:42:15.000"/>
        <d v="2021-04-21T22:00:03.000"/>
        <d v="2021-05-03T16:39:00.000"/>
        <d v="2021-05-03T16:02:37.000"/>
        <d v="2021-05-05T09:25:57.000"/>
        <d v="2021-05-24T14:24:12.000"/>
        <d v="2021-06-04T20:31:09.000"/>
        <d v="2021-04-16T15:57:13.000"/>
        <d v="2021-06-11T19:59:02.000"/>
        <d v="2021-06-11T20:03:08.000"/>
        <d v="2021-05-24T11:23:09.000"/>
        <d v="2019-11-28T18:25:35.000"/>
        <d v="2018-01-24T17:38:09.000"/>
        <d v="2019-09-11T08:07:56.000"/>
        <d v="2019-09-13T08:53:48.000"/>
        <d v="2016-01-27T21:47:53.000"/>
        <d v="2019-02-01T10:15:19.000"/>
        <d v="2021-02-13T12:07:47.000"/>
        <d v="2018-11-26T14:08:31.000"/>
        <d v="2016-10-20T17:34:21.000"/>
        <d v="2017-12-24T09:52:32.000"/>
        <d v="2021-04-03T04:00:17.000"/>
        <d v="2015-06-12T06:50:48.000"/>
        <d v="2020-04-11T12:02:03.000"/>
        <d v="2020-05-15T21:06:15.000"/>
        <d v="2016-05-31T18:10:11.000"/>
        <d v="2020-03-25T04:32:56.000"/>
        <d v="2020-03-25T04:47:59.000"/>
        <d v="2012-07-18T22:53:12.000"/>
        <d v="2019-10-27T13:33:22.000"/>
        <d v="2015-02-18T20:40:50.000"/>
        <d v="2018-04-04T06:00:01.000"/>
        <d v="2017-09-18T21:16:06.000"/>
        <d v="2017-09-17T19:04:29.000"/>
        <d v="2020-08-11T10:00:13.000"/>
        <d v="2017-10-10T07:54:20.000"/>
        <d v="2016-06-10T13:27:14.000"/>
        <d v="2016-12-01T23:42:59.000"/>
        <d v="2016-12-06T23:47:10.000"/>
        <d v="2017-01-12T22:01:50.000"/>
        <d v="2021-05-14T17:19:52.000"/>
        <d v="2021-05-11T18:00:00.000"/>
        <d v="2019-10-14T15:59:33.000"/>
        <d v="2016-06-29T13:20:02.000"/>
        <d v="2014-11-27T15:18:56.000"/>
        <d v="2014-07-11T11:23:17.000"/>
        <d v="2020-09-08T15:49:45.000"/>
        <d v="2015-05-28T15:54:40.000"/>
        <d v="2017-08-22T16:36:27.000"/>
        <d v="2009-07-21T14:53:16.000"/>
        <d v="2011-04-27T16:29:27.000"/>
        <d v="2017-10-18T15:51:58.000"/>
        <d v="2018-05-29T20:49:05.000"/>
        <d v="2017-04-11T19:45:32.000"/>
      </sharedItems>
      <fieldGroup par="42" base="25">
        <rangePr groupBy="months" autoEnd="1" autoStart="1" startDate="2009-07-21T14:53:16.000" endDate="2021-06-14T21:58:38.000"/>
        <groupItems count="14">
          <s v="&lt;7/21/2009"/>
          <s v="Jan"/>
          <s v="Feb"/>
          <s v="Mar"/>
          <s v="Apr"/>
          <s v="May"/>
          <s v="Jun"/>
          <s v="Jul"/>
          <s v="Aug"/>
          <s v="Sep"/>
          <s v="Oct"/>
          <s v="Nov"/>
          <s v="Dec"/>
          <s v="&gt;6/14/2021"/>
        </groupItems>
      </fieldGroup>
    </cacheField>
    <cacheField name="Updated At">
      <sharedItems containsDate="1" containsString="0" containsBlank="1" containsMixedTypes="0" count="0"/>
    </cacheField>
    <cacheField name="URLs In Comment">
      <sharedItems containsBlank="1" containsMixedTypes="0" longText="1" count="0"/>
    </cacheField>
    <cacheField name="Domains In Comment">
      <sharedItems containsBlank="1" containsMixedTypes="0" count="0"/>
    </cacheField>
    <cacheField name="Hashtags In Comment">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Years" databaseField="0">
      <sharedItems containsMixedTypes="0" count="0"/>
      <fieldGroup base="25">
        <rangePr groupBy="years" autoEnd="1" autoStart="1" startDate="2009-07-21T14:53:16.000" endDate="2021-06-14T21:58:38.000"/>
        <groupItems count="15">
          <s v="&lt;7/21/2009"/>
          <s v="2009"/>
          <s v="2010"/>
          <s v="2011"/>
          <s v="2012"/>
          <s v="2013"/>
          <s v="2014"/>
          <s v="2015"/>
          <s v="2016"/>
          <s v="2017"/>
          <s v="2018"/>
          <s v="2019"/>
          <s v="2020"/>
          <s v="2021"/>
          <s v="&gt;6/14/2021"/>
        </groupItems>
      </fieldGroup>
    </cacheField>
  </cacheFields>
  <extLst>
    <ext xmlns:x14="http://schemas.microsoft.com/office/spreadsheetml/2009/9/main" uri="{725AE2AE-9491-48be-B2B4-4EB974FC3084}">
      <x14:pivotCacheDefinition pivotCacheId="385231132"/>
    </ext>
  </extLst>
</pivotCacheDefinition>
</file>

<file path=xl/pivotCache/pivotCacheRecords1.xml><?xml version="1.0" encoding="utf-8"?>
<pivotCacheRecords xmlns="http://schemas.openxmlformats.org/spreadsheetml/2006/main" xmlns:r="http://schemas.openxmlformats.org/officeDocument/2006/relationships" count="811">
  <r>
    <s v="UC4zL7THUNhJldxCMKv2v4kQ"/>
    <s v="UCmmMbh6_u2aj20gWrGceXqg"/>
    <s v="192, 192, 192"/>
    <n v="3"/>
    <m/>
    <n v="40"/>
    <m/>
    <m/>
    <m/>
    <m/>
    <s v="No"/>
    <n v="3"/>
    <m/>
    <m/>
    <s v="Commented Video"/>
    <x v="0"/>
    <s v="Mam smh nhi aata k theory pde ya mcq solve kre"/>
    <s v="UC4zL7THUNhJldxCMKv2v4kQ"/>
    <s v="Iram Farooqui"/>
    <s v="http://www.youtube.com/channel/UC4zL7THUNhJldxCMKv2v4kQ"/>
    <m/>
    <s v="f5vABZt80AQ"/>
    <s v="https://www.youtube.com/watch?v=f5vABZt80AQ"/>
    <s v="none"/>
    <n v="1"/>
    <x v="0"/>
    <d v="2019-11-28T18:38:28.000"/>
    <m/>
    <m/>
    <s v=""/>
    <n v="1"/>
    <s v="9"/>
    <s v="9"/>
    <n v="0"/>
    <n v="0"/>
    <n v="0"/>
    <n v="0"/>
    <n v="0"/>
    <n v="0"/>
    <n v="11"/>
    <n v="100"/>
    <n v="11"/>
  </r>
  <r>
    <s v="UChdCBVkVOVEZC1LjXC1bQKA"/>
    <s v="UCmmMbh6_u2aj20gWrGceXqg"/>
    <s v="192, 192, 192"/>
    <n v="3"/>
    <m/>
    <n v="40"/>
    <m/>
    <m/>
    <m/>
    <m/>
    <s v="No"/>
    <n v="4"/>
    <m/>
    <m/>
    <s v="Commented Video"/>
    <x v="0"/>
    <s v="Thank you mam plz upload more questions"/>
    <s v="UChdCBVkVOVEZC1LjXC1bQKA"/>
    <s v="Fatma Zahira"/>
    <s v="http://www.youtube.com/channel/UChdCBVkVOVEZC1LjXC1bQKA"/>
    <m/>
    <s v="f5vABZt80AQ"/>
    <s v="https://www.youtube.com/watch?v=f5vABZt80AQ"/>
    <s v="none"/>
    <n v="1"/>
    <x v="1"/>
    <d v="2019-11-28T18:51:16.000"/>
    <m/>
    <m/>
    <s v=""/>
    <n v="1"/>
    <s v="9"/>
    <s v="9"/>
    <n v="1"/>
    <n v="14.285714285714286"/>
    <n v="0"/>
    <n v="0"/>
    <n v="0"/>
    <n v="0"/>
    <n v="6"/>
    <n v="85.71428571428571"/>
    <n v="7"/>
  </r>
  <r>
    <s v="UCg8fNMPdpfyWTaK4RkbHIww"/>
    <s v="UCmmMbh6_u2aj20gWrGceXqg"/>
    <s v="192, 192, 192"/>
    <n v="3"/>
    <m/>
    <n v="40"/>
    <m/>
    <m/>
    <m/>
    <m/>
    <s v="No"/>
    <n v="5"/>
    <m/>
    <m/>
    <s v="Commented Video"/>
    <x v="0"/>
    <s v="Thank you mam"/>
    <s v="UCg8fNMPdpfyWTaK4RkbHIww"/>
    <s v="Ravina Kushwah"/>
    <s v="http://www.youtube.com/channel/UCg8fNMPdpfyWTaK4RkbHIww"/>
    <m/>
    <s v="f5vABZt80AQ"/>
    <s v="https://www.youtube.com/watch?v=f5vABZt80AQ"/>
    <s v="none"/>
    <n v="1"/>
    <x v="2"/>
    <d v="2019-11-28T19:02:40.000"/>
    <m/>
    <m/>
    <s v=""/>
    <n v="1"/>
    <s v="9"/>
    <s v="9"/>
    <n v="1"/>
    <n v="33.333333333333336"/>
    <n v="0"/>
    <n v="0"/>
    <n v="0"/>
    <n v="0"/>
    <n v="2"/>
    <n v="66.66666666666667"/>
    <n v="3"/>
  </r>
  <r>
    <s v="UCECxyw41C61CP-yhmtzK02w"/>
    <s v="UCmmMbh6_u2aj20gWrGceXqg"/>
    <s v="192, 192, 192"/>
    <n v="3"/>
    <m/>
    <n v="40"/>
    <m/>
    <m/>
    <m/>
    <m/>
    <s v="No"/>
    <n v="6"/>
    <m/>
    <m/>
    <s v="Commented Video"/>
    <x v="0"/>
    <s v="Please mam... adolescence health topic ke upar bhi banaiye"/>
    <s v="UCECxyw41C61CP-yhmtzK02w"/>
    <s v="dharmendra dhakad"/>
    <s v="http://www.youtube.com/channel/UCECxyw41C61CP-yhmtzK02w"/>
    <m/>
    <s v="f5vABZt80AQ"/>
    <s v="https://www.youtube.com/watch?v=f5vABZt80AQ"/>
    <s v="none"/>
    <n v="0"/>
    <x v="3"/>
    <d v="2019-11-29T03:11:36.000"/>
    <m/>
    <m/>
    <s v=""/>
    <n v="1"/>
    <s v="9"/>
    <s v="9"/>
    <n v="0"/>
    <n v="0"/>
    <n v="0"/>
    <n v="0"/>
    <n v="0"/>
    <n v="0"/>
    <n v="9"/>
    <n v="100"/>
    <n v="9"/>
  </r>
  <r>
    <s v="UCMr9gM8IZN33Dbm1e63m28Q"/>
    <s v="UCmmMbh6_u2aj20gWrGceXqg"/>
    <s v="192, 192, 192"/>
    <n v="3"/>
    <m/>
    <n v="40"/>
    <m/>
    <m/>
    <m/>
    <m/>
    <s v="No"/>
    <n v="7"/>
    <m/>
    <m/>
    <s v="Commented Video"/>
    <x v="0"/>
    <s v="Thanks mam"/>
    <s v="UCMr9gM8IZN33Dbm1e63m28Q"/>
    <s v="Pallavi Kumari"/>
    <s v="http://www.youtube.com/channel/UCMr9gM8IZN33Dbm1e63m28Q"/>
    <m/>
    <s v="f5vABZt80AQ"/>
    <s v="https://www.youtube.com/watch?v=f5vABZt80AQ"/>
    <s v="none"/>
    <n v="2"/>
    <x v="4"/>
    <d v="2019-11-29T04:37:04.000"/>
    <m/>
    <m/>
    <s v=""/>
    <n v="1"/>
    <s v="9"/>
    <s v="9"/>
    <n v="0"/>
    <n v="0"/>
    <n v="0"/>
    <n v="0"/>
    <n v="0"/>
    <n v="0"/>
    <n v="2"/>
    <n v="100"/>
    <n v="2"/>
  </r>
  <r>
    <s v="UCPbxTWdxy1z5zqJaBynwR8Q"/>
    <s v="UCmkshF5gRU2SO2Cn41u0wOg"/>
    <s v="192, 192, 192"/>
    <n v="3"/>
    <m/>
    <n v="40"/>
    <m/>
    <m/>
    <m/>
    <m/>
    <s v="No"/>
    <n v="8"/>
    <m/>
    <m/>
    <s v="Replied Comment"/>
    <x v="1"/>
    <s v="L"/>
    <s v="UCPbxTWdxy1z5zqJaBynwR8Q"/>
    <s v="Pooja Verma"/>
    <s v="http://www.youtube.com/channel/UCPbxTWdxy1z5zqJaBynwR8Q"/>
    <s v="UgzjpZSlA6SdN90Spkt4AaABAg"/>
    <s v="f5vABZt80AQ"/>
    <s v="https://www.youtube.com/watch?v=f5vABZt80AQ"/>
    <s v="none"/>
    <n v="1"/>
    <x v="5"/>
    <d v="2021-02-14T01:58:38.000"/>
    <m/>
    <m/>
    <s v=""/>
    <n v="1"/>
    <s v="9"/>
    <s v="9"/>
    <n v="0"/>
    <n v="0"/>
    <n v="0"/>
    <n v="0"/>
    <n v="0"/>
    <n v="0"/>
    <n v="1"/>
    <n v="100"/>
    <n v="1"/>
  </r>
  <r>
    <s v="UCmkshF5gRU2SO2Cn41u0wOg"/>
    <s v="UCmmMbh6_u2aj20gWrGceXqg"/>
    <s v="192, 192, 192"/>
    <n v="3"/>
    <m/>
    <n v="40"/>
    <m/>
    <m/>
    <m/>
    <m/>
    <s v="No"/>
    <n v="9"/>
    <m/>
    <m/>
    <s v="Commented Video"/>
    <x v="0"/>
    <s v="Thanku mama"/>
    <s v="UCmkshF5gRU2SO2Cn41u0wOg"/>
    <s v="Prashant Bhargav"/>
    <s v="http://www.youtube.com/channel/UCmkshF5gRU2SO2Cn41u0wOg"/>
    <m/>
    <s v="f5vABZt80AQ"/>
    <s v="https://www.youtube.com/watch?v=f5vABZt80AQ"/>
    <s v="none"/>
    <n v="4"/>
    <x v="6"/>
    <d v="2019-11-29T07:17:38.000"/>
    <m/>
    <m/>
    <s v=""/>
    <n v="1"/>
    <s v="9"/>
    <s v="9"/>
    <n v="0"/>
    <n v="0"/>
    <n v="0"/>
    <n v="0"/>
    <n v="0"/>
    <n v="0"/>
    <n v="2"/>
    <n v="100"/>
    <n v="2"/>
  </r>
  <r>
    <s v="UCiv_m513LBuHJXotguB5f2w"/>
    <s v="UCmmMbh6_u2aj20gWrGceXqg"/>
    <s v="192, 192, 192"/>
    <n v="3"/>
    <m/>
    <n v="40"/>
    <m/>
    <m/>
    <m/>
    <m/>
    <s v="No"/>
    <n v="10"/>
    <m/>
    <m/>
    <s v="Commented Video"/>
    <x v="0"/>
    <s v="Mem gk par video bnaiye  pls"/>
    <s v="UCiv_m513LBuHJXotguB5f2w"/>
    <s v="sarita khare"/>
    <s v="http://www.youtube.com/channel/UCiv_m513LBuHJXotguB5f2w"/>
    <m/>
    <s v="f5vABZt80AQ"/>
    <s v="https://www.youtube.com/watch?v=f5vABZt80AQ"/>
    <s v="none"/>
    <n v="0"/>
    <x v="7"/>
    <d v="2019-11-29T07:24:44.000"/>
    <m/>
    <m/>
    <s v=""/>
    <n v="1"/>
    <s v="9"/>
    <s v="9"/>
    <n v="0"/>
    <n v="0"/>
    <n v="0"/>
    <n v="0"/>
    <n v="0"/>
    <n v="0"/>
    <n v="6"/>
    <n v="100"/>
    <n v="6"/>
  </r>
  <r>
    <s v="UCCS5en6PdF5csB6x3zxXVUg"/>
    <s v="UCmmMbh6_u2aj20gWrGceXqg"/>
    <s v="192, 192, 192"/>
    <n v="3"/>
    <m/>
    <n v="40"/>
    <m/>
    <m/>
    <m/>
    <m/>
    <s v="No"/>
    <n v="11"/>
    <m/>
    <m/>
    <s v="Commented Video"/>
    <x v="0"/>
    <s v="🙏🙏"/>
    <s v="UCCS5en6PdF5csB6x3zxXVUg"/>
    <s v="banwari lal"/>
    <s v="http://www.youtube.com/channel/UCCS5en6PdF5csB6x3zxXVUg"/>
    <m/>
    <s v="f5vABZt80AQ"/>
    <s v="https://www.youtube.com/watch?v=f5vABZt80AQ"/>
    <s v="none"/>
    <n v="1"/>
    <x v="8"/>
    <d v="2019-11-29T08:11:46.000"/>
    <m/>
    <m/>
    <s v=""/>
    <n v="1"/>
    <s v="9"/>
    <s v="9"/>
    <n v="0"/>
    <n v="0"/>
    <n v="0"/>
    <n v="0"/>
    <n v="0"/>
    <n v="0"/>
    <n v="0"/>
    <n v="0"/>
    <n v="0"/>
  </r>
  <r>
    <s v="UCWEIu_CbS5G5PHSBmO-xaqQ"/>
    <s v="UCmmMbh6_u2aj20gWrGceXqg"/>
    <s v="Red"/>
    <n v="10"/>
    <m/>
    <n v="15"/>
    <m/>
    <m/>
    <m/>
    <m/>
    <s v="No"/>
    <n v="12"/>
    <m/>
    <m/>
    <s v="Commented Video"/>
    <x v="0"/>
    <s v="A"/>
    <s v="UCWEIu_CbS5G5PHSBmO-xaqQ"/>
    <s v="Kalu Ram"/>
    <s v="http://www.youtube.com/channel/UCWEIu_CbS5G5PHSBmO-xaqQ"/>
    <m/>
    <s v="f5vABZt80AQ"/>
    <s v="https://www.youtube.com/watch?v=f5vABZt80AQ"/>
    <s v="none"/>
    <n v="1"/>
    <x v="9"/>
    <d v="2019-11-29T09:52:26.000"/>
    <m/>
    <m/>
    <s v=""/>
    <n v="4"/>
    <s v="9"/>
    <s v="9"/>
    <n v="0"/>
    <n v="0"/>
    <n v="0"/>
    <n v="0"/>
    <n v="0"/>
    <n v="0"/>
    <n v="1"/>
    <n v="100"/>
    <n v="1"/>
  </r>
  <r>
    <s v="UCWEIu_CbS5G5PHSBmO-xaqQ"/>
    <s v="UCmmMbh6_u2aj20gWrGceXqg"/>
    <s v="Red"/>
    <n v="10"/>
    <m/>
    <n v="15"/>
    <m/>
    <m/>
    <m/>
    <m/>
    <s v="No"/>
    <n v="13"/>
    <m/>
    <m/>
    <s v="Commented Video"/>
    <x v="0"/>
    <s v="C"/>
    <s v="UCWEIu_CbS5G5PHSBmO-xaqQ"/>
    <s v="Kalu Ram"/>
    <s v="http://www.youtube.com/channel/UCWEIu_CbS5G5PHSBmO-xaqQ"/>
    <m/>
    <s v="f5vABZt80AQ"/>
    <s v="https://www.youtube.com/watch?v=f5vABZt80AQ"/>
    <s v="none"/>
    <n v="0"/>
    <x v="10"/>
    <d v="2019-11-29T09:53:00.000"/>
    <m/>
    <m/>
    <s v=""/>
    <n v="4"/>
    <s v="9"/>
    <s v="9"/>
    <n v="0"/>
    <n v="0"/>
    <n v="0"/>
    <n v="0"/>
    <n v="0"/>
    <n v="0"/>
    <n v="1"/>
    <n v="100"/>
    <n v="1"/>
  </r>
  <r>
    <s v="UCWEIu_CbS5G5PHSBmO-xaqQ"/>
    <s v="UCmmMbh6_u2aj20gWrGceXqg"/>
    <s v="Red"/>
    <n v="10"/>
    <m/>
    <n v="15"/>
    <m/>
    <m/>
    <m/>
    <m/>
    <s v="No"/>
    <n v="14"/>
    <m/>
    <m/>
    <s v="Commented Video"/>
    <x v="0"/>
    <s v="D"/>
    <s v="UCWEIu_CbS5G5PHSBmO-xaqQ"/>
    <s v="Kalu Ram"/>
    <s v="http://www.youtube.com/channel/UCWEIu_CbS5G5PHSBmO-xaqQ"/>
    <m/>
    <s v="f5vABZt80AQ"/>
    <s v="https://www.youtube.com/watch?v=f5vABZt80AQ"/>
    <s v="none"/>
    <n v="0"/>
    <x v="11"/>
    <d v="2019-11-29T09:54:01.000"/>
    <m/>
    <m/>
    <s v=""/>
    <n v="4"/>
    <s v="9"/>
    <s v="9"/>
    <n v="0"/>
    <n v="0"/>
    <n v="0"/>
    <n v="0"/>
    <n v="0"/>
    <n v="0"/>
    <n v="1"/>
    <n v="100"/>
    <n v="1"/>
  </r>
  <r>
    <s v="UCWEIu_CbS5G5PHSBmO-xaqQ"/>
    <s v="UCmmMbh6_u2aj20gWrGceXqg"/>
    <s v="Red"/>
    <n v="10"/>
    <m/>
    <n v="15"/>
    <m/>
    <m/>
    <m/>
    <m/>
    <s v="No"/>
    <n v="15"/>
    <m/>
    <m/>
    <s v="Commented Video"/>
    <x v="0"/>
    <s v="A"/>
    <s v="UCWEIu_CbS5G5PHSBmO-xaqQ"/>
    <s v="Kalu Ram"/>
    <s v="http://www.youtube.com/channel/UCWEIu_CbS5G5PHSBmO-xaqQ"/>
    <m/>
    <s v="f5vABZt80AQ"/>
    <s v="https://www.youtube.com/watch?v=f5vABZt80AQ"/>
    <s v="none"/>
    <n v="1"/>
    <x v="12"/>
    <d v="2019-11-29T09:54:31.000"/>
    <m/>
    <m/>
    <s v=""/>
    <n v="4"/>
    <s v="9"/>
    <s v="9"/>
    <n v="0"/>
    <n v="0"/>
    <n v="0"/>
    <n v="0"/>
    <n v="0"/>
    <n v="0"/>
    <n v="1"/>
    <n v="100"/>
    <n v="1"/>
  </r>
  <r>
    <s v="UCE45HGa3YfE89GC3GI1b_nw"/>
    <s v="UCmmMbh6_u2aj20gWrGceXqg"/>
    <s v="192, 192, 192"/>
    <n v="3"/>
    <m/>
    <n v="40"/>
    <m/>
    <m/>
    <m/>
    <m/>
    <s v="No"/>
    <n v="16"/>
    <m/>
    <m/>
    <s v="Commented Video"/>
    <x v="0"/>
    <s v="Mam nutrition se related Questions....."/>
    <s v="UCE45HGa3YfE89GC3GI1b_nw"/>
    <s v="Arun Tak"/>
    <s v="http://www.youtube.com/channel/UCE45HGa3YfE89GC3GI1b_nw"/>
    <m/>
    <s v="f5vABZt80AQ"/>
    <s v="https://www.youtube.com/watch?v=f5vABZt80AQ"/>
    <s v="none"/>
    <n v="0"/>
    <x v="13"/>
    <d v="2019-11-29T14:15:27.000"/>
    <m/>
    <m/>
    <s v=""/>
    <n v="1"/>
    <s v="9"/>
    <s v="9"/>
    <n v="0"/>
    <n v="0"/>
    <n v="0"/>
    <n v="0"/>
    <n v="0"/>
    <n v="0"/>
    <n v="5"/>
    <n v="100"/>
    <n v="5"/>
  </r>
  <r>
    <s v="UCmmMbh6_u2aj20gWrGceXqg"/>
    <s v="UCQKeM6bcY1hvm4pHlUy-qLg"/>
    <s v="192, 192, 192"/>
    <n v="3"/>
    <m/>
    <n v="40"/>
    <m/>
    <m/>
    <m/>
    <m/>
    <s v="Yes"/>
    <n v="17"/>
    <m/>
    <m/>
    <s v="Replied Comment"/>
    <x v="1"/>
    <s v="Yh h please watch it&lt;a href=&quot;https://youtu.be/cRB0pNL5Lmk&quot;&gt;https://youtu.be/cRB0pNL5Lmk&lt;/a&gt;"/>
    <s v="UCmmMbh6_u2aj20gWrGceXqg"/>
    <s v="Medical &amp; Nurses Hub"/>
    <s v="http://www.youtube.com/channel/UCmmMbh6_u2aj20gWrGceXqg"/>
    <s v="UgyKKP7G4vZdsETBl614AaABAg"/>
    <s v="f5vABZt80AQ"/>
    <s v="https://www.youtube.com/watch?v=f5vABZt80AQ"/>
    <s v="none"/>
    <n v="0"/>
    <x v="14"/>
    <d v="2019-11-29T17:52:59.000"/>
    <s v=" https://youtu.be/cRB0pNL5Lmk https://youtu.be/cRB0pNL5Lmk"/>
    <s v="youtu.be youtu.be"/>
    <s v=""/>
    <n v="1"/>
    <s v="9"/>
    <s v="9"/>
    <n v="0"/>
    <n v="0"/>
    <n v="0"/>
    <n v="0"/>
    <n v="0"/>
    <n v="0"/>
    <n v="16"/>
    <n v="100"/>
    <n v="16"/>
  </r>
  <r>
    <s v="UCQKeM6bcY1hvm4pHlUy-qLg"/>
    <s v="UCmmMbh6_u2aj20gWrGceXqg"/>
    <s v="192, 192, 192"/>
    <n v="3"/>
    <m/>
    <n v="40"/>
    <m/>
    <m/>
    <m/>
    <m/>
    <s v="Yes"/>
    <n v="18"/>
    <m/>
    <m/>
    <s v="Commented Video"/>
    <x v="0"/>
    <s v="Mam plz immunoglobin p vedio bna do"/>
    <s v="UCQKeM6bcY1hvm4pHlUy-qLg"/>
    <s v="Rakhi Tiwari"/>
    <s v="http://www.youtube.com/channel/UCQKeM6bcY1hvm4pHlUy-qLg"/>
    <m/>
    <s v="f5vABZt80AQ"/>
    <s v="https://www.youtube.com/watch?v=f5vABZt80AQ"/>
    <s v="none"/>
    <n v="0"/>
    <x v="15"/>
    <d v="2019-11-29T17:25:47.000"/>
    <m/>
    <m/>
    <s v=""/>
    <n v="1"/>
    <s v="9"/>
    <s v="9"/>
    <n v="0"/>
    <n v="0"/>
    <n v="0"/>
    <n v="0"/>
    <n v="0"/>
    <n v="0"/>
    <n v="7"/>
    <n v="100"/>
    <n v="7"/>
  </r>
  <r>
    <s v="UC1Jbn83hU4aM3-nm3GGi1wg"/>
    <s v="UCmmMbh6_u2aj20gWrGceXqg"/>
    <s v="192, 192, 192"/>
    <n v="3"/>
    <m/>
    <n v="40"/>
    <m/>
    <m/>
    <m/>
    <m/>
    <s v="No"/>
    <n v="19"/>
    <m/>
    <m/>
    <s v="Commented Video"/>
    <x v="0"/>
    <s v="Hey, I am also from nursing field, I wants to discuss an idea with you, how can I contect with you ?"/>
    <s v="UC1Jbn83hU4aM3-nm3GGi1wg"/>
    <s v="Nursing Innovation HINDI"/>
    <s v="http://www.youtube.com/channel/UC1Jbn83hU4aM3-nm3GGi1wg"/>
    <m/>
    <s v="f5vABZt80AQ"/>
    <s v="https://www.youtube.com/watch?v=f5vABZt80AQ"/>
    <s v="none"/>
    <n v="2"/>
    <x v="16"/>
    <d v="2019-11-30T19:11:21.000"/>
    <m/>
    <m/>
    <s v=""/>
    <n v="1"/>
    <s v="9"/>
    <s v="9"/>
    <n v="0"/>
    <n v="0"/>
    <n v="0"/>
    <n v="0"/>
    <n v="0"/>
    <n v="0"/>
    <n v="21"/>
    <n v="100"/>
    <n v="21"/>
  </r>
  <r>
    <s v="UCSDSr4CmlzQfu2TdvE6CTGg"/>
    <s v="UCmmMbh6_u2aj20gWrGceXqg"/>
    <s v="192, 192, 192"/>
    <n v="3"/>
    <m/>
    <n v="40"/>
    <m/>
    <m/>
    <m/>
    <m/>
    <s v="No"/>
    <n v="20"/>
    <m/>
    <m/>
    <s v="Commented Video"/>
    <x v="0"/>
    <s v="Thanku mam"/>
    <s v="UCSDSr4CmlzQfu2TdvE6CTGg"/>
    <s v="Anita Chouhan"/>
    <s v="http://www.youtube.com/channel/UCSDSr4CmlzQfu2TdvE6CTGg"/>
    <m/>
    <s v="f5vABZt80AQ"/>
    <s v="https://www.youtube.com/watch?v=f5vABZt80AQ"/>
    <s v="none"/>
    <n v="0"/>
    <x v="17"/>
    <d v="2019-12-02T19:48:29.000"/>
    <m/>
    <m/>
    <s v=""/>
    <n v="1"/>
    <s v="9"/>
    <s v="9"/>
    <n v="0"/>
    <n v="0"/>
    <n v="0"/>
    <n v="0"/>
    <n v="0"/>
    <n v="0"/>
    <n v="2"/>
    <n v="100"/>
    <n v="2"/>
  </r>
  <r>
    <s v="UCF2F1awR25IW11NKzyqDLug"/>
    <s v="UCmmMbh6_u2aj20gWrGceXqg"/>
    <s v="Red"/>
    <n v="10"/>
    <m/>
    <n v="15"/>
    <m/>
    <m/>
    <m/>
    <m/>
    <s v="No"/>
    <n v="21"/>
    <m/>
    <m/>
    <s v="Commented Video"/>
    <x v="0"/>
    <s v="Thanxxxx"/>
    <s v="UCF2F1awR25IW11NKzyqDLug"/>
    <s v="Balsa Raythal Rajpurohit"/>
    <s v="http://www.youtube.com/channel/UCF2F1awR25IW11NKzyqDLug"/>
    <m/>
    <s v="f5vABZt80AQ"/>
    <s v="https://www.youtube.com/watch?v=f5vABZt80AQ"/>
    <s v="none"/>
    <n v="0"/>
    <x v="18"/>
    <d v="2019-12-04T21:11:07.000"/>
    <m/>
    <m/>
    <s v=""/>
    <n v="2"/>
    <s v="9"/>
    <s v="9"/>
    <n v="0"/>
    <n v="0"/>
    <n v="0"/>
    <n v="0"/>
    <n v="0"/>
    <n v="0"/>
    <n v="1"/>
    <n v="100"/>
    <n v="1"/>
  </r>
  <r>
    <s v="UCF2F1awR25IW11NKzyqDLug"/>
    <s v="UCmmMbh6_u2aj20gWrGceXqg"/>
    <s v="Red"/>
    <n v="10"/>
    <m/>
    <n v="15"/>
    <m/>
    <m/>
    <m/>
    <m/>
    <s v="No"/>
    <n v="22"/>
    <m/>
    <m/>
    <s v="Commented Video"/>
    <x v="0"/>
    <s v="1 mcq paper m.p. CHO ke salebus k according ho upload ....plz"/>
    <s v="UCF2F1awR25IW11NKzyqDLug"/>
    <s v="Balsa Raythal Rajpurohit"/>
    <s v="http://www.youtube.com/channel/UCF2F1awR25IW11NKzyqDLug"/>
    <m/>
    <s v="f5vABZt80AQ"/>
    <s v="https://www.youtube.com/watch?v=f5vABZt80AQ"/>
    <s v="none"/>
    <n v="1"/>
    <x v="19"/>
    <d v="2019-12-04T21:13:48.000"/>
    <m/>
    <m/>
    <s v=""/>
    <n v="2"/>
    <s v="9"/>
    <s v="9"/>
    <n v="0"/>
    <n v="0"/>
    <n v="0"/>
    <n v="0"/>
    <n v="0"/>
    <n v="0"/>
    <n v="13"/>
    <n v="100"/>
    <n v="13"/>
  </r>
  <r>
    <s v="UCs_6FjyM2UKFf8Ec6JvMhQg"/>
    <s v="UCmmMbh6_u2aj20gWrGceXqg"/>
    <s v="192, 192, 192"/>
    <n v="3"/>
    <m/>
    <n v="40"/>
    <m/>
    <m/>
    <m/>
    <m/>
    <s v="No"/>
    <n v="23"/>
    <m/>
    <m/>
    <s v="Commented Video"/>
    <x v="0"/>
    <s v="Hindi me vedio banay"/>
    <s v="UCs_6FjyM2UKFf8Ec6JvMhQg"/>
    <s v="Sangeeta Popatkar"/>
    <s v="http://www.youtube.com/channel/UCs_6FjyM2UKFf8Ec6JvMhQg"/>
    <m/>
    <s v="f5vABZt80AQ"/>
    <s v="https://www.youtube.com/watch?v=f5vABZt80AQ"/>
    <s v="none"/>
    <n v="0"/>
    <x v="20"/>
    <d v="2019-12-08T08:25:24.000"/>
    <m/>
    <m/>
    <s v=""/>
    <n v="1"/>
    <s v="9"/>
    <s v="9"/>
    <n v="0"/>
    <n v="0"/>
    <n v="0"/>
    <n v="0"/>
    <n v="0"/>
    <n v="0"/>
    <n v="4"/>
    <n v="100"/>
    <n v="4"/>
  </r>
  <r>
    <s v="UCDiv9tp_msbtpaIhI1uBh1A"/>
    <s v="UCmmMbh6_u2aj20gWrGceXqg"/>
    <s v="192, 192, 192"/>
    <n v="3"/>
    <m/>
    <n v="40"/>
    <m/>
    <m/>
    <m/>
    <m/>
    <s v="No"/>
    <n v="24"/>
    <m/>
    <m/>
    <s v="Commented Video"/>
    <x v="0"/>
    <s v="Uterine pacmaker is situated in cornua of uterus not cornea"/>
    <s v="UCDiv9tp_msbtpaIhI1uBh1A"/>
    <s v="sanghsharan sagar"/>
    <s v="http://www.youtube.com/channel/UCDiv9tp_msbtpaIhI1uBh1A"/>
    <m/>
    <s v="f5vABZt80AQ"/>
    <s v="https://www.youtube.com/watch?v=f5vABZt80AQ"/>
    <s v="none"/>
    <n v="2"/>
    <x v="21"/>
    <d v="2019-12-10T04:58:36.000"/>
    <m/>
    <m/>
    <s v=""/>
    <n v="1"/>
    <s v="9"/>
    <s v="9"/>
    <n v="0"/>
    <n v="0"/>
    <n v="0"/>
    <n v="0"/>
    <n v="0"/>
    <n v="0"/>
    <n v="10"/>
    <n v="100"/>
    <n v="10"/>
  </r>
  <r>
    <s v="UC9ZkNLtd_4RHPtMK3tmZpyA"/>
    <s v="UCmmMbh6_u2aj20gWrGceXqg"/>
    <s v="192, 192, 192"/>
    <n v="3"/>
    <m/>
    <n v="40"/>
    <m/>
    <m/>
    <m/>
    <m/>
    <s v="No"/>
    <n v="25"/>
    <m/>
    <m/>
    <s v="Commented Video"/>
    <x v="0"/>
    <s v="Thanks madam"/>
    <s v="UC9ZkNLtd_4RHPtMK3tmZpyA"/>
    <s v="GOTIREDDI RAMALAKSHMI"/>
    <s v="http://www.youtube.com/channel/UC9ZkNLtd_4RHPtMK3tmZpyA"/>
    <m/>
    <s v="f5vABZt80AQ"/>
    <s v="https://www.youtube.com/watch?v=f5vABZt80AQ"/>
    <s v="none"/>
    <n v="0"/>
    <x v="22"/>
    <d v="2019-12-27T08:22:53.000"/>
    <m/>
    <m/>
    <s v=""/>
    <n v="1"/>
    <s v="9"/>
    <s v="9"/>
    <n v="0"/>
    <n v="0"/>
    <n v="0"/>
    <n v="0"/>
    <n v="0"/>
    <n v="0"/>
    <n v="2"/>
    <n v="100"/>
    <n v="2"/>
  </r>
  <r>
    <s v="UCYw80g2XXMm9nxC55wwfVqQ"/>
    <s v="UCmmMbh6_u2aj20gWrGceXqg"/>
    <s v="192, 192, 192"/>
    <n v="3"/>
    <m/>
    <n v="40"/>
    <m/>
    <m/>
    <m/>
    <m/>
    <s v="No"/>
    <n v="26"/>
    <m/>
    <m/>
    <s v="Commented Video"/>
    <x v="0"/>
    <s v="Tqqqq....... Mem plz upload more  topics ........."/>
    <s v="UCYw80g2XXMm9nxC55wwfVqQ"/>
    <s v="manga uppada"/>
    <s v="http://www.youtube.com/channel/UCYw80g2XXMm9nxC55wwfVqQ"/>
    <m/>
    <s v="f5vABZt80AQ"/>
    <s v="https://www.youtube.com/watch?v=f5vABZt80AQ"/>
    <s v="none"/>
    <n v="0"/>
    <x v="23"/>
    <d v="2020-01-06T18:23:22.000"/>
    <m/>
    <m/>
    <s v=""/>
    <n v="1"/>
    <s v="9"/>
    <s v="9"/>
    <n v="0"/>
    <n v="0"/>
    <n v="0"/>
    <n v="0"/>
    <n v="0"/>
    <n v="0"/>
    <n v="6"/>
    <n v="100"/>
    <n v="6"/>
  </r>
  <r>
    <s v="UCqhOxD6789KcGJ6lSk-aovQ"/>
    <s v="UCmmMbh6_u2aj20gWrGceXqg"/>
    <s v="192, 192, 192"/>
    <n v="3"/>
    <m/>
    <n v="40"/>
    <m/>
    <m/>
    <m/>
    <m/>
    <s v="No"/>
    <n v="27"/>
    <m/>
    <m/>
    <s v="Commented Video"/>
    <x v="0"/>
    <s v="Nice"/>
    <s v="UCqhOxD6789KcGJ6lSk-aovQ"/>
    <s v="Devendra Hansmani"/>
    <s v="http://www.youtube.com/channel/UCqhOxD6789KcGJ6lSk-aovQ"/>
    <m/>
    <s v="f5vABZt80AQ"/>
    <s v="https://www.youtube.com/watch?v=f5vABZt80AQ"/>
    <s v="none"/>
    <n v="0"/>
    <x v="24"/>
    <d v="2020-01-27T15:32:44.000"/>
    <m/>
    <m/>
    <s v=""/>
    <n v="1"/>
    <s v="9"/>
    <s v="9"/>
    <n v="1"/>
    <n v="100"/>
    <n v="0"/>
    <n v="0"/>
    <n v="0"/>
    <n v="0"/>
    <n v="0"/>
    <n v="0"/>
    <n v="1"/>
  </r>
  <r>
    <s v="UCSdmsFGa3ZNWmfpASt-hRng"/>
    <s v="UCmmMbh6_u2aj20gWrGceXqg"/>
    <s v="192, 192, 192"/>
    <n v="3"/>
    <m/>
    <n v="40"/>
    <m/>
    <m/>
    <m/>
    <m/>
    <s v="No"/>
    <n v="28"/>
    <m/>
    <m/>
    <s v="Commented Video"/>
    <x v="0"/>
    <s v="Thanks mem"/>
    <s v="UCSdmsFGa3ZNWmfpASt-hRng"/>
    <s v="poornima rajpoot"/>
    <s v="http://www.youtube.com/channel/UCSdmsFGa3ZNWmfpASt-hRng"/>
    <m/>
    <s v="f5vABZt80AQ"/>
    <s v="https://www.youtube.com/watch?v=f5vABZt80AQ"/>
    <s v="none"/>
    <n v="0"/>
    <x v="25"/>
    <d v="2020-06-30T04:48:04.000"/>
    <m/>
    <m/>
    <s v=""/>
    <n v="1"/>
    <s v="9"/>
    <s v="9"/>
    <n v="0"/>
    <n v="0"/>
    <n v="0"/>
    <n v="0"/>
    <n v="0"/>
    <n v="0"/>
    <n v="2"/>
    <n v="100"/>
    <n v="2"/>
  </r>
  <r>
    <s v="UCL1VTD4cUl2vAw1cvOOO5iw"/>
    <s v="UCmmMbh6_u2aj20gWrGceXqg"/>
    <s v="192, 192, 192"/>
    <n v="3"/>
    <m/>
    <n v="40"/>
    <m/>
    <m/>
    <m/>
    <m/>
    <s v="No"/>
    <n v="29"/>
    <m/>
    <m/>
    <s v="Commented Video"/>
    <x v="0"/>
    <s v="Mam or question  bheje"/>
    <s v="UCL1VTD4cUl2vAw1cvOOO5iw"/>
    <s v="Rekha Verma"/>
    <s v="http://www.youtube.com/channel/UCL1VTD4cUl2vAw1cvOOO5iw"/>
    <m/>
    <s v="f5vABZt80AQ"/>
    <s v="https://www.youtube.com/watch?v=f5vABZt80AQ"/>
    <s v="none"/>
    <n v="0"/>
    <x v="26"/>
    <d v="2020-09-24T14:21:09.000"/>
    <m/>
    <m/>
    <s v=""/>
    <n v="1"/>
    <s v="9"/>
    <s v="9"/>
    <n v="0"/>
    <n v="0"/>
    <n v="0"/>
    <n v="0"/>
    <n v="0"/>
    <n v="0"/>
    <n v="4"/>
    <n v="100"/>
    <n v="4"/>
  </r>
  <r>
    <s v="UCp9Jrlj2dgFXMyo5xMA3QQA"/>
    <s v="UCmmMbh6_u2aj20gWrGceXqg"/>
    <s v="192, 192, 192"/>
    <n v="3"/>
    <m/>
    <n v="40"/>
    <m/>
    <m/>
    <m/>
    <m/>
    <s v="No"/>
    <n v="30"/>
    <m/>
    <m/>
    <s v="Commented Video"/>
    <x v="0"/>
    <s v="Thank you mam useful question"/>
    <s v="UCp9Jrlj2dgFXMyo5xMA3QQA"/>
    <s v="Rajni Yogi"/>
    <s v="http://www.youtube.com/channel/UCp9Jrlj2dgFXMyo5xMA3QQA"/>
    <m/>
    <s v="f5vABZt80AQ"/>
    <s v="https://www.youtube.com/watch?v=f5vABZt80AQ"/>
    <s v="none"/>
    <n v="0"/>
    <x v="27"/>
    <d v="2020-09-27T20:26:11.000"/>
    <m/>
    <m/>
    <s v=""/>
    <n v="1"/>
    <s v="9"/>
    <s v="9"/>
    <n v="2"/>
    <n v="40"/>
    <n v="0"/>
    <n v="0"/>
    <n v="0"/>
    <n v="0"/>
    <n v="3"/>
    <n v="60"/>
    <n v="5"/>
  </r>
  <r>
    <s v="UC8o2WZrbBgyYAKQCgfEzF_w"/>
    <s v="UCmmMbh6_u2aj20gWrGceXqg"/>
    <s v="192, 192, 192"/>
    <n v="3"/>
    <m/>
    <n v="40"/>
    <m/>
    <m/>
    <m/>
    <m/>
    <s v="No"/>
    <n v="31"/>
    <m/>
    <m/>
    <s v="Commented Video"/>
    <x v="0"/>
    <s v="Thank you mem"/>
    <s v="UC8o2WZrbBgyYAKQCgfEzF_w"/>
    <s v="krash Sharma"/>
    <s v="http://www.youtube.com/channel/UC8o2WZrbBgyYAKQCgfEzF_w"/>
    <m/>
    <s v="f5vABZt80AQ"/>
    <s v="https://www.youtube.com/watch?v=f5vABZt80AQ"/>
    <s v="none"/>
    <n v="0"/>
    <x v="28"/>
    <d v="2020-10-10T14:31:24.000"/>
    <m/>
    <m/>
    <s v=""/>
    <n v="1"/>
    <s v="9"/>
    <s v="9"/>
    <n v="1"/>
    <n v="33.333333333333336"/>
    <n v="0"/>
    <n v="0"/>
    <n v="0"/>
    <n v="0"/>
    <n v="2"/>
    <n v="66.66666666666667"/>
    <n v="3"/>
  </r>
  <r>
    <s v="UCuTYjCMs0KegX5xrv-0tjJQ"/>
    <s v="UCmmMbh6_u2aj20gWrGceXqg"/>
    <s v="192, 192, 192"/>
    <n v="3"/>
    <m/>
    <n v="40"/>
    <m/>
    <m/>
    <m/>
    <m/>
    <s v="No"/>
    <n v="32"/>
    <m/>
    <m/>
    <s v="Commented Video"/>
    <x v="0"/>
    <s v="Thanks mam❤️"/>
    <s v="UCuTYjCMs0KegX5xrv-0tjJQ"/>
    <s v="MANOJ JATAV"/>
    <s v="http://www.youtube.com/channel/UCuTYjCMs0KegX5xrv-0tjJQ"/>
    <m/>
    <s v="f5vABZt80AQ"/>
    <s v="https://www.youtube.com/watch?v=f5vABZt80AQ"/>
    <s v="none"/>
    <n v="0"/>
    <x v="29"/>
    <d v="2021-06-07T16:54:13.000"/>
    <m/>
    <m/>
    <s v=""/>
    <n v="1"/>
    <s v="9"/>
    <s v="9"/>
    <n v="0"/>
    <n v="0"/>
    <n v="0"/>
    <n v="0"/>
    <n v="0"/>
    <n v="0"/>
    <n v="2"/>
    <n v="100"/>
    <n v="2"/>
  </r>
  <r>
    <s v="UCq9sUq7pKOLECILFy7pFbuw"/>
    <s v="UCGqabAVv0SRD_SjtodhQPTQ"/>
    <s v="192, 192, 192"/>
    <n v="3"/>
    <m/>
    <n v="40"/>
    <m/>
    <m/>
    <m/>
    <m/>
    <s v="No"/>
    <n v="33"/>
    <m/>
    <m/>
    <s v="Commented Video"/>
    <x v="0"/>
    <s v="THANK YOU SO SO SO MUCH YOU&amp;#39;RE AMAZING THIS HELPED ME SO MUCH THANK YOUUUUUUUUUUUU"/>
    <s v="UCq9sUq7pKOLECILFy7pFbuw"/>
    <s v="Maheen Shahzad"/>
    <s v="http://www.youtube.com/channel/UCq9sUq7pKOLECILFy7pFbuw"/>
    <m/>
    <s v="A1MrJb2pXgA"/>
    <s v="https://www.youtube.com/watch?v=A1MrJb2pXgA"/>
    <s v="none"/>
    <n v="3"/>
    <x v="30"/>
    <d v="2018-05-16T21:32:47.000"/>
    <m/>
    <m/>
    <s v=""/>
    <n v="1"/>
    <s v="24"/>
    <s v="24"/>
    <n v="4"/>
    <n v="23.529411764705884"/>
    <n v="0"/>
    <n v="0"/>
    <n v="0"/>
    <n v="0"/>
    <n v="13"/>
    <n v="76.47058823529412"/>
    <n v="17"/>
  </r>
  <r>
    <s v="UCYF_cZa5umMhfurNbMM-1eA"/>
    <s v="UC04e1vy95lGjggcYbwgbOfw"/>
    <s v="192, 192, 192"/>
    <n v="3"/>
    <m/>
    <n v="40"/>
    <m/>
    <m/>
    <m/>
    <m/>
    <s v="No"/>
    <n v="34"/>
    <m/>
    <m/>
    <s v="Commented Video"/>
    <x v="0"/>
    <s v="Thanks sir 👏🙏👏😍👏"/>
    <s v="UCYF_cZa5umMhfurNbMM-1eA"/>
    <s v="LAXMIKANT SHARMA"/>
    <s v="http://www.youtube.com/channel/UCYF_cZa5umMhfurNbMM-1eA"/>
    <m/>
    <s v="ggOqMncgemw"/>
    <s v="https://www.youtube.com/watch?v=ggOqMncgemw"/>
    <s v="none"/>
    <n v="1"/>
    <x v="31"/>
    <d v="2019-09-11T09:09:29.000"/>
    <m/>
    <m/>
    <s v=""/>
    <n v="1"/>
    <s v="6"/>
    <s v="6"/>
    <n v="0"/>
    <n v="0"/>
    <n v="0"/>
    <n v="0"/>
    <n v="0"/>
    <n v="0"/>
    <n v="2"/>
    <n v="100"/>
    <n v="2"/>
  </r>
  <r>
    <s v="UCGImaUpKw6xjuB_WhtzsEWQ"/>
    <s v="UC04e1vy95lGjggcYbwgbOfw"/>
    <s v="192, 192, 192"/>
    <n v="3"/>
    <m/>
    <n v="40"/>
    <m/>
    <m/>
    <m/>
    <m/>
    <s v="No"/>
    <n v="35"/>
    <m/>
    <m/>
    <s v="Commented Video"/>
    <x v="0"/>
    <s v="..👍👍👍😊😊👍👍👍😊😊👍👍👍😊😊😊"/>
    <s v="UCGImaUpKw6xjuB_WhtzsEWQ"/>
    <s v="Sakshi soni"/>
    <s v="http://www.youtube.com/channel/UCGImaUpKw6xjuB_WhtzsEWQ"/>
    <m/>
    <s v="ggOqMncgemw"/>
    <s v="https://www.youtube.com/watch?v=ggOqMncgemw"/>
    <s v="none"/>
    <n v="2"/>
    <x v="32"/>
    <d v="2020-01-28T18:13:42.000"/>
    <m/>
    <m/>
    <s v=""/>
    <n v="1"/>
    <s v="6"/>
    <s v="6"/>
    <n v="0"/>
    <n v="0"/>
    <n v="0"/>
    <n v="0"/>
    <n v="0"/>
    <n v="0"/>
    <n v="0"/>
    <n v="0"/>
    <n v="0"/>
  </r>
  <r>
    <s v="UCyQj-gFcpG1NwOPoHvg1Big"/>
    <s v="UC04e1vy95lGjggcYbwgbOfw"/>
    <s v="192, 192, 192"/>
    <n v="3"/>
    <m/>
    <n v="40"/>
    <m/>
    <m/>
    <m/>
    <m/>
    <s v="No"/>
    <n v="36"/>
    <m/>
    <m/>
    <s v="Commented Video"/>
    <x v="0"/>
    <s v="Thnq sir"/>
    <s v="UCyQj-gFcpG1NwOPoHvg1Big"/>
    <s v="Mahi Pandey"/>
    <s v="http://www.youtube.com/channel/UCyQj-gFcpG1NwOPoHvg1Big"/>
    <m/>
    <s v="ggOqMncgemw"/>
    <s v="https://www.youtube.com/watch?v=ggOqMncgemw"/>
    <s v="none"/>
    <n v="1"/>
    <x v="33"/>
    <d v="2020-02-16T04:10:26.000"/>
    <m/>
    <m/>
    <s v=""/>
    <n v="1"/>
    <s v="6"/>
    <s v="6"/>
    <n v="0"/>
    <n v="0"/>
    <n v="0"/>
    <n v="0"/>
    <n v="0"/>
    <n v="0"/>
    <n v="2"/>
    <n v="100"/>
    <n v="2"/>
  </r>
  <r>
    <s v="UCSmTWaprDRVLkw6btjGCe_Q"/>
    <s v="UC04e1vy95lGjggcYbwgbOfw"/>
    <s v="192, 192, 192"/>
    <n v="3"/>
    <m/>
    <n v="40"/>
    <m/>
    <m/>
    <m/>
    <m/>
    <s v="No"/>
    <n v="37"/>
    <m/>
    <m/>
    <s v="Commented Video"/>
    <x v="0"/>
    <s v="Sir ji thank you 😷😷😷   कोरोना का भय"/>
    <s v="UCSmTWaprDRVLkw6btjGCe_Q"/>
    <s v="Afsar Khan"/>
    <s v="http://www.youtube.com/channel/UCSmTWaprDRVLkw6btjGCe_Q"/>
    <m/>
    <s v="ggOqMncgemw"/>
    <s v="https://www.youtube.com/watch?v=ggOqMncgemw"/>
    <s v="none"/>
    <n v="2"/>
    <x v="34"/>
    <d v="2020-03-22T08:33:48.000"/>
    <m/>
    <m/>
    <s v=""/>
    <n v="1"/>
    <s v="6"/>
    <s v="6"/>
    <n v="1"/>
    <n v="11.11111111111111"/>
    <n v="0"/>
    <n v="0"/>
    <n v="0"/>
    <n v="0"/>
    <n v="8"/>
    <n v="88.88888888888889"/>
    <n v="9"/>
  </r>
  <r>
    <s v="UCCupaZozpHYhmG8HZ31dxag"/>
    <s v="UC04e1vy95lGjggcYbwgbOfw"/>
    <s v="192, 192, 192"/>
    <n v="3"/>
    <m/>
    <n v="40"/>
    <m/>
    <m/>
    <m/>
    <m/>
    <s v="No"/>
    <n v="38"/>
    <m/>
    <m/>
    <s v="Commented Video"/>
    <x v="0"/>
    <s v="Hindi medium  ka apna mhanayk .salute you dear sir🙏🙏🙏🙏🙏🙏👌👌👌👌👌👌👌👌👌👌"/>
    <s v="UCCupaZozpHYhmG8HZ31dxag"/>
    <s v="j PANDEY"/>
    <s v="http://www.youtube.com/channel/UCCupaZozpHYhmG8HZ31dxag"/>
    <m/>
    <s v="ggOqMncgemw"/>
    <s v="https://www.youtube.com/watch?v=ggOqMncgemw"/>
    <s v="none"/>
    <n v="1"/>
    <x v="35"/>
    <d v="2020-05-11T19:57:20.000"/>
    <m/>
    <m/>
    <s v=""/>
    <n v="1"/>
    <s v="6"/>
    <s v="6"/>
    <n v="1"/>
    <n v="11.11111111111111"/>
    <n v="0"/>
    <n v="0"/>
    <n v="0"/>
    <n v="0"/>
    <n v="8"/>
    <n v="88.88888888888889"/>
    <n v="9"/>
  </r>
  <r>
    <s v="UCq0RNNBZe955RDZ807o4TFA"/>
    <s v="UC04e1vy95lGjggcYbwgbOfw"/>
    <s v="192, 192, 192"/>
    <n v="3"/>
    <m/>
    <n v="40"/>
    <m/>
    <m/>
    <m/>
    <m/>
    <s v="No"/>
    <n v="39"/>
    <m/>
    <m/>
    <s v="Commented Video"/>
    <x v="0"/>
    <s v="Thanks sir"/>
    <s v="UCq0RNNBZe955RDZ807o4TFA"/>
    <s v="INFO OF DEMON INDIAN"/>
    <s v="http://www.youtube.com/channel/UCq0RNNBZe955RDZ807o4TFA"/>
    <m/>
    <s v="ggOqMncgemw"/>
    <s v="https://www.youtube.com/watch?v=ggOqMncgemw"/>
    <s v="none"/>
    <n v="1"/>
    <x v="36"/>
    <d v="2020-06-29T17:04:40.000"/>
    <m/>
    <m/>
    <s v=""/>
    <n v="1"/>
    <s v="6"/>
    <s v="6"/>
    <n v="0"/>
    <n v="0"/>
    <n v="0"/>
    <n v="0"/>
    <n v="0"/>
    <n v="0"/>
    <n v="2"/>
    <n v="100"/>
    <n v="2"/>
  </r>
  <r>
    <s v="UCo-OrwyKkRJYqX44Ep2s9Tg"/>
    <s v="UC-vqDFZg2NHjXoMUPH8RM0g"/>
    <s v="192, 192, 192"/>
    <n v="3"/>
    <m/>
    <n v="40"/>
    <m/>
    <m/>
    <m/>
    <m/>
    <s v="No"/>
    <n v="40"/>
    <m/>
    <m/>
    <s v="Replied Comment"/>
    <x v="1"/>
    <s v="Kuki yeh book ma diya hua ha😅😅"/>
    <s v="UCo-OrwyKkRJYqX44Ep2s9Tg"/>
    <s v="Kavita Phought"/>
    <s v="http://www.youtube.com/channel/UCo-OrwyKkRJYqX44Ep2s9Tg"/>
    <s v="UgwWi-QY08i0IdE7mfl4AaABAg"/>
    <s v="ggOqMncgemw"/>
    <s v="https://www.youtube.com/watch?v=ggOqMncgemw"/>
    <s v="none"/>
    <n v="1"/>
    <x v="37"/>
    <d v="2021-01-03T09:59:31.000"/>
    <m/>
    <m/>
    <s v=""/>
    <n v="1"/>
    <s v="6"/>
    <s v="6"/>
    <n v="0"/>
    <n v="0"/>
    <n v="0"/>
    <n v="0"/>
    <n v="0"/>
    <n v="0"/>
    <n v="7"/>
    <n v="100"/>
    <n v="7"/>
  </r>
  <r>
    <s v="UC-vqDFZg2NHjXoMUPH8RM0g"/>
    <s v="UC04e1vy95lGjggcYbwgbOfw"/>
    <s v="192, 192, 192"/>
    <n v="3"/>
    <m/>
    <n v="40"/>
    <m/>
    <m/>
    <m/>
    <m/>
    <s v="No"/>
    <n v="41"/>
    <m/>
    <m/>
    <s v="Commented Video"/>
    <x v="0"/>
    <s v="Sir malaria ar dengue to failta ni h to ye communicable desease m kaise aayega?"/>
    <s v="UC-vqDFZg2NHjXoMUPH8RM0g"/>
    <s v="work hard"/>
    <s v="http://www.youtube.com/channel/UC-vqDFZg2NHjXoMUPH8RM0g"/>
    <m/>
    <s v="ggOqMncgemw"/>
    <s v="https://www.youtube.com/watch?v=ggOqMncgemw"/>
    <s v="none"/>
    <n v="1"/>
    <x v="38"/>
    <d v="2020-07-20T08:07:38.000"/>
    <m/>
    <m/>
    <s v=""/>
    <n v="1"/>
    <s v="6"/>
    <s v="6"/>
    <n v="0"/>
    <n v="0"/>
    <n v="0"/>
    <n v="0"/>
    <n v="0"/>
    <n v="0"/>
    <n v="15"/>
    <n v="100"/>
    <n v="15"/>
  </r>
  <r>
    <s v="UC5hQmzesQ1Fv6y9dtc3cR2Q"/>
    <s v="UC04e1vy95lGjggcYbwgbOfw"/>
    <s v="192, 192, 192"/>
    <n v="3"/>
    <m/>
    <n v="40"/>
    <m/>
    <m/>
    <m/>
    <m/>
    <s v="No"/>
    <n v="42"/>
    <m/>
    <m/>
    <s v="Commented Video"/>
    <x v="0"/>
    <s v="Bahut mast explain krte h  mujhe  to banking exam ka study krna nhi to inhee  se    pura plus course  ke saath study krte.,"/>
    <s v="UC5hQmzesQ1Fv6y9dtc3cR2Q"/>
    <s v="Anushree Upadhyay"/>
    <s v="http://www.youtube.com/channel/UC5hQmzesQ1Fv6y9dtc3cR2Q"/>
    <m/>
    <s v="ggOqMncgemw"/>
    <s v="https://www.youtube.com/watch?v=ggOqMncgemw"/>
    <s v="none"/>
    <n v="0"/>
    <x v="39"/>
    <d v="2020-07-23T15:17:09.000"/>
    <m/>
    <m/>
    <s v=""/>
    <n v="1"/>
    <s v="6"/>
    <s v="6"/>
    <n v="0"/>
    <n v="0"/>
    <n v="0"/>
    <n v="0"/>
    <n v="0"/>
    <n v="0"/>
    <n v="23"/>
    <n v="100"/>
    <n v="23"/>
  </r>
  <r>
    <s v="UC7mSYrGLJ10bGDewX51CMNQ"/>
    <s v="UC04e1vy95lGjggcYbwgbOfw"/>
    <s v="192, 192, 192"/>
    <n v="3"/>
    <m/>
    <n v="40"/>
    <m/>
    <m/>
    <m/>
    <m/>
    <s v="No"/>
    <n v="43"/>
    <m/>
    <m/>
    <s v="Commented Video"/>
    <x v="0"/>
    <s v="Itne faltu ki baat kyu karte ho"/>
    <s v="UC7mSYrGLJ10bGDewX51CMNQ"/>
    <s v="ashish das"/>
    <s v="http://www.youtube.com/channel/UC7mSYrGLJ10bGDewX51CMNQ"/>
    <m/>
    <s v="ggOqMncgemw"/>
    <s v="https://www.youtube.com/watch?v=ggOqMncgemw"/>
    <s v="none"/>
    <n v="1"/>
    <x v="40"/>
    <d v="2020-08-12T18:57:06.000"/>
    <m/>
    <m/>
    <s v=""/>
    <n v="1"/>
    <s v="6"/>
    <s v="6"/>
    <n v="0"/>
    <n v="0"/>
    <n v="0"/>
    <n v="0"/>
    <n v="0"/>
    <n v="0"/>
    <n v="7"/>
    <n v="100"/>
    <n v="7"/>
  </r>
  <r>
    <s v="UCV9zUot2FXwMhXpf_mCXfLA"/>
    <s v="UC04e1vy95lGjggcYbwgbOfw"/>
    <s v="192, 192, 192"/>
    <n v="3"/>
    <m/>
    <n v="40"/>
    <m/>
    <m/>
    <m/>
    <m/>
    <s v="No"/>
    <n v="44"/>
    <m/>
    <m/>
    <s v="Commented Video"/>
    <x v="0"/>
    <s v="Sir please tell that which mosquito bites and we infected"/>
    <s v="UCV9zUot2FXwMhXpf_mCXfLA"/>
    <s v="Geeta Asati"/>
    <s v="http://www.youtube.com/channel/UCV9zUot2FXwMhXpf_mCXfLA"/>
    <m/>
    <s v="ggOqMncgemw"/>
    <s v="https://www.youtube.com/watch?v=ggOqMncgemw"/>
    <s v="none"/>
    <n v="1"/>
    <x v="41"/>
    <d v="2020-08-19T07:13:05.000"/>
    <m/>
    <m/>
    <s v=""/>
    <n v="1"/>
    <s v="6"/>
    <s v="6"/>
    <n v="0"/>
    <n v="0"/>
    <n v="1"/>
    <n v="10"/>
    <n v="0"/>
    <n v="0"/>
    <n v="9"/>
    <n v="90"/>
    <n v="10"/>
  </r>
  <r>
    <s v="UCrKVp1JUCrPxeErnkBi_gwg"/>
    <s v="UCEnMPIukh-2_fr6WKr-uIEQ"/>
    <s v="192, 192, 192"/>
    <n v="3"/>
    <m/>
    <n v="40"/>
    <m/>
    <m/>
    <m/>
    <m/>
    <s v="No"/>
    <n v="45"/>
    <m/>
    <m/>
    <s v="Replied Comment"/>
    <x v="1"/>
    <s v="Thankyou 😂"/>
    <s v="UCrKVp1JUCrPxeErnkBi_gwg"/>
    <s v="shivanya  yaduvanshi😍"/>
    <s v="http://www.youtube.com/channel/UCrKVp1JUCrPxeErnkBi_gwg"/>
    <s v="Ugx6OgeYoQHKRKa-Qn94AaABAg"/>
    <s v="ggOqMncgemw"/>
    <s v="https://www.youtube.com/watch?v=ggOqMncgemw"/>
    <s v="none"/>
    <n v="0"/>
    <x v="42"/>
    <d v="2021-05-23T12:18:55.000"/>
    <m/>
    <m/>
    <s v=""/>
    <n v="1"/>
    <s v="6"/>
    <s v="6"/>
    <n v="0"/>
    <n v="0"/>
    <n v="0"/>
    <n v="0"/>
    <n v="0"/>
    <n v="0"/>
    <n v="1"/>
    <n v="100"/>
    <n v="1"/>
  </r>
  <r>
    <s v="UCEnMPIukh-2_fr6WKr-uIEQ"/>
    <s v="UC04e1vy95lGjggcYbwgbOfw"/>
    <s v="192, 192, 192"/>
    <n v="3"/>
    <m/>
    <n v="40"/>
    <m/>
    <m/>
    <m/>
    <m/>
    <s v="No"/>
    <n v="46"/>
    <m/>
    <m/>
    <s v="Commented Video"/>
    <x v="0"/>
    <s v="Starts at &lt;a href=&quot;https://www.youtube.com/watch?v=ggOqMncgemw&amp;amp;t=13m25s&quot;&gt;13:25&lt;/a&gt;"/>
    <s v="UCEnMPIukh-2_fr6WKr-uIEQ"/>
    <s v="Dr. Goswami"/>
    <s v="http://www.youtube.com/channel/UCEnMPIukh-2_fr6WKr-uIEQ"/>
    <m/>
    <s v="ggOqMncgemw"/>
    <s v="https://www.youtube.com/watch?v=ggOqMncgemw"/>
    <s v="none"/>
    <n v="7"/>
    <x v="43"/>
    <d v="2020-08-20T01:20:21.000"/>
    <s v=" https://www.youtube.com/watch?v=ggOqMncgemw&amp;amp;t=13m25s"/>
    <s v="youtube.com"/>
    <s v=""/>
    <n v="1"/>
    <s v="6"/>
    <s v="6"/>
    <n v="0"/>
    <n v="0"/>
    <n v="0"/>
    <n v="0"/>
    <n v="0"/>
    <n v="0"/>
    <n v="17"/>
    <n v="100"/>
    <n v="17"/>
  </r>
  <r>
    <s v="UCzE45SQ5TZPTsrUDeAO3-uA"/>
    <s v="UC04e1vy95lGjggcYbwgbOfw"/>
    <s v="192, 192, 192"/>
    <n v="3"/>
    <m/>
    <n v="40"/>
    <m/>
    <m/>
    <m/>
    <m/>
    <s v="No"/>
    <n v="47"/>
    <m/>
    <m/>
    <s v="Commented Video"/>
    <x v="0"/>
    <s v="I just saw this video for quick revision but there is lot of terminology error ... Like in meningitis... It all scripted kind not knowledge"/>
    <s v="UCzE45SQ5TZPTsrUDeAO3-uA"/>
    <s v="ANJALI SINGH"/>
    <s v="http://www.youtube.com/channel/UCzE45SQ5TZPTsrUDeAO3-uA"/>
    <m/>
    <s v="ggOqMncgemw"/>
    <s v="https://www.youtube.com/watch?v=ggOqMncgemw"/>
    <s v="none"/>
    <n v="0"/>
    <x v="44"/>
    <d v="2020-09-11T22:12:45.000"/>
    <m/>
    <m/>
    <s v=""/>
    <n v="1"/>
    <s v="6"/>
    <s v="6"/>
    <n v="1"/>
    <n v="4.166666666666667"/>
    <n v="1"/>
    <n v="4.166666666666667"/>
    <n v="0"/>
    <n v="0"/>
    <n v="22"/>
    <n v="91.66666666666667"/>
    <n v="24"/>
  </r>
  <r>
    <s v="UC5W6WNCv9bCcVuPxP9Pi5eA"/>
    <s v="UC04e1vy95lGjggcYbwgbOfw"/>
    <s v="192, 192, 192"/>
    <n v="3"/>
    <m/>
    <n v="40"/>
    <m/>
    <m/>
    <m/>
    <m/>
    <s v="No"/>
    <n v="48"/>
    <m/>
    <m/>
    <s v="Commented Video"/>
    <x v="0"/>
    <s v="Good teaching"/>
    <s v="UC5W6WNCv9bCcVuPxP9Pi5eA"/>
    <s v="Gayatri Nagar"/>
    <s v="http://www.youtube.com/channel/UC5W6WNCv9bCcVuPxP9Pi5eA"/>
    <m/>
    <s v="ggOqMncgemw"/>
    <s v="https://www.youtube.com/watch?v=ggOqMncgemw"/>
    <s v="none"/>
    <n v="1"/>
    <x v="45"/>
    <d v="2020-10-08T08:31:30.000"/>
    <m/>
    <m/>
    <s v=""/>
    <n v="1"/>
    <s v="6"/>
    <s v="6"/>
    <n v="1"/>
    <n v="50"/>
    <n v="0"/>
    <n v="0"/>
    <n v="0"/>
    <n v="0"/>
    <n v="1"/>
    <n v="50"/>
    <n v="2"/>
  </r>
  <r>
    <s v="UCT4BT7IzxI6WhH6ga32D0AA"/>
    <s v="UC04e1vy95lGjggcYbwgbOfw"/>
    <s v="192, 192, 192"/>
    <n v="3"/>
    <m/>
    <n v="40"/>
    <m/>
    <m/>
    <m/>
    <m/>
    <s v="No"/>
    <n v="49"/>
    <m/>
    <m/>
    <s v="Commented Video"/>
    <x v="0"/>
    <s v="Yeh padha raha h yaa ad kar raha h ,priyal ma&amp;#39;am acha padhati h ,unacedemy &amp;#39;ki subscription kisi k kaam ayi es vaar upsc mein"/>
    <s v="UCT4BT7IzxI6WhH6ga32D0AA"/>
    <s v="Gian Chand"/>
    <s v="http://www.youtube.com/channel/UCT4BT7IzxI6WhH6ga32D0AA"/>
    <m/>
    <s v="ggOqMncgemw"/>
    <s v="https://www.youtube.com/watch?v=ggOqMncgemw"/>
    <s v="none"/>
    <n v="0"/>
    <x v="46"/>
    <d v="2020-11-11T07:47:08.000"/>
    <m/>
    <m/>
    <s v=""/>
    <n v="1"/>
    <s v="6"/>
    <s v="6"/>
    <n v="0"/>
    <n v="0"/>
    <n v="0"/>
    <n v="0"/>
    <n v="0"/>
    <n v="0"/>
    <n v="28"/>
    <n v="100"/>
    <n v="28"/>
  </r>
  <r>
    <s v="UCXwH9WULW-ZTkmtuLdSNLiA"/>
    <s v="UC04e1vy95lGjggcYbwgbOfw"/>
    <s v="192, 192, 192"/>
    <n v="3"/>
    <m/>
    <n v="40"/>
    <m/>
    <m/>
    <m/>
    <m/>
    <s v="No"/>
    <n v="50"/>
    <m/>
    <m/>
    <s v="Commented Video"/>
    <x v="0"/>
    <s v="very nice"/>
    <s v="UCXwH9WULW-ZTkmtuLdSNLiA"/>
    <s v="Umesh Chandra"/>
    <s v="http://www.youtube.com/channel/UCXwH9WULW-ZTkmtuLdSNLiA"/>
    <m/>
    <s v="ggOqMncgemw"/>
    <s v="https://www.youtube.com/watch?v=ggOqMncgemw"/>
    <s v="none"/>
    <n v="1"/>
    <x v="47"/>
    <d v="2020-12-24T17:11:22.000"/>
    <m/>
    <m/>
    <s v=""/>
    <n v="1"/>
    <s v="6"/>
    <s v="6"/>
    <n v="1"/>
    <n v="50"/>
    <n v="0"/>
    <n v="0"/>
    <n v="0"/>
    <n v="0"/>
    <n v="1"/>
    <n v="50"/>
    <n v="2"/>
  </r>
  <r>
    <s v="UCo-OrwyKkRJYqX44Ep2s9Tg"/>
    <s v="UC04e1vy95lGjggcYbwgbOfw"/>
    <s v="192, 192, 192"/>
    <n v="3"/>
    <m/>
    <n v="40"/>
    <m/>
    <m/>
    <m/>
    <m/>
    <s v="No"/>
    <n v="51"/>
    <m/>
    <m/>
    <s v="Commented Video"/>
    <x v="0"/>
    <s v="One thing I notice, all the important topics are in class 10th physical education..."/>
    <s v="UCo-OrwyKkRJYqX44Ep2s9Tg"/>
    <s v="Kavita Phought"/>
    <s v="http://www.youtube.com/channel/UCo-OrwyKkRJYqX44Ep2s9Tg"/>
    <m/>
    <s v="ggOqMncgemw"/>
    <s v="https://www.youtube.com/watch?v=ggOqMncgemw"/>
    <s v="none"/>
    <n v="0"/>
    <x v="48"/>
    <d v="2021-01-03T10:04:27.000"/>
    <m/>
    <m/>
    <s v=""/>
    <n v="1"/>
    <s v="6"/>
    <s v="6"/>
    <n v="1"/>
    <n v="7.142857142857143"/>
    <n v="0"/>
    <n v="0"/>
    <n v="0"/>
    <n v="0"/>
    <n v="13"/>
    <n v="92.85714285714286"/>
    <n v="14"/>
  </r>
  <r>
    <s v="UCUDSOXPIsHHXL-EEaCIDKBg"/>
    <s v="UC04e1vy95lGjggcYbwgbOfw"/>
    <s v="192, 192, 192"/>
    <n v="3"/>
    <m/>
    <n v="40"/>
    <m/>
    <m/>
    <m/>
    <m/>
    <s v="No"/>
    <n v="52"/>
    <m/>
    <m/>
    <s v="Commented Video"/>
    <x v="0"/>
    <s v="Nice"/>
    <s v="UCUDSOXPIsHHXL-EEaCIDKBg"/>
    <s v="Aarti Pilaniya"/>
    <s v="http://www.youtube.com/channel/UCUDSOXPIsHHXL-EEaCIDKBg"/>
    <m/>
    <s v="ggOqMncgemw"/>
    <s v="https://www.youtube.com/watch?v=ggOqMncgemw"/>
    <s v="none"/>
    <n v="0"/>
    <x v="49"/>
    <d v="2021-01-20T05:41:40.000"/>
    <m/>
    <m/>
    <s v=""/>
    <n v="1"/>
    <s v="6"/>
    <s v="6"/>
    <n v="1"/>
    <n v="100"/>
    <n v="0"/>
    <n v="0"/>
    <n v="0"/>
    <n v="0"/>
    <n v="0"/>
    <n v="0"/>
    <n v="1"/>
  </r>
  <r>
    <s v="UCAI-AnI40vDGPZubkywkEaQ"/>
    <s v="UC04e1vy95lGjggcYbwgbOfw"/>
    <s v="192, 192, 192"/>
    <n v="3"/>
    <m/>
    <n v="40"/>
    <m/>
    <m/>
    <m/>
    <m/>
    <s v="No"/>
    <n v="53"/>
    <m/>
    <m/>
    <s v="Commented Video"/>
    <x v="0"/>
    <s v="I m not understanding hindi a little bit"/>
    <s v="UCAI-AnI40vDGPZubkywkEaQ"/>
    <s v="Bilal Ahmad"/>
    <s v="http://www.youtube.com/channel/UCAI-AnI40vDGPZubkywkEaQ"/>
    <m/>
    <s v="ggOqMncgemw"/>
    <s v="https://www.youtube.com/watch?v=ggOqMncgemw"/>
    <s v="none"/>
    <n v="1"/>
    <x v="50"/>
    <d v="2021-01-29T17:45:53.000"/>
    <m/>
    <m/>
    <s v=""/>
    <n v="1"/>
    <s v="6"/>
    <s v="6"/>
    <n v="0"/>
    <n v="0"/>
    <n v="0"/>
    <n v="0"/>
    <n v="0"/>
    <n v="0"/>
    <n v="8"/>
    <n v="100"/>
    <n v="8"/>
  </r>
  <r>
    <s v="UCTN22SieDcp5m3-HcQIbHGA"/>
    <s v="UC04e1vy95lGjggcYbwgbOfw"/>
    <s v="192, 192, 192"/>
    <n v="3"/>
    <m/>
    <n v="40"/>
    <m/>
    <m/>
    <m/>
    <m/>
    <s v="No"/>
    <n v="54"/>
    <m/>
    <m/>
    <s v="Commented Video"/>
    <x v="0"/>
    <s v="Hello"/>
    <s v="UCTN22SieDcp5m3-HcQIbHGA"/>
    <s v="Anju Pal"/>
    <s v="http://www.youtube.com/channel/UCTN22SieDcp5m3-HcQIbHGA"/>
    <m/>
    <s v="ggOqMncgemw"/>
    <s v="https://www.youtube.com/watch?v=ggOqMncgemw"/>
    <s v="none"/>
    <n v="0"/>
    <x v="51"/>
    <d v="2021-02-28T17:51:26.000"/>
    <m/>
    <m/>
    <s v=""/>
    <n v="1"/>
    <s v="6"/>
    <s v="6"/>
    <n v="0"/>
    <n v="0"/>
    <n v="0"/>
    <n v="0"/>
    <n v="0"/>
    <n v="0"/>
    <n v="1"/>
    <n v="100"/>
    <n v="1"/>
  </r>
  <r>
    <s v="UCcd2GcYNu_n7ibQIAdq1ySA"/>
    <s v="UC04e1vy95lGjggcYbwgbOfw"/>
    <s v="192, 192, 192"/>
    <n v="3"/>
    <m/>
    <n v="40"/>
    <m/>
    <m/>
    <m/>
    <m/>
    <s v="No"/>
    <n v="55"/>
    <m/>
    <m/>
    <s v="Commented Video"/>
    <x v="0"/>
    <s v="Sir Hindi k saath English ka use b krna tha"/>
    <s v="UCcd2GcYNu_n7ibQIAdq1ySA"/>
    <s v="Khushboo Skindar"/>
    <s v="http://www.youtube.com/channel/UCcd2GcYNu_n7ibQIAdq1ySA"/>
    <m/>
    <s v="ggOqMncgemw"/>
    <s v="https://www.youtube.com/watch?v=ggOqMncgemw"/>
    <s v="none"/>
    <n v="0"/>
    <x v="52"/>
    <d v="2021-04-08T05:25:20.000"/>
    <m/>
    <m/>
    <s v=""/>
    <n v="1"/>
    <s v="6"/>
    <s v="6"/>
    <n v="0"/>
    <n v="0"/>
    <n v="0"/>
    <n v="0"/>
    <n v="0"/>
    <n v="0"/>
    <n v="10"/>
    <n v="100"/>
    <n v="10"/>
  </r>
  <r>
    <s v="UCj5snfisk52ZiIiADGqPKWg"/>
    <s v="UC04e1vy95lGjggcYbwgbOfw"/>
    <s v="192, 192, 192"/>
    <n v="3"/>
    <m/>
    <n v="40"/>
    <m/>
    <m/>
    <m/>
    <m/>
    <s v="No"/>
    <n v="56"/>
    <m/>
    <m/>
    <s v="Commented Video"/>
    <x v="0"/>
    <s v="Sir g savi rogo ke Dawa ke bare me janne ke liye koi book ka name btaiye"/>
    <s v="UCj5snfisk52ZiIiADGqPKWg"/>
    <s v="UPENDRA KUMAR"/>
    <s v="http://www.youtube.com/channel/UCj5snfisk52ZiIiADGqPKWg"/>
    <m/>
    <s v="HeOcduRiqyw"/>
    <s v="https://www.youtube.com/watch?v=HeOcduRiqyw"/>
    <s v="none"/>
    <n v="1"/>
    <x v="53"/>
    <d v="2019-09-13T12:33:22.000"/>
    <m/>
    <m/>
    <s v=""/>
    <n v="1"/>
    <s v="6"/>
    <s v="6"/>
    <n v="0"/>
    <n v="0"/>
    <n v="0"/>
    <n v="0"/>
    <n v="0"/>
    <n v="0"/>
    <n v="17"/>
    <n v="100"/>
    <n v="17"/>
  </r>
  <r>
    <s v="UCoFfJgEEMYLWWUkitmc4qWw"/>
    <s v="UC04e1vy95lGjggcYbwgbOfw"/>
    <s v="192, 192, 192"/>
    <n v="3"/>
    <m/>
    <n v="40"/>
    <m/>
    <m/>
    <m/>
    <m/>
    <s v="No"/>
    <n v="57"/>
    <m/>
    <m/>
    <s v="Commented Video"/>
    <x v="0"/>
    <s v="great sir"/>
    <s v="UCoFfJgEEMYLWWUkitmc4qWw"/>
    <s v="CHHAGAN LAL"/>
    <s v="http://www.youtube.com/channel/UCoFfJgEEMYLWWUkitmc4qWw"/>
    <m/>
    <s v="HeOcduRiqyw"/>
    <s v="https://www.youtube.com/watch?v=HeOcduRiqyw"/>
    <s v="none"/>
    <n v="1"/>
    <x v="54"/>
    <d v="2019-09-13T17:25:28.000"/>
    <m/>
    <m/>
    <s v=""/>
    <n v="1"/>
    <s v="6"/>
    <s v="6"/>
    <n v="1"/>
    <n v="50"/>
    <n v="0"/>
    <n v="0"/>
    <n v="0"/>
    <n v="0"/>
    <n v="1"/>
    <n v="50"/>
    <n v="2"/>
  </r>
  <r>
    <s v="UCLhVgpWa8lCp2nS3QWg7hUg"/>
    <s v="UC04e1vy95lGjggcYbwgbOfw"/>
    <s v="192, 192, 192"/>
    <n v="3"/>
    <m/>
    <n v="40"/>
    <m/>
    <m/>
    <m/>
    <m/>
    <s v="No"/>
    <n v="58"/>
    <m/>
    <m/>
    <s v="Commented Video"/>
    <x v="0"/>
    <s v="Great lecture sir"/>
    <s v="UCLhVgpWa8lCp2nS3QWg7hUg"/>
    <s v="Jk Ydv"/>
    <s v="http://www.youtube.com/channel/UCLhVgpWa8lCp2nS3QWg7hUg"/>
    <m/>
    <s v="HeOcduRiqyw"/>
    <s v="https://www.youtube.com/watch?v=HeOcduRiqyw"/>
    <s v="none"/>
    <n v="0"/>
    <x v="55"/>
    <d v="2019-11-29T10:52:13.000"/>
    <m/>
    <m/>
    <s v=""/>
    <n v="1"/>
    <s v="6"/>
    <s v="6"/>
    <n v="1"/>
    <n v="33.333333333333336"/>
    <n v="0"/>
    <n v="0"/>
    <n v="0"/>
    <n v="0"/>
    <n v="2"/>
    <n v="66.66666666666667"/>
    <n v="3"/>
  </r>
  <r>
    <s v="UCLDIAVidJKT_P0hmLl_FTjQ"/>
    <s v="UC04e1vy95lGjggcYbwgbOfw"/>
    <s v="192, 192, 192"/>
    <n v="3"/>
    <m/>
    <n v="40"/>
    <m/>
    <m/>
    <m/>
    <m/>
    <s v="No"/>
    <n v="59"/>
    <m/>
    <m/>
    <s v="Commented Video"/>
    <x v="0"/>
    <s v="Thanks sir"/>
    <s v="UCLDIAVidJKT_P0hmLl_FTjQ"/>
    <s v="Vijay vankar"/>
    <s v="http://www.youtube.com/channel/UCLDIAVidJKT_P0hmLl_FTjQ"/>
    <m/>
    <s v="HeOcduRiqyw"/>
    <s v="https://www.youtube.com/watch?v=HeOcduRiqyw"/>
    <s v="none"/>
    <n v="0"/>
    <x v="56"/>
    <d v="2020-02-16T18:34:42.000"/>
    <m/>
    <m/>
    <s v=""/>
    <n v="1"/>
    <s v="6"/>
    <s v="6"/>
    <n v="0"/>
    <n v="0"/>
    <n v="0"/>
    <n v="0"/>
    <n v="0"/>
    <n v="0"/>
    <n v="2"/>
    <n v="100"/>
    <n v="2"/>
  </r>
  <r>
    <s v="UCDmdHkPKAJXcbU5LHMfGt-w"/>
    <s v="UC04e1vy95lGjggcYbwgbOfw"/>
    <s v="192, 192, 192"/>
    <n v="3"/>
    <m/>
    <n v="40"/>
    <m/>
    <m/>
    <m/>
    <m/>
    <s v="No"/>
    <n v="60"/>
    <m/>
    <m/>
    <s v="Commented Video"/>
    <x v="0"/>
    <s v="Shandar sir"/>
    <s v="UCDmdHkPKAJXcbU5LHMfGt-w"/>
    <s v="Ravindra Chouhan"/>
    <s v="http://www.youtube.com/channel/UCDmdHkPKAJXcbU5LHMfGt-w"/>
    <m/>
    <s v="HeOcduRiqyw"/>
    <s v="https://www.youtube.com/watch?v=HeOcduRiqyw"/>
    <s v="none"/>
    <n v="0"/>
    <x v="57"/>
    <d v="2020-03-10T03:29:03.000"/>
    <m/>
    <m/>
    <s v=""/>
    <n v="1"/>
    <s v="6"/>
    <s v="6"/>
    <n v="0"/>
    <n v="0"/>
    <n v="0"/>
    <n v="0"/>
    <n v="0"/>
    <n v="0"/>
    <n v="2"/>
    <n v="100"/>
    <n v="2"/>
  </r>
  <r>
    <s v="UC6ttFk4vCfkPUbeU2eEjiXg"/>
    <s v="UC04e1vy95lGjggcYbwgbOfw"/>
    <s v="192, 192, 192"/>
    <n v="3"/>
    <m/>
    <n v="40"/>
    <m/>
    <m/>
    <m/>
    <m/>
    <s v="No"/>
    <n v="61"/>
    <m/>
    <m/>
    <s v="Commented Video"/>
    <x v="0"/>
    <s v="Half hour tho bkwas kr li aapne suru me"/>
    <s v="UC6ttFk4vCfkPUbeU2eEjiXg"/>
    <s v="Rewat Singh"/>
    <s v="http://www.youtube.com/channel/UC6ttFk4vCfkPUbeU2eEjiXg"/>
    <m/>
    <s v="HeOcduRiqyw"/>
    <s v="https://www.youtube.com/watch?v=HeOcduRiqyw"/>
    <s v="none"/>
    <n v="4"/>
    <x v="58"/>
    <d v="2020-04-06T14:11:57.000"/>
    <m/>
    <m/>
    <s v=""/>
    <n v="1"/>
    <s v="6"/>
    <s v="6"/>
    <n v="0"/>
    <n v="0"/>
    <n v="0"/>
    <n v="0"/>
    <n v="0"/>
    <n v="0"/>
    <n v="9"/>
    <n v="100"/>
    <n v="9"/>
  </r>
  <r>
    <s v="UC9oS5EybP3wJiFN56fnrJcw"/>
    <s v="UC04e1vy95lGjggcYbwgbOfw"/>
    <s v="192, 192, 192"/>
    <n v="3"/>
    <m/>
    <n v="40"/>
    <m/>
    <m/>
    <m/>
    <m/>
    <s v="No"/>
    <n v="62"/>
    <m/>
    <m/>
    <s v="Commented Video"/>
    <x v="0"/>
    <s v="Thank you aap ki series best hai"/>
    <s v="UC9oS5EybP3wJiFN56fnrJcw"/>
    <s v="shraddha pathak"/>
    <s v="http://www.youtube.com/channel/UC9oS5EybP3wJiFN56fnrJcw"/>
    <m/>
    <s v="HeOcduRiqyw"/>
    <s v="https://www.youtube.com/watch?v=HeOcduRiqyw"/>
    <s v="none"/>
    <n v="0"/>
    <x v="59"/>
    <d v="2020-07-05T10:49:37.000"/>
    <m/>
    <m/>
    <s v=""/>
    <n v="1"/>
    <s v="6"/>
    <s v="6"/>
    <n v="2"/>
    <n v="28.571428571428573"/>
    <n v="0"/>
    <n v="0"/>
    <n v="0"/>
    <n v="0"/>
    <n v="5"/>
    <n v="71.42857142857143"/>
    <n v="7"/>
  </r>
  <r>
    <s v="UCkjCRdjjNJOna_mCd6P7Zpw"/>
    <s v="UC04e1vy95lGjggcYbwgbOfw"/>
    <s v="192, 192, 192"/>
    <n v="3"/>
    <m/>
    <n v="40"/>
    <m/>
    <m/>
    <m/>
    <m/>
    <s v="No"/>
    <n v="63"/>
    <m/>
    <m/>
    <s v="Commented Video"/>
    <x v="0"/>
    <s v="Hlo Sir &lt;br&gt;Sir diabetes wale patient ko to bhookh jyada lagti h or aap kh rhe ho ki km lagti h so confused sir"/>
    <s v="UCkjCRdjjNJOna_mCd6P7Zpw"/>
    <s v="Ritu Verma"/>
    <s v="http://www.youtube.com/channel/UCkjCRdjjNJOna_mCd6P7Zpw"/>
    <m/>
    <s v="HeOcduRiqyw"/>
    <s v="https://www.youtube.com/watch?v=HeOcduRiqyw"/>
    <s v="none"/>
    <n v="0"/>
    <x v="60"/>
    <d v="2020-09-18T08:05:39.000"/>
    <m/>
    <m/>
    <s v=""/>
    <n v="1"/>
    <s v="6"/>
    <s v="6"/>
    <n v="1"/>
    <n v="4"/>
    <n v="1"/>
    <n v="4"/>
    <n v="0"/>
    <n v="0"/>
    <n v="23"/>
    <n v="92"/>
    <n v="25"/>
  </r>
  <r>
    <s v="UC_Y_86BAtwlLH75k1z7QVmA"/>
    <s v="UC04e1vy95lGjggcYbwgbOfw"/>
    <s v="192, 192, 192"/>
    <n v="3"/>
    <m/>
    <n v="40"/>
    <m/>
    <m/>
    <m/>
    <m/>
    <s v="No"/>
    <n v="64"/>
    <m/>
    <m/>
    <s v="Commented Video"/>
    <x v="0"/>
    <s v="Very very thanku to you sir"/>
    <s v="UC_Y_86BAtwlLH75k1z7QVmA"/>
    <s v="ANKIT kumar"/>
    <s v="http://www.youtube.com/channel/UC_Y_86BAtwlLH75k1z7QVmA"/>
    <m/>
    <s v="HeOcduRiqyw"/>
    <s v="https://www.youtube.com/watch?v=HeOcduRiqyw"/>
    <s v="none"/>
    <n v="0"/>
    <x v="61"/>
    <d v="2020-10-08T15:28:45.000"/>
    <m/>
    <m/>
    <s v=""/>
    <n v="1"/>
    <s v="6"/>
    <s v="6"/>
    <n v="0"/>
    <n v="0"/>
    <n v="0"/>
    <n v="0"/>
    <n v="0"/>
    <n v="0"/>
    <n v="6"/>
    <n v="100"/>
    <n v="6"/>
  </r>
  <r>
    <s v="UCmpeF05gyl2aq-ptkasSa7w"/>
    <s v="UC04e1vy95lGjggcYbwgbOfw"/>
    <s v="192, 192, 192"/>
    <n v="3"/>
    <m/>
    <n v="40"/>
    <m/>
    <m/>
    <m/>
    <m/>
    <s v="No"/>
    <n v="65"/>
    <m/>
    <m/>
    <s v="Commented Video"/>
    <x v="0"/>
    <s v="Jay johar"/>
    <s v="UCmpeF05gyl2aq-ptkasSa7w"/>
    <s v="Johar Health"/>
    <s v="http://www.youtube.com/channel/UCmpeF05gyl2aq-ptkasSa7w"/>
    <m/>
    <s v="HeOcduRiqyw"/>
    <s v="https://www.youtube.com/watch?v=HeOcduRiqyw"/>
    <s v="none"/>
    <n v="1"/>
    <x v="62"/>
    <d v="2020-10-11T19:30:52.000"/>
    <m/>
    <m/>
    <s v=""/>
    <n v="1"/>
    <s v="6"/>
    <s v="6"/>
    <n v="0"/>
    <n v="0"/>
    <n v="0"/>
    <n v="0"/>
    <n v="0"/>
    <n v="0"/>
    <n v="2"/>
    <n v="100"/>
    <n v="2"/>
  </r>
  <r>
    <s v="UCOfVfWf8jMT4ouAJeEJ-K1Q"/>
    <s v="UC04e1vy95lGjggcYbwgbOfw"/>
    <s v="Red"/>
    <n v="10"/>
    <m/>
    <n v="15"/>
    <m/>
    <m/>
    <m/>
    <m/>
    <s v="No"/>
    <n v="66"/>
    <m/>
    <m/>
    <s v="Commented Video"/>
    <x v="0"/>
    <s v="Helpful video 👌🏻👌🏻👌🏻👌🏻👌🏻👌🏻👌🏻👌🏻👌🏻👌🏻👌🏻"/>
    <s v="UCOfVfWf8jMT4ouAJeEJ-K1Q"/>
    <s v="Daily Need Store"/>
    <s v="http://www.youtube.com/channel/UCOfVfWf8jMT4ouAJeEJ-K1Q"/>
    <m/>
    <s v="ggOqMncgemw"/>
    <s v="https://www.youtube.com/watch?v=ggOqMncgemw"/>
    <s v="none"/>
    <n v="0"/>
    <x v="63"/>
    <d v="2020-11-07T13:09:22.000"/>
    <m/>
    <m/>
    <s v=""/>
    <n v="2"/>
    <s v="6"/>
    <s v="6"/>
    <n v="1"/>
    <n v="50"/>
    <n v="0"/>
    <n v="0"/>
    <n v="0"/>
    <n v="0"/>
    <n v="1"/>
    <n v="50"/>
    <n v="2"/>
  </r>
  <r>
    <s v="UCOfVfWf8jMT4ouAJeEJ-K1Q"/>
    <s v="UC04e1vy95lGjggcYbwgbOfw"/>
    <s v="Red"/>
    <n v="10"/>
    <m/>
    <n v="15"/>
    <m/>
    <m/>
    <m/>
    <m/>
    <s v="No"/>
    <n v="67"/>
    <m/>
    <m/>
    <s v="Commented Video"/>
    <x v="0"/>
    <s v="Helpful video 👌🏻👌🏻👌🏻👌🏻👌🏻👌🏻👌🏻👌🏻👌🏻"/>
    <s v="UCOfVfWf8jMT4ouAJeEJ-K1Q"/>
    <s v="Daily Need Store"/>
    <s v="http://www.youtube.com/channel/UCOfVfWf8jMT4ouAJeEJ-K1Q"/>
    <m/>
    <s v="HeOcduRiqyw"/>
    <s v="https://www.youtube.com/watch?v=HeOcduRiqyw"/>
    <s v="none"/>
    <n v="0"/>
    <x v="64"/>
    <d v="2020-11-07T12:52:55.000"/>
    <m/>
    <m/>
    <s v=""/>
    <n v="2"/>
    <s v="6"/>
    <s v="6"/>
    <n v="1"/>
    <n v="50"/>
    <n v="0"/>
    <n v="0"/>
    <n v="0"/>
    <n v="0"/>
    <n v="1"/>
    <n v="50"/>
    <n v="2"/>
  </r>
  <r>
    <s v="UCmUFhJtrl73v6pSC9_aiHWw"/>
    <s v="UC04e1vy95lGjggcYbwgbOfw"/>
    <s v="192, 192, 192"/>
    <n v="3"/>
    <m/>
    <n v="40"/>
    <m/>
    <m/>
    <m/>
    <m/>
    <s v="No"/>
    <n v="68"/>
    <m/>
    <m/>
    <s v="Commented Video"/>
    <x v="0"/>
    <s v="starts at &lt;a href=&quot;https://www.youtube.com/watch?v=HeOcduRiqyw&amp;amp;t=12m40s&quot;&gt;12:40&lt;/a&gt;"/>
    <s v="UCmUFhJtrl73v6pSC9_aiHWw"/>
    <s v="Warrior"/>
    <s v="http://www.youtube.com/channel/UCmUFhJtrl73v6pSC9_aiHWw"/>
    <m/>
    <s v="HeOcduRiqyw"/>
    <s v="https://www.youtube.com/watch?v=HeOcduRiqyw"/>
    <s v="none"/>
    <n v="0"/>
    <x v="65"/>
    <d v="2021-04-24T07:42:24.000"/>
    <s v=" https://www.youtube.com/watch?v=HeOcduRiqyw&amp;amp;t=12m40s"/>
    <s v="youtube.com"/>
    <s v=""/>
    <n v="1"/>
    <s v="6"/>
    <s v="6"/>
    <n v="0"/>
    <n v="0"/>
    <n v="0"/>
    <n v="0"/>
    <n v="0"/>
    <n v="0"/>
    <n v="17"/>
    <n v="100"/>
    <n v="17"/>
  </r>
  <r>
    <s v="UC6VRkxwooMQZLgKrbCW_FSA"/>
    <s v="UC5VEXHfh6kXP2d8EkFx16sw"/>
    <s v="192, 192, 192"/>
    <n v="3"/>
    <m/>
    <n v="40"/>
    <m/>
    <m/>
    <m/>
    <m/>
    <s v="No"/>
    <n v="69"/>
    <m/>
    <m/>
    <s v="Commented Video"/>
    <x v="0"/>
    <s v="Oooowow"/>
    <s v="UC6VRkxwooMQZLgKrbCW_FSA"/>
    <s v="BOOKS STUDIO"/>
    <s v="http://www.youtube.com/channel/UC6VRkxwooMQZLgKrbCW_FSA"/>
    <m/>
    <s v="LBkXQ_mBO3Q"/>
    <s v="https://www.youtube.com/watch?v=LBkXQ_mBO3Q"/>
    <s v="none"/>
    <n v="3"/>
    <x v="66"/>
    <d v="2020-01-17T09:03:23.000"/>
    <m/>
    <m/>
    <s v=""/>
    <n v="1"/>
    <s v="3"/>
    <s v="3"/>
    <n v="0"/>
    <n v="0"/>
    <n v="0"/>
    <n v="0"/>
    <n v="0"/>
    <n v="0"/>
    <n v="1"/>
    <n v="100"/>
    <n v="1"/>
  </r>
  <r>
    <s v="UCo08T_MPUyNbixbGtoQ3Rlw"/>
    <s v="UCwxpRcCsoT-kG0kw9PQIetg"/>
    <s v="192, 192, 192"/>
    <n v="3"/>
    <m/>
    <n v="40"/>
    <m/>
    <m/>
    <m/>
    <m/>
    <s v="No"/>
    <n v="70"/>
    <m/>
    <m/>
    <s v="Replied Comment"/>
    <x v="1"/>
    <s v="Yeh"/>
    <s v="UCo08T_MPUyNbixbGtoQ3Rlw"/>
    <s v="sarath ram"/>
    <s v="http://www.youtube.com/channel/UCo08T_MPUyNbixbGtoQ3Rlw"/>
    <s v="UgyMEtWjEXsHBq6xZJh4AaABAg"/>
    <s v="LBkXQ_mBO3Q"/>
    <s v="https://www.youtube.com/watch?v=LBkXQ_mBO3Q"/>
    <s v="none"/>
    <n v="0"/>
    <x v="67"/>
    <d v="2020-08-03T16:53:34.000"/>
    <m/>
    <m/>
    <s v=""/>
    <n v="1"/>
    <s v="3"/>
    <s v="3"/>
    <n v="0"/>
    <n v="0"/>
    <n v="0"/>
    <n v="0"/>
    <n v="0"/>
    <n v="0"/>
    <n v="1"/>
    <n v="100"/>
    <n v="1"/>
  </r>
  <r>
    <s v="UCwxpRcCsoT-kG0kw9PQIetg"/>
    <s v="UC5VEXHfh6kXP2d8EkFx16sw"/>
    <s v="192, 192, 192"/>
    <n v="3"/>
    <m/>
    <n v="40"/>
    <m/>
    <m/>
    <m/>
    <m/>
    <s v="No"/>
    <n v="71"/>
    <m/>
    <m/>
    <s v="Commented Video"/>
    <x v="0"/>
    <s v="simple and easily understandable even to kids"/>
    <s v="UCwxpRcCsoT-kG0kw9PQIetg"/>
    <s v="sunny prakash"/>
    <s v="http://www.youtube.com/channel/UCwxpRcCsoT-kG0kw9PQIetg"/>
    <m/>
    <s v="LBkXQ_mBO3Q"/>
    <s v="https://www.youtube.com/watch?v=LBkXQ_mBO3Q"/>
    <s v="none"/>
    <n v="12"/>
    <x v="68"/>
    <d v="2020-02-25T17:41:30.000"/>
    <m/>
    <m/>
    <s v=""/>
    <n v="1"/>
    <s v="3"/>
    <s v="3"/>
    <n v="1"/>
    <n v="14.285714285714286"/>
    <n v="0"/>
    <n v="0"/>
    <n v="0"/>
    <n v="0"/>
    <n v="6"/>
    <n v="85.71428571428571"/>
    <n v="7"/>
  </r>
  <r>
    <s v="UC1puFizBB5Q0oC9N2w_gBgg"/>
    <s v="UC5VEXHfh6kXP2d8EkFx16sw"/>
    <s v="192, 192, 192"/>
    <n v="3"/>
    <m/>
    <n v="40"/>
    <m/>
    <m/>
    <m/>
    <m/>
    <s v="No"/>
    <n v="72"/>
    <m/>
    <m/>
    <s v="Commented Video"/>
    <x v="0"/>
    <s v="Where can we download the graphics?"/>
    <s v="UC1puFizBB5Q0oC9N2w_gBgg"/>
    <s v="Kiev Barcelo"/>
    <s v="http://www.youtube.com/channel/UC1puFizBB5Q0oC9N2w_gBgg"/>
    <m/>
    <s v="LBkXQ_mBO3Q"/>
    <s v="https://www.youtube.com/watch?v=LBkXQ_mBO3Q"/>
    <s v="none"/>
    <n v="4"/>
    <x v="69"/>
    <d v="2020-03-09T06:20:10.000"/>
    <m/>
    <m/>
    <s v=""/>
    <n v="1"/>
    <s v="3"/>
    <s v="3"/>
    <n v="0"/>
    <n v="0"/>
    <n v="0"/>
    <n v="0"/>
    <n v="0"/>
    <n v="0"/>
    <n v="6"/>
    <n v="100"/>
    <n v="6"/>
  </r>
  <r>
    <s v="UCuORhab6yzFvslf7K4hf-JA"/>
    <s v="UC2n-crjvBxftpzxRnMeX3aQ"/>
    <s v="192, 192, 192"/>
    <n v="3"/>
    <m/>
    <n v="40"/>
    <m/>
    <m/>
    <m/>
    <m/>
    <s v="No"/>
    <n v="73"/>
    <m/>
    <m/>
    <s v="Replied Comment"/>
    <x v="1"/>
    <s v="Thanks"/>
    <s v="UCuORhab6yzFvslf7K4hf-JA"/>
    <s v="The Dumb Vlogs"/>
    <s v="http://www.youtube.com/channel/UCuORhab6yzFvslf7K4hf-JA"/>
    <s v="UgyKNKxf2-fz8kF_8NV4AaABAg"/>
    <s v="LBkXQ_mBO3Q"/>
    <s v="https://www.youtube.com/watch?v=LBkXQ_mBO3Q"/>
    <s v="none"/>
    <n v="1"/>
    <x v="70"/>
    <d v="2020-05-04T22:50:55.000"/>
    <m/>
    <m/>
    <s v=""/>
    <n v="1"/>
    <s v="3"/>
    <s v="3"/>
    <n v="0"/>
    <n v="0"/>
    <n v="0"/>
    <n v="0"/>
    <n v="0"/>
    <n v="0"/>
    <n v="1"/>
    <n v="100"/>
    <n v="1"/>
  </r>
  <r>
    <s v="UCTVBReUiRCcbH515R0A3H5g"/>
    <s v="UC2n-crjvBxftpzxRnMeX3aQ"/>
    <s v="192, 192, 192"/>
    <n v="3"/>
    <m/>
    <n v="40"/>
    <m/>
    <m/>
    <m/>
    <m/>
    <s v="No"/>
    <n v="74"/>
    <m/>
    <m/>
    <s v="Replied Comment"/>
    <x v="1"/>
    <s v="Ty"/>
    <s v="UCTVBReUiRCcbH515R0A3H5g"/>
    <s v="iihy drox"/>
    <s v="http://www.youtube.com/channel/UCTVBReUiRCcbH515R0A3H5g"/>
    <s v="UgyKNKxf2-fz8kF_8NV4AaABAg"/>
    <s v="LBkXQ_mBO3Q"/>
    <s v="https://www.youtube.com/watch?v=LBkXQ_mBO3Q"/>
    <s v="none"/>
    <n v="1"/>
    <x v="71"/>
    <d v="2020-06-16T15:58:22.000"/>
    <m/>
    <m/>
    <s v=""/>
    <n v="1"/>
    <s v="3"/>
    <s v="3"/>
    <n v="0"/>
    <n v="0"/>
    <n v="0"/>
    <n v="0"/>
    <n v="0"/>
    <n v="0"/>
    <n v="1"/>
    <n v="100"/>
    <n v="1"/>
  </r>
  <r>
    <s v="UC2n-crjvBxftpzxRnMeX3aQ"/>
    <s v="UC2n-crjvBxftpzxRnMeX3aQ"/>
    <s v="192, 192, 192"/>
    <n v="3"/>
    <m/>
    <n v="40"/>
    <m/>
    <m/>
    <m/>
    <m/>
    <s v="No"/>
    <n v="75"/>
    <m/>
    <m/>
    <s v="Replied Comment"/>
    <x v="1"/>
    <s v="#2 is at &lt;a href=&quot;https://www.youtube.com/watch?v=LBkXQ_mBO3Q&amp;amp;t=1m05s&quot;&gt;1:05&lt;/a&gt;"/>
    <s v="UC2n-crjvBxftpzxRnMeX3aQ"/>
    <s v="Keegan Paugh"/>
    <s v="http://www.youtube.com/channel/UC2n-crjvBxftpzxRnMeX3aQ"/>
    <s v="UgyKNKxf2-fz8kF_8NV4AaABAg"/>
    <s v="LBkXQ_mBO3Q"/>
    <s v="https://www.youtube.com/watch?v=LBkXQ_mBO3Q"/>
    <s v="none"/>
    <n v="1"/>
    <x v="72"/>
    <d v="2020-03-10T14:24:15.000"/>
    <s v=" https://www.youtube.com/watch?v=LBkXQ_mBO3Q&amp;amp;t=1m05s"/>
    <s v="youtube.com"/>
    <s v=""/>
    <n v="1"/>
    <s v="3"/>
    <s v="3"/>
    <n v="0"/>
    <n v="0"/>
    <n v="0"/>
    <n v="0"/>
    <n v="0"/>
    <n v="0"/>
    <n v="18"/>
    <n v="100"/>
    <n v="18"/>
  </r>
  <r>
    <s v="UC2n-crjvBxftpzxRnMeX3aQ"/>
    <s v="UC5VEXHfh6kXP2d8EkFx16sw"/>
    <s v="192, 192, 192"/>
    <n v="3"/>
    <m/>
    <n v="40"/>
    <m/>
    <m/>
    <m/>
    <m/>
    <s v="No"/>
    <n v="76"/>
    <m/>
    <m/>
    <s v="Commented Video"/>
    <x v="0"/>
    <s v="If ur in Mrs zotters class reading this #1 is at &lt;a href=&quot;https://www.youtube.com/watch?v=LBkXQ_mBO3Q&amp;amp;t=0m50s&quot;&gt;0:50&lt;/a&gt;"/>
    <s v="UC2n-crjvBxftpzxRnMeX3aQ"/>
    <s v="Keegan Paugh"/>
    <s v="http://www.youtube.com/channel/UC2n-crjvBxftpzxRnMeX3aQ"/>
    <m/>
    <s v="LBkXQ_mBO3Q"/>
    <s v="https://www.youtube.com/watch?v=LBkXQ_mBO3Q"/>
    <s v="none"/>
    <n v="5"/>
    <x v="73"/>
    <d v="2020-03-10T14:23:17.000"/>
    <s v=" https://www.youtube.com/watch?v=LBkXQ_mBO3Q&amp;amp;t=0m50s"/>
    <s v="youtube.com"/>
    <s v=""/>
    <n v="1"/>
    <s v="3"/>
    <s v="3"/>
    <n v="0"/>
    <n v="0"/>
    <n v="0"/>
    <n v="0"/>
    <n v="0"/>
    <n v="0"/>
    <n v="26"/>
    <n v="100"/>
    <n v="26"/>
  </r>
  <r>
    <s v="UCnTRh4faSwpb4I1Ll1-0bxQ"/>
    <s v="UC5VEXHfh6kXP2d8EkFx16sw"/>
    <s v="192, 192, 192"/>
    <n v="3"/>
    <m/>
    <n v="40"/>
    <m/>
    <m/>
    <m/>
    <m/>
    <s v="No"/>
    <n v="77"/>
    <m/>
    <m/>
    <s v="Commented Video"/>
    <x v="0"/>
    <s v="What about Solid O2 Hyperbaric oxygen treatments and chambers for immune boosting and infection prevention. See &lt;a href=&quot;http://solido2.co.za/&quot;&gt;solido2.co.za&lt;/a&gt;"/>
    <s v="UCnTRh4faSwpb4I1Ll1-0bxQ"/>
    <s v="Solid O2"/>
    <s v="http://www.youtube.com/channel/UCnTRh4faSwpb4I1Ll1-0bxQ"/>
    <m/>
    <s v="LBkXQ_mBO3Q"/>
    <s v="https://www.youtube.com/watch?v=LBkXQ_mBO3Q"/>
    <s v="none"/>
    <n v="1"/>
    <x v="74"/>
    <d v="2020-03-15T14:51:34.000"/>
    <s v=" http://solido2.co.za/"/>
    <s v="co.za"/>
    <s v=""/>
    <n v="1"/>
    <s v="3"/>
    <s v="3"/>
    <n v="1"/>
    <n v="3.8461538461538463"/>
    <n v="1"/>
    <n v="3.8461538461538463"/>
    <n v="0"/>
    <n v="0"/>
    <n v="24"/>
    <n v="92.3076923076923"/>
    <n v="26"/>
  </r>
  <r>
    <s v="UCOhfuwekGSzur00a544CcKQ"/>
    <s v="UC5E4J1Vfn-v9KQDKVi4yp2g"/>
    <s v="192, 192, 192"/>
    <n v="3"/>
    <m/>
    <n v="40"/>
    <m/>
    <m/>
    <m/>
    <m/>
    <s v="No"/>
    <n v="78"/>
    <m/>
    <m/>
    <s v="Replied Comment"/>
    <x v="1"/>
    <s v="ماذا؟"/>
    <s v="UCOhfuwekGSzur00a544CcKQ"/>
    <s v="VJT Enterprise"/>
    <s v="http://www.youtube.com/channel/UCOhfuwekGSzur00a544CcKQ"/>
    <s v="Ugy4IEb8ecFYvewXaWl4AaABAg"/>
    <s v="LBkXQ_mBO3Q"/>
    <s v="https://www.youtube.com/watch?v=LBkXQ_mBO3Q"/>
    <s v="none"/>
    <n v="0"/>
    <x v="75"/>
    <d v="2020-07-26T08:09:54.000"/>
    <m/>
    <m/>
    <s v=""/>
    <n v="1"/>
    <s v="3"/>
    <s v="3"/>
    <n v="0"/>
    <n v="0"/>
    <n v="0"/>
    <n v="0"/>
    <n v="0"/>
    <n v="0"/>
    <n v="1"/>
    <n v="100"/>
    <n v="1"/>
  </r>
  <r>
    <s v="UC5E4J1Vfn-v9KQDKVi4yp2g"/>
    <s v="UC5VEXHfh6kXP2d8EkFx16sw"/>
    <s v="192, 192, 192"/>
    <n v="3"/>
    <m/>
    <n v="40"/>
    <m/>
    <m/>
    <m/>
    <m/>
    <s v="No"/>
    <n v="79"/>
    <m/>
    <m/>
    <s v="Commented Video"/>
    <x v="0"/>
    <s v="من معهد المحموديه اول دس لايك من عندي  وابلاغ بلكي توب بعد تنشر"/>
    <s v="UC5E4J1Vfn-v9KQDKVi4yp2g"/>
    <s v="باشا العراق - BASHA IRAQ"/>
    <s v="http://www.youtube.com/channel/UC5E4J1Vfn-v9KQDKVi4yp2g"/>
    <m/>
    <s v="LBkXQ_mBO3Q"/>
    <s v="https://www.youtube.com/watch?v=LBkXQ_mBO3Q"/>
    <s v="none"/>
    <n v="2"/>
    <x v="76"/>
    <d v="2020-03-29T17:33:56.000"/>
    <m/>
    <m/>
    <s v=""/>
    <n v="1"/>
    <s v="3"/>
    <s v="3"/>
    <n v="0"/>
    <n v="0"/>
    <n v="0"/>
    <n v="0"/>
    <n v="0"/>
    <n v="0"/>
    <n v="13"/>
    <n v="100"/>
    <n v="13"/>
  </r>
  <r>
    <s v="UCo08T_MPUyNbixbGtoQ3Rlw"/>
    <s v="UCkJH3uTlOycsfIcz2s3PMEg"/>
    <s v="192, 192, 192"/>
    <n v="3"/>
    <m/>
    <n v="40"/>
    <m/>
    <m/>
    <m/>
    <m/>
    <s v="No"/>
    <n v="80"/>
    <m/>
    <m/>
    <s v="Replied Comment"/>
    <x v="1"/>
    <s v="Yeh"/>
    <s v="UCo08T_MPUyNbixbGtoQ3Rlw"/>
    <s v="sarath ram"/>
    <s v="http://www.youtube.com/channel/UCo08T_MPUyNbixbGtoQ3Rlw"/>
    <s v="Ugx2gxJrPVfuDdb0YH54AaABAg"/>
    <s v="LBkXQ_mBO3Q"/>
    <s v="https://www.youtube.com/watch?v=LBkXQ_mBO3Q"/>
    <s v="none"/>
    <n v="0"/>
    <x v="77"/>
    <d v="2020-08-03T16:53:04.000"/>
    <m/>
    <m/>
    <s v=""/>
    <n v="1"/>
    <s v="3"/>
    <s v="3"/>
    <n v="0"/>
    <n v="0"/>
    <n v="0"/>
    <n v="0"/>
    <n v="0"/>
    <n v="0"/>
    <n v="1"/>
    <n v="100"/>
    <n v="1"/>
  </r>
  <r>
    <s v="UCkJH3uTlOycsfIcz2s3PMEg"/>
    <s v="UC5VEXHfh6kXP2d8EkFx16sw"/>
    <s v="192, 192, 192"/>
    <n v="3"/>
    <m/>
    <n v="40"/>
    <m/>
    <m/>
    <m/>
    <m/>
    <s v="No"/>
    <n v="81"/>
    <m/>
    <m/>
    <s v="Commented Video"/>
    <x v="0"/>
    <s v="Corona too but it&amp;#39;s getting more stronger"/>
    <s v="UCkJH3uTlOycsfIcz2s3PMEg"/>
    <s v="Indra Kumar Sunuwar"/>
    <s v="http://www.youtube.com/channel/UCkJH3uTlOycsfIcz2s3PMEg"/>
    <m/>
    <s v="LBkXQ_mBO3Q"/>
    <s v="https://www.youtube.com/watch?v=LBkXQ_mBO3Q"/>
    <s v="none"/>
    <n v="7"/>
    <x v="78"/>
    <d v="2020-05-16T05:36:52.000"/>
    <m/>
    <m/>
    <s v=""/>
    <n v="1"/>
    <s v="3"/>
    <s v="3"/>
    <n v="1"/>
    <n v="11.11111111111111"/>
    <n v="0"/>
    <n v="0"/>
    <n v="0"/>
    <n v="0"/>
    <n v="8"/>
    <n v="88.88888888888889"/>
    <n v="9"/>
  </r>
  <r>
    <s v="UCjGT0lta_Eo161Bq3stpoxA"/>
    <s v="UC5VEXHfh6kXP2d8EkFx16sw"/>
    <s v="192, 192, 192"/>
    <n v="3"/>
    <m/>
    <n v="40"/>
    <m/>
    <m/>
    <m/>
    <m/>
    <s v="No"/>
    <n v="82"/>
    <m/>
    <m/>
    <s v="Commented Video"/>
    <x v="0"/>
    <s v="This video is very good."/>
    <s v="UCjGT0lta_Eo161Bq3stpoxA"/>
    <s v="faridah manchullah -"/>
    <s v="http://www.youtube.com/channel/UCjGT0lta_Eo161Bq3stpoxA"/>
    <m/>
    <s v="LBkXQ_mBO3Q"/>
    <s v="https://www.youtube.com/watch?v=LBkXQ_mBO3Q"/>
    <s v="none"/>
    <n v="5"/>
    <x v="79"/>
    <d v="2020-05-21T05:37:36.000"/>
    <m/>
    <m/>
    <s v=""/>
    <n v="1"/>
    <s v="3"/>
    <s v="3"/>
    <n v="1"/>
    <n v="20"/>
    <n v="0"/>
    <n v="0"/>
    <n v="0"/>
    <n v="0"/>
    <n v="4"/>
    <n v="80"/>
    <n v="5"/>
  </r>
  <r>
    <s v="UCNjkUz7OUSNlD7bwt5kcH3g"/>
    <s v="UC5VEXHfh6kXP2d8EkFx16sw"/>
    <s v="192, 192, 192"/>
    <n v="3"/>
    <m/>
    <n v="40"/>
    <m/>
    <m/>
    <m/>
    <m/>
    <s v="No"/>
    <n v="83"/>
    <m/>
    <m/>
    <s v="Commented Video"/>
    <x v="0"/>
    <s v="looks like a job on fiverr"/>
    <s v="UCNjkUz7OUSNlD7bwt5kcH3g"/>
    <s v="knockoffhuman"/>
    <s v="http://www.youtube.com/channel/UCNjkUz7OUSNlD7bwt5kcH3g"/>
    <m/>
    <s v="LBkXQ_mBO3Q"/>
    <s v="https://www.youtube.com/watch?v=LBkXQ_mBO3Q"/>
    <s v="none"/>
    <n v="2"/>
    <x v="80"/>
    <d v="2020-05-29T00:33:53.000"/>
    <m/>
    <m/>
    <s v=""/>
    <n v="1"/>
    <s v="3"/>
    <s v="3"/>
    <n v="1"/>
    <n v="16.666666666666668"/>
    <n v="0"/>
    <n v="0"/>
    <n v="0"/>
    <n v="0"/>
    <n v="5"/>
    <n v="83.33333333333333"/>
    <n v="6"/>
  </r>
  <r>
    <s v="UCefdQZdi3Ebj2eJiiCbKxhg"/>
    <s v="UC5VEXHfh6kXP2d8EkFx16sw"/>
    <s v="192, 192, 192"/>
    <n v="3"/>
    <m/>
    <n v="40"/>
    <m/>
    <m/>
    <m/>
    <m/>
    <s v="No"/>
    <n v="84"/>
    <m/>
    <m/>
    <s v="Commented Video"/>
    <x v="0"/>
    <s v="Thank you it help me to complete my school project"/>
    <s v="UCefdQZdi3Ebj2eJiiCbKxhg"/>
    <s v="Pramodini Sahoo"/>
    <s v="http://www.youtube.com/channel/UCefdQZdi3Ebj2eJiiCbKxhg"/>
    <m/>
    <s v="LBkXQ_mBO3Q"/>
    <s v="https://www.youtube.com/watch?v=LBkXQ_mBO3Q"/>
    <s v="none"/>
    <n v="3"/>
    <x v="81"/>
    <d v="2020-06-04T12:25:30.000"/>
    <m/>
    <m/>
    <s v=""/>
    <n v="1"/>
    <s v="3"/>
    <s v="3"/>
    <n v="1"/>
    <n v="10"/>
    <n v="0"/>
    <n v="0"/>
    <n v="0"/>
    <n v="0"/>
    <n v="9"/>
    <n v="90"/>
    <n v="10"/>
  </r>
  <r>
    <s v="UCOhfuwekGSzur00a544CcKQ"/>
    <s v="UCEz8QTxYWSTBiT-1ZeK77JQ"/>
    <s v="192, 192, 192"/>
    <n v="3"/>
    <m/>
    <n v="40"/>
    <m/>
    <m/>
    <m/>
    <m/>
    <s v="No"/>
    <n v="85"/>
    <m/>
    <m/>
    <s v="Replied Comment"/>
    <x v="1"/>
    <s v="no estoy buscando un comentario en español"/>
    <s v="UCOhfuwekGSzur00a544CcKQ"/>
    <s v="VJT Enterprise"/>
    <s v="http://www.youtube.com/channel/UCOhfuwekGSzur00a544CcKQ"/>
    <s v="UgzciYFVVfHA0IO2TyZ4AaABAg"/>
    <s v="LBkXQ_mBO3Q"/>
    <s v="https://www.youtube.com/watch?v=LBkXQ_mBO3Q"/>
    <s v="none"/>
    <n v="0"/>
    <x v="82"/>
    <d v="2020-07-26T08:08:50.000"/>
    <m/>
    <m/>
    <s v=""/>
    <n v="1"/>
    <s v="3"/>
    <s v="3"/>
    <n v="0"/>
    <n v="0"/>
    <n v="0"/>
    <n v="0"/>
    <n v="0"/>
    <n v="0"/>
    <n v="7"/>
    <n v="100"/>
    <n v="7"/>
  </r>
  <r>
    <s v="UCEz8QTxYWSTBiT-1ZeK77JQ"/>
    <s v="UC5VEXHfh6kXP2d8EkFx16sw"/>
    <s v="192, 192, 192"/>
    <n v="3"/>
    <m/>
    <n v="40"/>
    <m/>
    <m/>
    <m/>
    <m/>
    <s v="No"/>
    <n v="86"/>
    <m/>
    <m/>
    <s v="Commented Video"/>
    <x v="0"/>
    <s v="Aquí está el comentario en español que buscabas"/>
    <s v="UCEz8QTxYWSTBiT-1ZeK77JQ"/>
    <s v="Carlos Concha Subercaseaux Alumno 5° Básico B"/>
    <s v="http://www.youtube.com/channel/UCEz8QTxYWSTBiT-1ZeK77JQ"/>
    <m/>
    <s v="LBkXQ_mBO3Q"/>
    <s v="https://www.youtube.com/watch?v=LBkXQ_mBO3Q"/>
    <s v="none"/>
    <n v="3"/>
    <x v="83"/>
    <d v="2020-06-16T23:26:55.000"/>
    <m/>
    <m/>
    <s v=""/>
    <n v="1"/>
    <s v="3"/>
    <s v="3"/>
    <n v="0"/>
    <n v="0"/>
    <n v="0"/>
    <n v="0"/>
    <n v="0"/>
    <n v="0"/>
    <n v="8"/>
    <n v="100"/>
    <n v="8"/>
  </r>
  <r>
    <s v="UCWOce0cS2w22jY4EAn50YHQ"/>
    <s v="UC5VEXHfh6kXP2d8EkFx16sw"/>
    <s v="192, 192, 192"/>
    <n v="3"/>
    <m/>
    <n v="40"/>
    <m/>
    <m/>
    <m/>
    <m/>
    <s v="No"/>
    <n v="87"/>
    <m/>
    <m/>
    <s v="Commented Video"/>
    <x v="0"/>
    <s v="Thanks for complete  my school project"/>
    <s v="UCWOce0cS2w22jY4EAn50YHQ"/>
    <s v="Deepti Gupta"/>
    <s v="http://www.youtube.com/channel/UCWOce0cS2w22jY4EAn50YHQ"/>
    <m/>
    <s v="LBkXQ_mBO3Q"/>
    <s v="https://www.youtube.com/watch?v=LBkXQ_mBO3Q"/>
    <s v="none"/>
    <n v="3"/>
    <x v="84"/>
    <d v="2020-06-29T08:34:36.000"/>
    <m/>
    <m/>
    <s v=""/>
    <n v="1"/>
    <s v="3"/>
    <s v="3"/>
    <n v="0"/>
    <n v="0"/>
    <n v="0"/>
    <n v="0"/>
    <n v="0"/>
    <n v="0"/>
    <n v="6"/>
    <n v="100"/>
    <n v="6"/>
  </r>
  <r>
    <s v="UCPU93CojGLhCv_kf2CDpgMQ"/>
    <s v="UCPU93CojGLhCv_kf2CDpgMQ"/>
    <s v="Red"/>
    <n v="10"/>
    <m/>
    <n v="15"/>
    <m/>
    <m/>
    <m/>
    <m/>
    <s v="No"/>
    <n v="88"/>
    <m/>
    <m/>
    <s v="Replied Comment"/>
    <x v="1"/>
    <s v="Ya its good"/>
    <s v="UCPU93CojGLhCv_kf2CDpgMQ"/>
    <s v="Reema Verma"/>
    <s v="http://www.youtube.com/channel/UCPU93CojGLhCv_kf2CDpgMQ"/>
    <s v="Ugxl-7wGgWJaTr18TvN4AaABAg"/>
    <s v="LBkXQ_mBO3Q"/>
    <s v="https://www.youtube.com/watch?v=LBkXQ_mBO3Q"/>
    <s v="none"/>
    <n v="1"/>
    <x v="85"/>
    <d v="2020-07-09T06:09:32.000"/>
    <m/>
    <m/>
    <s v=""/>
    <n v="2"/>
    <s v="3"/>
    <s v="3"/>
    <n v="1"/>
    <n v="33.333333333333336"/>
    <n v="0"/>
    <n v="0"/>
    <n v="0"/>
    <n v="0"/>
    <n v="2"/>
    <n v="66.66666666666667"/>
    <n v="3"/>
  </r>
  <r>
    <s v="UCPU93CojGLhCv_kf2CDpgMQ"/>
    <s v="UCPU93CojGLhCv_kf2CDpgMQ"/>
    <s v="Red"/>
    <n v="10"/>
    <m/>
    <n v="15"/>
    <m/>
    <m/>
    <m/>
    <m/>
    <s v="No"/>
    <n v="89"/>
    <m/>
    <m/>
    <s v="Replied Comment"/>
    <x v="1"/>
    <s v="Wow"/>
    <s v="UCPU93CojGLhCv_kf2CDpgMQ"/>
    <s v="Reema Verma"/>
    <s v="http://www.youtube.com/channel/UCPU93CojGLhCv_kf2CDpgMQ"/>
    <s v="Ugxl-7wGgWJaTr18TvN4AaABAg"/>
    <s v="LBkXQ_mBO3Q"/>
    <s v="https://www.youtube.com/watch?v=LBkXQ_mBO3Q"/>
    <s v="none"/>
    <n v="1"/>
    <x v="86"/>
    <d v="2020-07-09T06:09:44.000"/>
    <m/>
    <m/>
    <s v=""/>
    <n v="2"/>
    <s v="3"/>
    <s v="3"/>
    <n v="1"/>
    <n v="100"/>
    <n v="0"/>
    <n v="0"/>
    <n v="0"/>
    <n v="0"/>
    <n v="0"/>
    <n v="0"/>
    <n v="1"/>
  </r>
  <r>
    <s v="UCPU93CojGLhCv_kf2CDpgMQ"/>
    <s v="UC5VEXHfh6kXP2d8EkFx16sw"/>
    <s v="192, 192, 192"/>
    <n v="3"/>
    <m/>
    <n v="40"/>
    <m/>
    <m/>
    <m/>
    <m/>
    <s v="No"/>
    <n v="90"/>
    <m/>
    <m/>
    <s v="Commented Video"/>
    <x v="0"/>
    <s v="Its easy good"/>
    <s v="UCPU93CojGLhCv_kf2CDpgMQ"/>
    <s v="Reema Verma"/>
    <s v="http://www.youtube.com/channel/UCPU93CojGLhCv_kf2CDpgMQ"/>
    <m/>
    <s v="LBkXQ_mBO3Q"/>
    <s v="https://www.youtube.com/watch?v=LBkXQ_mBO3Q"/>
    <s v="none"/>
    <n v="2"/>
    <x v="87"/>
    <d v="2020-07-09T06:04:43.000"/>
    <m/>
    <m/>
    <s v=""/>
    <n v="1"/>
    <s v="3"/>
    <s v="3"/>
    <n v="2"/>
    <n v="66.66666666666667"/>
    <n v="0"/>
    <n v="0"/>
    <n v="0"/>
    <n v="0"/>
    <n v="1"/>
    <n v="33.333333333333336"/>
    <n v="3"/>
  </r>
  <r>
    <s v="UC0J-DiMUBDkD3krfD5VkTXQ"/>
    <s v="UC5VEXHfh6kXP2d8EkFx16sw"/>
    <s v="192, 192, 192"/>
    <n v="3"/>
    <m/>
    <n v="40"/>
    <m/>
    <m/>
    <m/>
    <m/>
    <s v="No"/>
    <n v="91"/>
    <m/>
    <m/>
    <s v="Commented Video"/>
    <x v="0"/>
    <s v="Good Class"/>
    <s v="UC0J-DiMUBDkD3krfD5VkTXQ"/>
    <s v="Shabeer Moulavi"/>
    <s v="http://www.youtube.com/channel/UC0J-DiMUBDkD3krfD5VkTXQ"/>
    <m/>
    <s v="LBkXQ_mBO3Q"/>
    <s v="https://www.youtube.com/watch?v=LBkXQ_mBO3Q"/>
    <s v="none"/>
    <n v="6"/>
    <x v="88"/>
    <d v="2020-07-14T12:39:27.000"/>
    <m/>
    <m/>
    <s v=""/>
    <n v="1"/>
    <s v="3"/>
    <s v="3"/>
    <n v="1"/>
    <n v="50"/>
    <n v="0"/>
    <n v="0"/>
    <n v="0"/>
    <n v="0"/>
    <n v="1"/>
    <n v="50"/>
    <n v="2"/>
  </r>
  <r>
    <s v="UC_k3eP9m8U3bW2ByWs3BRlg"/>
    <s v="UC7h7zWh5PPw8yxDsDOgj23A"/>
    <s v="192, 192, 192"/>
    <n v="3"/>
    <m/>
    <n v="40"/>
    <m/>
    <m/>
    <m/>
    <m/>
    <s v="No"/>
    <n v="92"/>
    <m/>
    <m/>
    <s v="Replied Comment"/>
    <x v="1"/>
    <s v="Ik!"/>
    <s v="UC_k3eP9m8U3bW2ByWs3BRlg"/>
    <s v="SkippyUnicorn"/>
    <s v="http://www.youtube.com/channel/UC_k3eP9m8U3bW2ByWs3BRlg"/>
    <s v="UgxntMQ8q-k0eoxoMy54AaABAg"/>
    <s v="LBkXQ_mBO3Q"/>
    <s v="https://www.youtube.com/watch?v=LBkXQ_mBO3Q"/>
    <s v="none"/>
    <n v="0"/>
    <x v="89"/>
    <d v="2021-03-02T13:08:39.000"/>
    <m/>
    <m/>
    <s v=""/>
    <n v="1"/>
    <s v="3"/>
    <s v="3"/>
    <n v="0"/>
    <n v="0"/>
    <n v="0"/>
    <n v="0"/>
    <n v="0"/>
    <n v="0"/>
    <n v="1"/>
    <n v="100"/>
    <n v="1"/>
  </r>
  <r>
    <s v="UC7h7zWh5PPw8yxDsDOgj23A"/>
    <s v="UC5VEXHfh6kXP2d8EkFx16sw"/>
    <s v="192, 192, 192"/>
    <n v="3"/>
    <m/>
    <n v="40"/>
    <m/>
    <m/>
    <m/>
    <m/>
    <s v="No"/>
    <n v="93"/>
    <m/>
    <m/>
    <s v="Commented Video"/>
    <x v="0"/>
    <s v="There is One Disease Called COVID - 19"/>
    <s v="UC7h7zWh5PPw8yxDsDOgj23A"/>
    <s v="Dr Manisha Taneja Pahuja"/>
    <s v="http://www.youtube.com/channel/UC7h7zWh5PPw8yxDsDOgj23A"/>
    <m/>
    <s v="LBkXQ_mBO3Q"/>
    <s v="https://www.youtube.com/watch?v=LBkXQ_mBO3Q"/>
    <s v="none"/>
    <n v="4"/>
    <x v="90"/>
    <d v="2020-08-18T11:55:18.000"/>
    <m/>
    <m/>
    <s v=""/>
    <n v="1"/>
    <s v="3"/>
    <s v="3"/>
    <n v="0"/>
    <n v="0"/>
    <n v="0"/>
    <n v="0"/>
    <n v="0"/>
    <n v="0"/>
    <n v="7"/>
    <n v="100"/>
    <n v="7"/>
  </r>
  <r>
    <s v="UCc0tkX1OwQl203TbmyJJGqA"/>
    <s v="UC5VEXHfh6kXP2d8EkFx16sw"/>
    <s v="192, 192, 192"/>
    <n v="3"/>
    <m/>
    <n v="40"/>
    <m/>
    <m/>
    <m/>
    <m/>
    <s v="No"/>
    <n v="94"/>
    <m/>
    <m/>
    <s v="Commented Video"/>
    <x v="0"/>
    <s v="No there are 5 types of communicable deasies"/>
    <s v="UCc0tkX1OwQl203TbmyJJGqA"/>
    <s v="Cook With Kalayani"/>
    <s v="http://www.youtube.com/channel/UCc0tkX1OwQl203TbmyJJGqA"/>
    <m/>
    <s v="LBkXQ_mBO3Q"/>
    <s v="https://www.youtube.com/watch?v=LBkXQ_mBO3Q"/>
    <s v="none"/>
    <n v="2"/>
    <x v="91"/>
    <d v="2020-08-24T13:01:01.000"/>
    <m/>
    <m/>
    <s v=""/>
    <n v="1"/>
    <s v="3"/>
    <s v="3"/>
    <n v="0"/>
    <n v="0"/>
    <n v="0"/>
    <n v="0"/>
    <n v="0"/>
    <n v="0"/>
    <n v="8"/>
    <n v="100"/>
    <n v="8"/>
  </r>
  <r>
    <s v="UCT2sMMbR8glNSt-SOF2wHDg"/>
    <s v="UC5VEXHfh6kXP2d8EkFx16sw"/>
    <s v="192, 192, 192"/>
    <n v="3"/>
    <m/>
    <n v="40"/>
    <m/>
    <m/>
    <m/>
    <m/>
    <s v="No"/>
    <n v="95"/>
    <m/>
    <m/>
    <s v="Commented Video"/>
    <x v="0"/>
    <s v="Excellent information."/>
    <s v="UCT2sMMbR8glNSt-SOF2wHDg"/>
    <s v="Nasib Gollen"/>
    <s v="http://www.youtube.com/channel/UCT2sMMbR8glNSt-SOF2wHDg"/>
    <m/>
    <s v="LBkXQ_mBO3Q"/>
    <s v="https://www.youtube.com/watch?v=LBkXQ_mBO3Q"/>
    <s v="none"/>
    <n v="1"/>
    <x v="92"/>
    <d v="2020-08-26T12:20:46.000"/>
    <m/>
    <m/>
    <s v=""/>
    <n v="1"/>
    <s v="3"/>
    <s v="3"/>
    <n v="1"/>
    <n v="50"/>
    <n v="0"/>
    <n v="0"/>
    <n v="0"/>
    <n v="0"/>
    <n v="1"/>
    <n v="50"/>
    <n v="2"/>
  </r>
  <r>
    <s v="UCGt7qYOzYd53e1ZDyGy-p-Q"/>
    <s v="UC5VEXHfh6kXP2d8EkFx16sw"/>
    <s v="192, 192, 192"/>
    <n v="3"/>
    <m/>
    <n v="40"/>
    <m/>
    <m/>
    <m/>
    <m/>
    <s v="No"/>
    <n v="96"/>
    <m/>
    <m/>
    <s v="Commented Video"/>
    <x v="0"/>
    <s v="Hi"/>
    <s v="UCGt7qYOzYd53e1ZDyGy-p-Q"/>
    <s v="Aarush Malik"/>
    <s v="http://www.youtube.com/channel/UCGt7qYOzYd53e1ZDyGy-p-Q"/>
    <m/>
    <s v="LBkXQ_mBO3Q"/>
    <s v="https://www.youtube.com/watch?v=LBkXQ_mBO3Q"/>
    <s v="none"/>
    <n v="1"/>
    <x v="93"/>
    <d v="2020-09-03T09:26:12.000"/>
    <m/>
    <m/>
    <s v=""/>
    <n v="1"/>
    <s v="3"/>
    <s v="3"/>
    <n v="0"/>
    <n v="0"/>
    <n v="0"/>
    <n v="0"/>
    <n v="0"/>
    <n v="0"/>
    <n v="1"/>
    <n v="100"/>
    <n v="1"/>
  </r>
  <r>
    <s v="UCHcnCMwUpuuI8ihbzlHVh3g"/>
    <s v="UC5VEXHfh6kXP2d8EkFx16sw"/>
    <s v="192, 192, 192"/>
    <n v="3"/>
    <m/>
    <n v="40"/>
    <m/>
    <m/>
    <m/>
    <m/>
    <s v="No"/>
    <n v="97"/>
    <m/>
    <m/>
    <s v="Commented Video"/>
    <x v="0"/>
    <s v="🦠🦠🦟🦟🕷🕷🦗🐞🐞🐝🐜🦠🦠"/>
    <s v="UCHcnCMwUpuuI8ihbzlHVh3g"/>
    <s v="PARANORMAL GAMING"/>
    <s v="http://www.youtube.com/channel/UCHcnCMwUpuuI8ihbzlHVh3g"/>
    <m/>
    <s v="LBkXQ_mBO3Q"/>
    <s v="https://www.youtube.com/watch?v=LBkXQ_mBO3Q"/>
    <s v="none"/>
    <n v="1"/>
    <x v="94"/>
    <d v="2020-09-04T08:56:52.000"/>
    <m/>
    <m/>
    <s v=""/>
    <n v="1"/>
    <s v="3"/>
    <s v="3"/>
    <n v="0"/>
    <n v="0"/>
    <n v="0"/>
    <n v="0"/>
    <n v="0"/>
    <n v="0"/>
    <n v="0"/>
    <n v="0"/>
    <n v="0"/>
  </r>
  <r>
    <s v="UCpVgM4WUtUtTtdCq_kBwy0Q"/>
    <s v="UC5VEXHfh6kXP2d8EkFx16sw"/>
    <s v="192, 192, 192"/>
    <n v="3"/>
    <m/>
    <n v="40"/>
    <m/>
    <m/>
    <m/>
    <m/>
    <s v="No"/>
    <n v="98"/>
    <m/>
    <m/>
    <s v="Commented Video"/>
    <x v="0"/>
    <s v="Hate you ranju thami ma&amp;#39;am"/>
    <s v="UCpVgM4WUtUtTtdCq_kBwy0Q"/>
    <s v="Kyubi Gaming"/>
    <s v="http://www.youtube.com/channel/UCpVgM4WUtUtTtdCq_kBwy0Q"/>
    <m/>
    <s v="LBkXQ_mBO3Q"/>
    <s v="https://www.youtube.com/watch?v=LBkXQ_mBO3Q"/>
    <s v="none"/>
    <n v="2"/>
    <x v="95"/>
    <d v="2020-09-04T09:50:35.000"/>
    <m/>
    <m/>
    <s v=""/>
    <n v="1"/>
    <s v="3"/>
    <s v="3"/>
    <n v="0"/>
    <n v="0"/>
    <n v="1"/>
    <n v="14.285714285714286"/>
    <n v="0"/>
    <n v="0"/>
    <n v="6"/>
    <n v="85.71428571428571"/>
    <n v="7"/>
  </r>
  <r>
    <s v="UCH1ojNgoWP7UJQlAjY3g1Rw"/>
    <s v="UC5VEXHfh6kXP2d8EkFx16sw"/>
    <s v="192, 192, 192"/>
    <n v="3"/>
    <m/>
    <n v="40"/>
    <m/>
    <m/>
    <m/>
    <m/>
    <s v="No"/>
    <n v="99"/>
    <m/>
    <m/>
    <s v="Commented Video"/>
    <x v="0"/>
    <s v="Thank you for the great lesson 😊"/>
    <s v="UCH1ojNgoWP7UJQlAjY3g1Rw"/>
    <s v="Life as Jasmine"/>
    <s v="http://www.youtube.com/channel/UCH1ojNgoWP7UJQlAjY3g1Rw"/>
    <m/>
    <s v="LBkXQ_mBO3Q"/>
    <s v="https://www.youtube.com/watch?v=LBkXQ_mBO3Q"/>
    <s v="none"/>
    <n v="2"/>
    <x v="96"/>
    <d v="2020-09-06T21:22:47.000"/>
    <m/>
    <m/>
    <s v=""/>
    <n v="1"/>
    <s v="3"/>
    <s v="3"/>
    <n v="2"/>
    <n v="33.333333333333336"/>
    <n v="0"/>
    <n v="0"/>
    <n v="0"/>
    <n v="0"/>
    <n v="4"/>
    <n v="66.66666666666667"/>
    <n v="6"/>
  </r>
  <r>
    <s v="UCk8wQAmCOo5X037Z6NEn6TA"/>
    <s v="UC5VEXHfh6kXP2d8EkFx16sw"/>
    <s v="192, 192, 192"/>
    <n v="3"/>
    <m/>
    <n v="40"/>
    <m/>
    <m/>
    <m/>
    <m/>
    <s v="No"/>
    <n v="100"/>
    <m/>
    <m/>
    <s v="Commented Video"/>
    <x v="0"/>
    <s v="Thank you for this chapter😊"/>
    <s v="UCk8wQAmCOo5X037Z6NEn6TA"/>
    <s v="samridhi mishra"/>
    <s v="http://www.youtube.com/channel/UCk8wQAmCOo5X037Z6NEn6TA"/>
    <m/>
    <s v="LBkXQ_mBO3Q"/>
    <s v="https://www.youtube.com/watch?v=LBkXQ_mBO3Q"/>
    <s v="none"/>
    <n v="1"/>
    <x v="97"/>
    <d v="2020-09-10T05:49:38.000"/>
    <m/>
    <m/>
    <s v=""/>
    <n v="1"/>
    <s v="3"/>
    <s v="3"/>
    <n v="1"/>
    <n v="20"/>
    <n v="0"/>
    <n v="0"/>
    <n v="0"/>
    <n v="0"/>
    <n v="4"/>
    <n v="80"/>
    <n v="5"/>
  </r>
  <r>
    <s v="UCUL_0RJJ6jOvcM7p3ZpCmMQ"/>
    <s v="UC5VEXHfh6kXP2d8EkFx16sw"/>
    <s v="192, 192, 192"/>
    <n v="3"/>
    <m/>
    <n v="40"/>
    <m/>
    <m/>
    <m/>
    <m/>
    <s v="No"/>
    <n v="101"/>
    <m/>
    <m/>
    <s v="Commented Video"/>
    <x v="0"/>
    <s v="Thank you for ypur lesson"/>
    <s v="UCUL_0RJJ6jOvcM7p3ZpCmMQ"/>
    <s v="YT DL 555"/>
    <s v="http://www.youtube.com/channel/UCUL_0RJJ6jOvcM7p3ZpCmMQ"/>
    <m/>
    <s v="LBkXQ_mBO3Q"/>
    <s v="https://www.youtube.com/watch?v=LBkXQ_mBO3Q"/>
    <s v="none"/>
    <n v="0"/>
    <x v="98"/>
    <d v="2020-09-11T05:58:02.000"/>
    <m/>
    <m/>
    <s v=""/>
    <n v="1"/>
    <s v="3"/>
    <s v="3"/>
    <n v="1"/>
    <n v="20"/>
    <n v="0"/>
    <n v="0"/>
    <n v="0"/>
    <n v="0"/>
    <n v="4"/>
    <n v="80"/>
    <n v="5"/>
  </r>
  <r>
    <s v="UCemRVN5Sbnxv17T4x-Dj3IA"/>
    <s v="UC5VEXHfh6kXP2d8EkFx16sw"/>
    <s v="192, 192, 192"/>
    <n v="3"/>
    <m/>
    <n v="40"/>
    <m/>
    <m/>
    <m/>
    <m/>
    <s v="No"/>
    <n v="102"/>
    <m/>
    <m/>
    <s v="Commented Video"/>
    <x v="0"/>
    <s v="Excellent video thank you &lt;br&gt;Jisko bhi asea lagta h wo like kare"/>
    <s v="UCemRVN5Sbnxv17T4x-Dj3IA"/>
    <s v="Geeta Mehta"/>
    <s v="http://www.youtube.com/channel/UCemRVN5Sbnxv17T4x-Dj3IA"/>
    <m/>
    <s v="LBkXQ_mBO3Q"/>
    <s v="https://www.youtube.com/watch?v=LBkXQ_mBO3Q"/>
    <s v="none"/>
    <n v="0"/>
    <x v="99"/>
    <d v="2020-09-11T07:07:42.000"/>
    <m/>
    <m/>
    <s v=""/>
    <n v="1"/>
    <s v="3"/>
    <s v="3"/>
    <n v="3"/>
    <n v="23.076923076923077"/>
    <n v="0"/>
    <n v="0"/>
    <n v="0"/>
    <n v="0"/>
    <n v="10"/>
    <n v="76.92307692307692"/>
    <n v="13"/>
  </r>
  <r>
    <s v="UCAMZryzGVYLCaIz-nWWcThw"/>
    <s v="UC5VEXHfh6kXP2d8EkFx16sw"/>
    <s v="192, 192, 192"/>
    <n v="3"/>
    <m/>
    <n v="40"/>
    <m/>
    <m/>
    <m/>
    <m/>
    <s v="No"/>
    <n v="103"/>
    <m/>
    <m/>
    <s v="Commented Video"/>
    <x v="0"/>
    <s v="Thankyou for teaching us"/>
    <s v="UCAMZryzGVYLCaIz-nWWcThw"/>
    <s v="RINOA MIYELLE ABESAMIS"/>
    <s v="http://www.youtube.com/channel/UCAMZryzGVYLCaIz-nWWcThw"/>
    <m/>
    <s v="LBkXQ_mBO3Q"/>
    <s v="https://www.youtube.com/watch?v=LBkXQ_mBO3Q"/>
    <s v="none"/>
    <n v="0"/>
    <x v="100"/>
    <d v="2020-09-15T15:34:28.000"/>
    <m/>
    <m/>
    <s v=""/>
    <n v="1"/>
    <s v="3"/>
    <s v="3"/>
    <n v="0"/>
    <n v="0"/>
    <n v="0"/>
    <n v="0"/>
    <n v="0"/>
    <n v="0"/>
    <n v="4"/>
    <n v="100"/>
    <n v="4"/>
  </r>
  <r>
    <s v="UCs0zeoq1hCZ4kpzkJAk4d-A"/>
    <s v="UC5VEXHfh6kXP2d8EkFx16sw"/>
    <s v="192, 192, 192"/>
    <n v="3"/>
    <m/>
    <n v="40"/>
    <m/>
    <m/>
    <m/>
    <m/>
    <s v="No"/>
    <n v="104"/>
    <m/>
    <m/>
    <s v="Commented Video"/>
    <x v="0"/>
    <s v="This is boring as fuck why my gym teacher got me watching this bull shit"/>
    <s v="UCs0zeoq1hCZ4kpzkJAk4d-A"/>
    <s v="Salvi 24"/>
    <s v="http://www.youtube.com/channel/UCs0zeoq1hCZ4kpzkJAk4d-A"/>
    <m/>
    <s v="LBkXQ_mBO3Q"/>
    <s v="https://www.youtube.com/watch?v=LBkXQ_mBO3Q"/>
    <s v="none"/>
    <n v="1"/>
    <x v="101"/>
    <d v="2020-09-18T16:11:16.000"/>
    <m/>
    <m/>
    <s v=""/>
    <n v="1"/>
    <s v="3"/>
    <s v="3"/>
    <n v="0"/>
    <n v="0"/>
    <n v="3"/>
    <n v="20"/>
    <n v="0"/>
    <n v="0"/>
    <n v="12"/>
    <n v="80"/>
    <n v="15"/>
  </r>
  <r>
    <s v="UCkY79Ha7ZmdiBsxtDiOF-Eg"/>
    <s v="UCpJIpZ4keoop_uhVhlZGAMg"/>
    <s v="192, 192, 192"/>
    <n v="3"/>
    <m/>
    <n v="40"/>
    <m/>
    <m/>
    <m/>
    <m/>
    <s v="No"/>
    <n v="105"/>
    <m/>
    <m/>
    <s v="Replied Comment"/>
    <x v="1"/>
    <s v="Great job....&lt;br&gt;Just saying that ticks aren&amp;#39;t insects they are arachnids"/>
    <s v="UCkY79Ha7ZmdiBsxtDiOF-Eg"/>
    <s v="Sheldon Cooper"/>
    <s v="http://www.youtube.com/channel/UCkY79Ha7ZmdiBsxtDiOF-Eg"/>
    <s v="Ugz9l8mxOGf15q_JvSl4AaABAg"/>
    <s v="LBkXQ_mBO3Q"/>
    <s v="https://www.youtube.com/watch?v=LBkXQ_mBO3Q"/>
    <s v="none"/>
    <n v="1"/>
    <x v="102"/>
    <d v="2020-09-30T08:31:30.000"/>
    <m/>
    <m/>
    <s v=""/>
    <n v="1"/>
    <s v="3"/>
    <s v="3"/>
    <n v="1"/>
    <n v="7.142857142857143"/>
    <n v="0"/>
    <n v="0"/>
    <n v="0"/>
    <n v="0"/>
    <n v="13"/>
    <n v="92.85714285714286"/>
    <n v="14"/>
  </r>
  <r>
    <s v="UCpJIpZ4keoop_uhVhlZGAMg"/>
    <s v="UC5VEXHfh6kXP2d8EkFx16sw"/>
    <s v="Red"/>
    <n v="10"/>
    <m/>
    <n v="15"/>
    <m/>
    <m/>
    <m/>
    <m/>
    <s v="No"/>
    <n v="106"/>
    <m/>
    <m/>
    <s v="Commented Video"/>
    <x v="0"/>
    <s v="covid 19 coranavirus can you save people in the whole world including india"/>
    <s v="UCpJIpZ4keoop_uhVhlZGAMg"/>
    <s v="ABHIJEET RAI"/>
    <s v="http://www.youtube.com/channel/UCpJIpZ4keoop_uhVhlZGAMg"/>
    <m/>
    <s v="LBkXQ_mBO3Q"/>
    <s v="https://www.youtube.com/watch?v=LBkXQ_mBO3Q"/>
    <s v="none"/>
    <n v="7"/>
    <x v="103"/>
    <d v="2020-09-22T09:48:36.000"/>
    <m/>
    <m/>
    <s v=""/>
    <n v="2"/>
    <s v="3"/>
    <s v="3"/>
    <n v="0"/>
    <n v="0"/>
    <n v="0"/>
    <n v="0"/>
    <n v="0"/>
    <n v="0"/>
    <n v="13"/>
    <n v="100"/>
    <n v="13"/>
  </r>
  <r>
    <s v="UCpJIpZ4keoop_uhVhlZGAMg"/>
    <s v="UC5VEXHfh6kXP2d8EkFx16sw"/>
    <s v="Red"/>
    <n v="10"/>
    <m/>
    <n v="15"/>
    <m/>
    <m/>
    <m/>
    <m/>
    <s v="No"/>
    <n v="107"/>
    <m/>
    <m/>
    <s v="Commented Video"/>
    <x v="0"/>
    <s v="so great"/>
    <s v="UCpJIpZ4keoop_uhVhlZGAMg"/>
    <s v="ABHIJEET RAI"/>
    <s v="http://www.youtube.com/channel/UCpJIpZ4keoop_uhVhlZGAMg"/>
    <m/>
    <s v="LBkXQ_mBO3Q"/>
    <s v="https://www.youtube.com/watch?v=LBkXQ_mBO3Q"/>
    <s v="none"/>
    <n v="2"/>
    <x v="104"/>
    <d v="2020-09-22T09:49:11.000"/>
    <m/>
    <m/>
    <s v=""/>
    <n v="2"/>
    <s v="3"/>
    <s v="3"/>
    <n v="1"/>
    <n v="50"/>
    <n v="0"/>
    <n v="0"/>
    <n v="0"/>
    <n v="0"/>
    <n v="1"/>
    <n v="50"/>
    <n v="2"/>
  </r>
  <r>
    <s v="UCe8vg21U7drDp4xuaVjU2kw"/>
    <s v="UC5VEXHfh6kXP2d8EkFx16sw"/>
    <s v="192, 192, 192"/>
    <n v="3"/>
    <m/>
    <n v="40"/>
    <m/>
    <m/>
    <m/>
    <m/>
    <s v="No"/>
    <n v="108"/>
    <m/>
    <m/>
    <s v="Commented Video"/>
    <x v="0"/>
    <s v="Am really grateful and thankful for what @dr_ayeye has done for me and my family. I Was having HERPES for good three years with no solution, the disease almost took my life and because I was unable to work and I was also loosing lots of money for  medication,but one faithful day  when I went online, I met lots of testimony about this great man so I decided to  give it a try and to God be the glory he did it. he cured me of my disease and am so happy and so pleased to write about him today. if you need his help or you want way I got mine, just email him below: drayeyeherbalhome88@&lt;a href=&quot;http://gmail.com/&quot;&gt;gmail.com&lt;/a&gt; or WhatsApp, +2347067379965 and get your healing. He has cure for other deadly disease like Diabetes Hiv/Aids, Hepatitis of all type of cancer"/>
    <s v="UCe8vg21U7drDp4xuaVjU2kw"/>
    <s v="Buckley Robin"/>
    <s v="http://www.youtube.com/channel/UCe8vg21U7drDp4xuaVjU2kw"/>
    <m/>
    <s v="LBkXQ_mBO3Q"/>
    <s v="https://www.youtube.com/watch?v=LBkXQ_mBO3Q"/>
    <s v="none"/>
    <n v="0"/>
    <x v="105"/>
    <d v="2020-09-24T19:38:06.000"/>
    <s v=" http://gmail.com/"/>
    <s v="gmail.com"/>
    <s v=""/>
    <n v="1"/>
    <s v="3"/>
    <s v="3"/>
    <n v="11"/>
    <n v="7.333333333333333"/>
    <n v="3"/>
    <n v="2"/>
    <n v="0"/>
    <n v="0"/>
    <n v="136"/>
    <n v="90.66666666666667"/>
    <n v="150"/>
  </r>
  <r>
    <s v="UCfg6c8urWYaJJOqIhpPkuTw"/>
    <s v="UC5VEXHfh6kXP2d8EkFx16sw"/>
    <s v="192, 192, 192"/>
    <n v="3"/>
    <m/>
    <n v="40"/>
    <m/>
    <m/>
    <m/>
    <m/>
    <s v="No"/>
    <n v="109"/>
    <m/>
    <m/>
    <s v="Commented Video"/>
    <x v="0"/>
    <s v="M. Sathwika ✅✅present from 5A"/>
    <s v="UCfg6c8urWYaJJOqIhpPkuTw"/>
    <s v="Dhurgabhavani Movva"/>
    <s v="http://www.youtube.com/channel/UCfg6c8urWYaJJOqIhpPkuTw"/>
    <m/>
    <s v="LBkXQ_mBO3Q"/>
    <s v="https://www.youtube.com/watch?v=LBkXQ_mBO3Q"/>
    <s v="none"/>
    <n v="5"/>
    <x v="106"/>
    <d v="2020-10-02T14:24:00.000"/>
    <m/>
    <m/>
    <s v=""/>
    <n v="1"/>
    <s v="3"/>
    <s v="3"/>
    <n v="0"/>
    <n v="0"/>
    <n v="0"/>
    <n v="0"/>
    <n v="0"/>
    <n v="0"/>
    <n v="5"/>
    <n v="100"/>
    <n v="5"/>
  </r>
  <r>
    <s v="UCe_yln_7VXIDkMvJilIX5bg"/>
    <s v="UC3UC3alxwtdTFGQIqY2xYtw"/>
    <s v="192, 192, 192"/>
    <n v="3"/>
    <m/>
    <n v="40"/>
    <m/>
    <m/>
    <m/>
    <m/>
    <s v="No"/>
    <n v="110"/>
    <m/>
    <m/>
    <s v="Replied Comment"/>
    <x v="1"/>
    <s v="Same"/>
    <s v="UCe_yln_7VXIDkMvJilIX5bg"/>
    <s v="Yuktha's creative life"/>
    <s v="http://www.youtube.com/channel/UCe_yln_7VXIDkMvJilIX5bg"/>
    <s v="UgxwzYO7PL375Ymamr14AaABAg"/>
    <s v="LBkXQ_mBO3Q"/>
    <s v="https://www.youtube.com/watch?v=LBkXQ_mBO3Q"/>
    <s v="none"/>
    <n v="0"/>
    <x v="107"/>
    <d v="2020-12-21T10:10:22.000"/>
    <m/>
    <m/>
    <s v=""/>
    <n v="1"/>
    <s v="3"/>
    <s v="3"/>
    <n v="0"/>
    <n v="0"/>
    <n v="0"/>
    <n v="0"/>
    <n v="0"/>
    <n v="0"/>
    <n v="1"/>
    <n v="100"/>
    <n v="1"/>
  </r>
  <r>
    <s v="UCxy6Tuf_ksQ5egQdxwYXJMA"/>
    <s v="UC3UC3alxwtdTFGQIqY2xYtw"/>
    <s v="192, 192, 192"/>
    <n v="3"/>
    <m/>
    <n v="40"/>
    <m/>
    <m/>
    <m/>
    <m/>
    <s v="No"/>
    <n v="111"/>
    <m/>
    <m/>
    <s v="Replied Comment"/>
    <x v="1"/>
    <s v="@Yuktha&amp;#39;s creative life us also but in grade 4 and im currently watching it for our quiz tom"/>
    <s v="UCxy6Tuf_ksQ5egQdxwYXJMA"/>
    <s v="Emmanuel Luigie Alberto"/>
    <s v="http://www.youtube.com/channel/UCxy6Tuf_ksQ5egQdxwYXJMA"/>
    <s v="UgxwzYO7PL375Ymamr14AaABAg"/>
    <s v="LBkXQ_mBO3Q"/>
    <s v="https://www.youtube.com/watch?v=LBkXQ_mBO3Q"/>
    <s v="none"/>
    <n v="0"/>
    <x v="108"/>
    <d v="2021-01-14T09:09:03.000"/>
    <m/>
    <m/>
    <s v=""/>
    <n v="1"/>
    <s v="3"/>
    <s v="3"/>
    <n v="1"/>
    <n v="5"/>
    <n v="0"/>
    <n v="0"/>
    <n v="0"/>
    <n v="0"/>
    <n v="19"/>
    <n v="95"/>
    <n v="20"/>
  </r>
  <r>
    <s v="UC3UC3alxwtdTFGQIqY2xYtw"/>
    <s v="UC5VEXHfh6kXP2d8EkFx16sw"/>
    <s v="192, 192, 192"/>
    <n v="3"/>
    <m/>
    <n v="40"/>
    <m/>
    <m/>
    <m/>
    <m/>
    <s v="No"/>
    <n v="112"/>
    <m/>
    <m/>
    <s v="Commented Video"/>
    <x v="0"/>
    <s v="MY  TEACHER PLAYED THIS TO THE WHOLE CLASS WE IN 5TH GRADE"/>
    <s v="UC3UC3alxwtdTFGQIqY2xYtw"/>
    <s v="Claudia Skocz"/>
    <s v="http://www.youtube.com/channel/UC3UC3alxwtdTFGQIqY2xYtw"/>
    <m/>
    <s v="LBkXQ_mBO3Q"/>
    <s v="https://www.youtube.com/watch?v=LBkXQ_mBO3Q"/>
    <s v="none"/>
    <n v="9"/>
    <x v="109"/>
    <d v="2020-11-04T19:49:25.000"/>
    <m/>
    <m/>
    <s v=""/>
    <n v="1"/>
    <s v="3"/>
    <s v="3"/>
    <n v="0"/>
    <n v="0"/>
    <n v="0"/>
    <n v="0"/>
    <n v="0"/>
    <n v="0"/>
    <n v="12"/>
    <n v="100"/>
    <n v="12"/>
  </r>
  <r>
    <s v="UCYF7iFl00_1lAvf4zyOYCVg"/>
    <s v="UC5VEXHfh6kXP2d8EkFx16sw"/>
    <s v="192, 192, 192"/>
    <n v="3"/>
    <m/>
    <n v="40"/>
    <m/>
    <m/>
    <m/>
    <m/>
    <s v="No"/>
    <n v="113"/>
    <m/>
    <m/>
    <s v="Commented Video"/>
    <x v="0"/>
    <s v="Nice😂"/>
    <s v="UCYF7iFl00_1lAvf4zyOYCVg"/>
    <s v="Camille Prospere"/>
    <s v="http://www.youtube.com/channel/UCYF7iFl00_1lAvf4zyOYCVg"/>
    <m/>
    <s v="LBkXQ_mBO3Q"/>
    <s v="https://www.youtube.com/watch?v=LBkXQ_mBO3Q"/>
    <s v="none"/>
    <n v="4"/>
    <x v="110"/>
    <d v="2020-11-05T17:58:35.000"/>
    <m/>
    <m/>
    <s v=""/>
    <n v="1"/>
    <s v="3"/>
    <s v="3"/>
    <n v="1"/>
    <n v="100"/>
    <n v="0"/>
    <n v="0"/>
    <n v="0"/>
    <n v="0"/>
    <n v="0"/>
    <n v="0"/>
    <n v="1"/>
  </r>
  <r>
    <s v="UCQG4AgX7CwIPNmjzexjKdfA"/>
    <s v="UC5VEXHfh6kXP2d8EkFx16sw"/>
    <s v="Red"/>
    <n v="10"/>
    <m/>
    <n v="15"/>
    <m/>
    <m/>
    <m/>
    <m/>
    <s v="No"/>
    <n v="114"/>
    <m/>
    <m/>
    <s v="Commented Video"/>
    <x v="0"/>
    <s v="They just watch ur vid for free no subscribers"/>
    <s v="UCQG4AgX7CwIPNmjzexjKdfA"/>
    <s v="Jamarionhenry"/>
    <s v="http://www.youtube.com/channel/UCQG4AgX7CwIPNmjzexjKdfA"/>
    <m/>
    <s v="LBkXQ_mBO3Q"/>
    <s v="https://www.youtube.com/watch?v=LBkXQ_mBO3Q"/>
    <s v="none"/>
    <n v="2"/>
    <x v="111"/>
    <d v="2020-11-25T00:26:54.000"/>
    <m/>
    <m/>
    <s v=""/>
    <n v="3"/>
    <s v="3"/>
    <s v="3"/>
    <n v="1"/>
    <n v="11.11111111111111"/>
    <n v="0"/>
    <n v="0"/>
    <n v="0"/>
    <n v="0"/>
    <n v="8"/>
    <n v="88.88888888888889"/>
    <n v="9"/>
  </r>
  <r>
    <s v="UCQG4AgX7CwIPNmjzexjKdfA"/>
    <s v="UC5VEXHfh6kXP2d8EkFx16sw"/>
    <s v="Red"/>
    <n v="10"/>
    <m/>
    <n v="15"/>
    <m/>
    <m/>
    <m/>
    <m/>
    <s v="No"/>
    <n v="115"/>
    <m/>
    <m/>
    <s v="Commented Video"/>
    <x v="0"/>
    <s v="But still understandings"/>
    <s v="UCQG4AgX7CwIPNmjzexjKdfA"/>
    <s v="Jamarionhenry"/>
    <s v="http://www.youtube.com/channel/UCQG4AgX7CwIPNmjzexjKdfA"/>
    <m/>
    <s v="LBkXQ_mBO3Q"/>
    <s v="https://www.youtube.com/watch?v=LBkXQ_mBO3Q"/>
    <s v="none"/>
    <n v="2"/>
    <x v="112"/>
    <d v="2020-11-25T00:27:13.000"/>
    <m/>
    <m/>
    <s v=""/>
    <n v="3"/>
    <s v="3"/>
    <s v="3"/>
    <n v="0"/>
    <n v="0"/>
    <n v="0"/>
    <n v="0"/>
    <n v="0"/>
    <n v="0"/>
    <n v="3"/>
    <n v="100"/>
    <n v="3"/>
  </r>
  <r>
    <s v="UCQG4AgX7CwIPNmjzexjKdfA"/>
    <s v="UC5VEXHfh6kXP2d8EkFx16sw"/>
    <s v="Red"/>
    <n v="10"/>
    <m/>
    <n v="15"/>
    <m/>
    <m/>
    <m/>
    <m/>
    <s v="No"/>
    <n v="116"/>
    <m/>
    <m/>
    <s v="Commented Video"/>
    <x v="0"/>
    <s v="I&amp;#39;m in 6th grade"/>
    <s v="UCQG4AgX7CwIPNmjzexjKdfA"/>
    <s v="Jamarionhenry"/>
    <s v="http://www.youtube.com/channel/UCQG4AgX7CwIPNmjzexjKdfA"/>
    <m/>
    <s v="LBkXQ_mBO3Q"/>
    <s v="https://www.youtube.com/watch?v=LBkXQ_mBO3Q"/>
    <s v="none"/>
    <n v="5"/>
    <x v="113"/>
    <d v="2020-11-25T00:27:26.000"/>
    <m/>
    <m/>
    <s v=""/>
    <n v="3"/>
    <s v="3"/>
    <s v="3"/>
    <n v="0"/>
    <n v="0"/>
    <n v="0"/>
    <n v="0"/>
    <n v="0"/>
    <n v="0"/>
    <n v="6"/>
    <n v="100"/>
    <n v="6"/>
  </r>
  <r>
    <s v="UCliPFvBl3yH2uyGZHI2lcqg"/>
    <s v="UC5VEXHfh6kXP2d8EkFx16sw"/>
    <s v="192, 192, 192"/>
    <n v="3"/>
    <m/>
    <n v="40"/>
    <m/>
    <m/>
    <m/>
    <m/>
    <s v="No"/>
    <n v="117"/>
    <m/>
    <m/>
    <s v="Commented Video"/>
    <x v="0"/>
    <s v="Thank you so much sir"/>
    <s v="UCliPFvBl3yH2uyGZHI2lcqg"/>
    <s v="Parkaviie S"/>
    <s v="http://www.youtube.com/channel/UCliPFvBl3yH2uyGZHI2lcqg"/>
    <m/>
    <s v="LBkXQ_mBO3Q"/>
    <s v="https://www.youtube.com/watch?v=LBkXQ_mBO3Q"/>
    <s v="none"/>
    <n v="3"/>
    <x v="114"/>
    <d v="2020-11-27T04:05:35.000"/>
    <m/>
    <m/>
    <s v=""/>
    <n v="1"/>
    <s v="3"/>
    <s v="3"/>
    <n v="1"/>
    <n v="20"/>
    <n v="0"/>
    <n v="0"/>
    <n v="0"/>
    <n v="0"/>
    <n v="4"/>
    <n v="80"/>
    <n v="5"/>
  </r>
  <r>
    <s v="UCfDAkBaAdKSTL133UX0I7Xw"/>
    <s v="UC5VEXHfh6kXP2d8EkFx16sw"/>
    <s v="192, 192, 192"/>
    <n v="3"/>
    <m/>
    <n v="40"/>
    <m/>
    <m/>
    <m/>
    <m/>
    <s v="No"/>
    <n v="118"/>
    <m/>
    <m/>
    <s v="Commented Video"/>
    <x v="0"/>
    <s v="im in 8th"/>
    <s v="UCfDAkBaAdKSTL133UX0I7Xw"/>
    <s v="CLAIRE BROCKMANN"/>
    <s v="http://www.youtube.com/channel/UCfDAkBaAdKSTL133UX0I7Xw"/>
    <m/>
    <s v="LBkXQ_mBO3Q"/>
    <s v="https://www.youtube.com/watch?v=LBkXQ_mBO3Q"/>
    <s v="none"/>
    <n v="2"/>
    <x v="115"/>
    <d v="2020-12-03T20:24:57.000"/>
    <m/>
    <m/>
    <s v=""/>
    <n v="1"/>
    <s v="3"/>
    <s v="3"/>
    <n v="0"/>
    <n v="0"/>
    <n v="0"/>
    <n v="0"/>
    <n v="0"/>
    <n v="0"/>
    <n v="3"/>
    <n v="100"/>
    <n v="3"/>
  </r>
  <r>
    <s v="UCpk2BuOuwhPc16sXlfOdiyg"/>
    <s v="UC5VEXHfh6kXP2d8EkFx16sw"/>
    <s v="192, 192, 192"/>
    <n v="3"/>
    <m/>
    <n v="40"/>
    <m/>
    <m/>
    <m/>
    <m/>
    <s v="No"/>
    <n v="119"/>
    <m/>
    <m/>
    <s v="Commented Video"/>
    <x v="0"/>
    <s v="You are to fast to speak"/>
    <s v="UCpk2BuOuwhPc16sXlfOdiyg"/>
    <s v="paul john garcia"/>
    <s v="http://www.youtube.com/channel/UCpk2BuOuwhPc16sXlfOdiyg"/>
    <m/>
    <s v="LBkXQ_mBO3Q"/>
    <s v="https://www.youtube.com/watch?v=LBkXQ_mBO3Q"/>
    <s v="none"/>
    <n v="2"/>
    <x v="116"/>
    <d v="2020-12-10T05:27:51.000"/>
    <m/>
    <m/>
    <s v=""/>
    <n v="1"/>
    <s v="3"/>
    <s v="3"/>
    <n v="1"/>
    <n v="16.666666666666668"/>
    <n v="0"/>
    <n v="0"/>
    <n v="0"/>
    <n v="0"/>
    <n v="5"/>
    <n v="83.33333333333333"/>
    <n v="6"/>
  </r>
  <r>
    <s v="UCn5FBvjUlYQBUFu_2nwyPDg"/>
    <s v="UC5VEXHfh6kXP2d8EkFx16sw"/>
    <s v="192, 192, 192"/>
    <n v="3"/>
    <m/>
    <n v="40"/>
    <m/>
    <m/>
    <m/>
    <m/>
    <s v="No"/>
    <n v="120"/>
    <m/>
    <m/>
    <s v="Commented Video"/>
    <x v="0"/>
    <s v="Present sir abe sale"/>
    <s v="UCn5FBvjUlYQBUFu_2nwyPDg"/>
    <s v="Samita Dey"/>
    <s v="http://www.youtube.com/channel/UCn5FBvjUlYQBUFu_2nwyPDg"/>
    <m/>
    <s v="LBkXQ_mBO3Q"/>
    <s v="https://www.youtube.com/watch?v=LBkXQ_mBO3Q"/>
    <s v="none"/>
    <n v="1"/>
    <x v="117"/>
    <d v="2020-12-10T11:53:54.000"/>
    <m/>
    <m/>
    <s v=""/>
    <n v="1"/>
    <s v="3"/>
    <s v="3"/>
    <n v="0"/>
    <n v="0"/>
    <n v="0"/>
    <n v="0"/>
    <n v="0"/>
    <n v="0"/>
    <n v="4"/>
    <n v="100"/>
    <n v="4"/>
  </r>
  <r>
    <s v="UCVt_hRn0DxHLPKVM-E3T1gQ"/>
    <s v="UC5VEXHfh6kXP2d8EkFx16sw"/>
    <s v="192, 192, 192"/>
    <n v="3"/>
    <m/>
    <n v="40"/>
    <m/>
    <m/>
    <m/>
    <m/>
    <s v="No"/>
    <n v="121"/>
    <m/>
    <m/>
    <s v="Commented Video"/>
    <x v="0"/>
    <s v="This will help me alot in my presentation"/>
    <s v="UCVt_hRn0DxHLPKVM-E3T1gQ"/>
    <s v="triggeredpari💖"/>
    <s v="http://www.youtube.com/channel/UCVt_hRn0DxHLPKVM-E3T1gQ"/>
    <m/>
    <s v="LBkXQ_mBO3Q"/>
    <s v="https://www.youtube.com/watch?v=LBkXQ_mBO3Q"/>
    <s v="none"/>
    <n v="10"/>
    <x v="118"/>
    <d v="2020-12-18T13:21:29.000"/>
    <m/>
    <m/>
    <s v=""/>
    <n v="1"/>
    <s v="3"/>
    <s v="3"/>
    <n v="0"/>
    <n v="0"/>
    <n v="0"/>
    <n v="0"/>
    <n v="0"/>
    <n v="0"/>
    <n v="8"/>
    <n v="100"/>
    <n v="8"/>
  </r>
  <r>
    <s v="UCdGMILgjKkt3yFobo1qwNxQ"/>
    <s v="UC5VEXHfh6kXP2d8EkFx16sw"/>
    <s v="192, 192, 192"/>
    <n v="3"/>
    <m/>
    <n v="40"/>
    <m/>
    <m/>
    <m/>
    <m/>
    <s v="No"/>
    <n v="122"/>
    <m/>
    <m/>
    <s v="Commented Video"/>
    <x v="0"/>
    <s v="Good explanation thanku"/>
    <s v="UCdGMILgjKkt3yFobo1qwNxQ"/>
    <s v="bashipally Shivakumar"/>
    <s v="http://www.youtube.com/channel/UCdGMILgjKkt3yFobo1qwNxQ"/>
    <m/>
    <s v="LBkXQ_mBO3Q"/>
    <s v="https://www.youtube.com/watch?v=LBkXQ_mBO3Q"/>
    <s v="none"/>
    <n v="3"/>
    <x v="119"/>
    <d v="2020-12-27T11:41:44.000"/>
    <m/>
    <m/>
    <s v=""/>
    <n v="1"/>
    <s v="3"/>
    <s v="3"/>
    <n v="1"/>
    <n v="33.333333333333336"/>
    <n v="0"/>
    <n v="0"/>
    <n v="0"/>
    <n v="0"/>
    <n v="2"/>
    <n v="66.66666666666667"/>
    <n v="3"/>
  </r>
  <r>
    <s v="UCWrvRrVUPEYzS9gcmvugRXw"/>
    <s v="UC5VEXHfh6kXP2d8EkFx16sw"/>
    <s v="192, 192, 192"/>
    <n v="3"/>
    <m/>
    <n v="40"/>
    <m/>
    <m/>
    <m/>
    <m/>
    <s v="No"/>
    <n v="123"/>
    <m/>
    <m/>
    <s v="Commented Video"/>
    <x v="0"/>
    <s v="Outline the primary strategy for communicable disease?"/>
    <s v="UCWrvRrVUPEYzS9gcmvugRXw"/>
    <s v="taamba Amadhila"/>
    <s v="http://www.youtube.com/channel/UCWrvRrVUPEYzS9gcmvugRXw"/>
    <m/>
    <s v="LBkXQ_mBO3Q"/>
    <s v="https://www.youtube.com/watch?v=LBkXQ_mBO3Q"/>
    <s v="none"/>
    <n v="4"/>
    <x v="120"/>
    <d v="2020-12-27T15:33:49.000"/>
    <m/>
    <m/>
    <s v=""/>
    <n v="1"/>
    <s v="3"/>
    <s v="3"/>
    <n v="0"/>
    <n v="0"/>
    <n v="0"/>
    <n v="0"/>
    <n v="0"/>
    <n v="0"/>
    <n v="7"/>
    <n v="100"/>
    <n v="7"/>
  </r>
  <r>
    <s v="UC6EBoOUiusNM7Tk7OcY8ljg"/>
    <s v="UC5VEXHfh6kXP2d8EkFx16sw"/>
    <s v="192, 192, 192"/>
    <n v="3"/>
    <m/>
    <n v="40"/>
    <m/>
    <m/>
    <m/>
    <m/>
    <s v="No"/>
    <n v="124"/>
    <m/>
    <m/>
    <s v="Commented Video"/>
    <x v="0"/>
    <s v="Good explanation"/>
    <s v="UC6EBoOUiusNM7Tk7OcY8ljg"/>
    <s v="zahaan"/>
    <s v="http://www.youtube.com/channel/UC6EBoOUiusNM7Tk7OcY8ljg"/>
    <m/>
    <s v="LBkXQ_mBO3Q"/>
    <s v="https://www.youtube.com/watch?v=LBkXQ_mBO3Q"/>
    <s v="none"/>
    <n v="3"/>
    <x v="121"/>
    <d v="2021-01-08T07:24:37.000"/>
    <m/>
    <m/>
    <s v=""/>
    <n v="1"/>
    <s v="3"/>
    <s v="3"/>
    <n v="1"/>
    <n v="50"/>
    <n v="0"/>
    <n v="0"/>
    <n v="0"/>
    <n v="0"/>
    <n v="1"/>
    <n v="50"/>
    <n v="2"/>
  </r>
  <r>
    <s v="UCcg7hpzgNJU-8d33PBDEAmg"/>
    <s v="UC5VEXHfh6kXP2d8EkFx16sw"/>
    <s v="192, 192, 192"/>
    <n v="3"/>
    <m/>
    <n v="40"/>
    <m/>
    <m/>
    <m/>
    <m/>
    <s v="No"/>
    <n v="125"/>
    <m/>
    <m/>
    <s v="Commented Video"/>
    <x v="0"/>
    <s v="A very nice information about communicable diseases and i learn a lot of things."/>
    <s v="UCcg7hpzgNJU-8d33PBDEAmg"/>
    <s v="Rodolfo Mercado"/>
    <s v="http://www.youtube.com/channel/UCcg7hpzgNJU-8d33PBDEAmg"/>
    <m/>
    <s v="LBkXQ_mBO3Q"/>
    <s v="https://www.youtube.com/watch?v=LBkXQ_mBO3Q"/>
    <s v="none"/>
    <n v="5"/>
    <x v="122"/>
    <d v="2021-01-11T19:55:37.000"/>
    <m/>
    <m/>
    <s v=""/>
    <n v="1"/>
    <s v="3"/>
    <s v="3"/>
    <n v="1"/>
    <n v="7.142857142857143"/>
    <n v="0"/>
    <n v="0"/>
    <n v="0"/>
    <n v="0"/>
    <n v="13"/>
    <n v="92.85714285714286"/>
    <n v="14"/>
  </r>
  <r>
    <s v="UCNkgHJez9ThFzjZbfGp0meg"/>
    <s v="UC5VEXHfh6kXP2d8EkFx16sw"/>
    <s v="192, 192, 192"/>
    <n v="3"/>
    <m/>
    <n v="40"/>
    <m/>
    <m/>
    <m/>
    <m/>
    <s v="No"/>
    <n v="126"/>
    <m/>
    <m/>
    <s v="Commented Video"/>
    <x v="0"/>
    <s v="mans sounds like one of those airline hosts"/>
    <s v="UCNkgHJez9ThFzjZbfGp0meg"/>
    <s v="nia"/>
    <s v="http://www.youtube.com/channel/UCNkgHJez9ThFzjZbfGp0meg"/>
    <m/>
    <s v="LBkXQ_mBO3Q"/>
    <s v="https://www.youtube.com/watch?v=LBkXQ_mBO3Q"/>
    <s v="none"/>
    <n v="1"/>
    <x v="123"/>
    <d v="2021-01-14T03:12:13.000"/>
    <m/>
    <m/>
    <s v=""/>
    <n v="1"/>
    <s v="3"/>
    <s v="3"/>
    <n v="1"/>
    <n v="12.5"/>
    <n v="0"/>
    <n v="0"/>
    <n v="0"/>
    <n v="0"/>
    <n v="7"/>
    <n v="87.5"/>
    <n v="8"/>
  </r>
  <r>
    <s v="UCjNtXvpzLfFO_U-1zw4TD3g"/>
    <s v="UC5VEXHfh6kXP2d8EkFx16sw"/>
    <s v="192, 192, 192"/>
    <n v="3"/>
    <m/>
    <n v="40"/>
    <m/>
    <m/>
    <m/>
    <m/>
    <s v="No"/>
    <n v="127"/>
    <m/>
    <m/>
    <s v="Commented Video"/>
    <x v="0"/>
    <s v="Me commenting in 2021 be like:"/>
    <s v="UCjNtXvpzLfFO_U-1zw4TD3g"/>
    <s v="michael cabaya"/>
    <s v="http://www.youtube.com/channel/UCjNtXvpzLfFO_U-1zw4TD3g"/>
    <m/>
    <s v="LBkXQ_mBO3Q"/>
    <s v="https://www.youtube.com/watch?v=LBkXQ_mBO3Q"/>
    <s v="none"/>
    <n v="5"/>
    <x v="124"/>
    <d v="2021-01-17T14:43:59.000"/>
    <m/>
    <m/>
    <s v=""/>
    <n v="1"/>
    <s v="3"/>
    <s v="3"/>
    <n v="1"/>
    <n v="16.666666666666668"/>
    <n v="0"/>
    <n v="0"/>
    <n v="0"/>
    <n v="0"/>
    <n v="5"/>
    <n v="83.33333333333333"/>
    <n v="6"/>
  </r>
  <r>
    <s v="UC_k3eP9m8U3bW2ByWs3BRlg"/>
    <s v="UCHaSyW6beXgBHgIVRxulg1Q"/>
    <s v="192, 192, 192"/>
    <n v="3"/>
    <m/>
    <n v="40"/>
    <m/>
    <m/>
    <m/>
    <m/>
    <s v="No"/>
    <n v="128"/>
    <m/>
    <m/>
    <s v="Replied Comment"/>
    <x v="1"/>
    <s v="Same :p"/>
    <s v="UC_k3eP9m8U3bW2ByWs3BRlg"/>
    <s v="SkippyUnicorn"/>
    <s v="http://www.youtube.com/channel/UC_k3eP9m8U3bW2ByWs3BRlg"/>
    <s v="UgxVMAHb7HWU-r0dBid4AaABAg"/>
    <s v="LBkXQ_mBO3Q"/>
    <s v="https://www.youtube.com/watch?v=LBkXQ_mBO3Q"/>
    <s v="none"/>
    <n v="0"/>
    <x v="125"/>
    <d v="2021-03-02T13:06:30.000"/>
    <m/>
    <m/>
    <s v=""/>
    <n v="1"/>
    <s v="3"/>
    <s v="3"/>
    <n v="0"/>
    <n v="0"/>
    <n v="0"/>
    <n v="0"/>
    <n v="0"/>
    <n v="0"/>
    <n v="2"/>
    <n v="100"/>
    <n v="2"/>
  </r>
  <r>
    <s v="UCHaSyW6beXgBHgIVRxulg1Q"/>
    <s v="UC5VEXHfh6kXP2d8EkFx16sw"/>
    <s v="192, 192, 192"/>
    <n v="3"/>
    <m/>
    <n v="40"/>
    <m/>
    <m/>
    <m/>
    <m/>
    <s v="No"/>
    <n v="129"/>
    <m/>
    <m/>
    <s v="Commented Video"/>
    <x v="0"/>
    <s v="I  am watching this video in 2021 😁😎"/>
    <s v="UCHaSyW6beXgBHgIVRxulg1Q"/>
    <s v="Rinku Sukla"/>
    <s v="http://www.youtube.com/channel/UCHaSyW6beXgBHgIVRxulg1Q"/>
    <m/>
    <s v="LBkXQ_mBO3Q"/>
    <s v="https://www.youtube.com/watch?v=LBkXQ_mBO3Q"/>
    <s v="none"/>
    <n v="3"/>
    <x v="126"/>
    <d v="2021-01-30T08:53:05.000"/>
    <m/>
    <m/>
    <s v=""/>
    <n v="1"/>
    <s v="3"/>
    <s v="3"/>
    <n v="0"/>
    <n v="0"/>
    <n v="0"/>
    <n v="0"/>
    <n v="0"/>
    <n v="0"/>
    <n v="7"/>
    <n v="100"/>
    <n v="7"/>
  </r>
  <r>
    <s v="UChKaNMuqrOYPeC3qNtAlouQ"/>
    <s v="UC5VEXHfh6kXP2d8EkFx16sw"/>
    <s v="192, 192, 192"/>
    <n v="3"/>
    <m/>
    <n v="40"/>
    <m/>
    <m/>
    <m/>
    <m/>
    <s v="No"/>
    <n v="130"/>
    <m/>
    <m/>
    <s v="Commented Video"/>
    <x v="0"/>
    <s v="Thank you sir it will help me in my science"/>
    <s v="UChKaNMuqrOYPeC3qNtAlouQ"/>
    <s v="Imran Hasan"/>
    <s v="http://www.youtube.com/channel/UChKaNMuqrOYPeC3qNtAlouQ"/>
    <m/>
    <s v="LBkXQ_mBO3Q"/>
    <s v="https://www.youtube.com/watch?v=LBkXQ_mBO3Q"/>
    <s v="none"/>
    <n v="2"/>
    <x v="127"/>
    <d v="2021-02-15T04:15:04.000"/>
    <m/>
    <m/>
    <s v=""/>
    <n v="1"/>
    <s v="3"/>
    <s v="3"/>
    <n v="1"/>
    <n v="10"/>
    <n v="0"/>
    <n v="0"/>
    <n v="0"/>
    <n v="0"/>
    <n v="9"/>
    <n v="90"/>
    <n v="10"/>
  </r>
  <r>
    <s v="UCk54dTDeL3itKr1s9RExZ0g"/>
    <s v="UC5VEXHfh6kXP2d8EkFx16sw"/>
    <s v="192, 192, 192"/>
    <n v="3"/>
    <m/>
    <n v="40"/>
    <m/>
    <m/>
    <m/>
    <m/>
    <s v="No"/>
    <n v="131"/>
    <m/>
    <m/>
    <s v="Commented Video"/>
    <x v="0"/>
    <s v="Thank you for this detailed and informative video.  It is age appropriate and my students will benefit tremendously from it!"/>
    <s v="UCk54dTDeL3itKr1s9RExZ0g"/>
    <s v="Yvette Miller-Samuel"/>
    <s v="http://www.youtube.com/channel/UCk54dTDeL3itKr1s9RExZ0g"/>
    <m/>
    <s v="LBkXQ_mBO3Q"/>
    <s v="https://www.youtube.com/watch?v=LBkXQ_mBO3Q"/>
    <s v="none"/>
    <n v="7"/>
    <x v="128"/>
    <d v="2021-02-18T10:22:17.000"/>
    <m/>
    <m/>
    <s v=""/>
    <n v="1"/>
    <s v="3"/>
    <s v="3"/>
    <n v="4"/>
    <n v="20"/>
    <n v="0"/>
    <n v="0"/>
    <n v="0"/>
    <n v="0"/>
    <n v="16"/>
    <n v="80"/>
    <n v="20"/>
  </r>
  <r>
    <s v="UC7BhXPzyrxo8GYXtOpWMfaQ"/>
    <s v="UC5VEXHfh6kXP2d8EkFx16sw"/>
    <s v="192, 192, 192"/>
    <n v="3"/>
    <m/>
    <n v="40"/>
    <m/>
    <m/>
    <m/>
    <m/>
    <s v="No"/>
    <n v="132"/>
    <m/>
    <m/>
    <s v="Commented Video"/>
    <x v="0"/>
    <s v="good video"/>
    <s v="UC7BhXPzyrxo8GYXtOpWMfaQ"/>
    <s v="Jake Strachan"/>
    <s v="http://www.youtube.com/channel/UC7BhXPzyrxo8GYXtOpWMfaQ"/>
    <m/>
    <s v="LBkXQ_mBO3Q"/>
    <s v="https://www.youtube.com/watch?v=LBkXQ_mBO3Q"/>
    <s v="none"/>
    <n v="2"/>
    <x v="129"/>
    <d v="2021-02-25T06:04:53.000"/>
    <m/>
    <m/>
    <s v=""/>
    <n v="1"/>
    <s v="3"/>
    <s v="3"/>
    <n v="1"/>
    <n v="50"/>
    <n v="0"/>
    <n v="0"/>
    <n v="0"/>
    <n v="0"/>
    <n v="1"/>
    <n v="50"/>
    <n v="2"/>
  </r>
  <r>
    <s v="UCoRiIi240DGZFMU-GdSM2uQ"/>
    <s v="UC5VEXHfh6kXP2d8EkFx16sw"/>
    <s v="192, 192, 192"/>
    <n v="3"/>
    <m/>
    <n v="40"/>
    <m/>
    <m/>
    <m/>
    <m/>
    <s v="No"/>
    <n v="133"/>
    <m/>
    <m/>
    <s v="Commented Video"/>
    <x v="0"/>
    <s v="Thanks Bro"/>
    <s v="UCoRiIi240DGZFMU-GdSM2uQ"/>
    <s v="Eternal Cat"/>
    <s v="http://www.youtube.com/channel/UCoRiIi240DGZFMU-GdSM2uQ"/>
    <m/>
    <s v="LBkXQ_mBO3Q"/>
    <s v="https://www.youtube.com/watch?v=LBkXQ_mBO3Q"/>
    <s v="none"/>
    <n v="5"/>
    <x v="130"/>
    <d v="2021-02-27T09:48:21.000"/>
    <m/>
    <m/>
    <s v=""/>
    <n v="1"/>
    <s v="3"/>
    <s v="3"/>
    <n v="0"/>
    <n v="0"/>
    <n v="0"/>
    <n v="0"/>
    <n v="0"/>
    <n v="0"/>
    <n v="2"/>
    <n v="100"/>
    <n v="2"/>
  </r>
  <r>
    <s v="UChu_F4PvpOCkYC7OucP4izA"/>
    <s v="UC5VEXHfh6kXP2d8EkFx16sw"/>
    <s v="192, 192, 192"/>
    <n v="3"/>
    <m/>
    <n v="40"/>
    <m/>
    <m/>
    <m/>
    <m/>
    <s v="No"/>
    <n v="134"/>
    <m/>
    <m/>
    <s v="Commented Video"/>
    <x v="0"/>
    <s v="Very nice 👌 video and information"/>
    <s v="UChu_F4PvpOCkYC7OucP4izA"/>
    <s v="Nirmala Vuppalapati"/>
    <s v="http://www.youtube.com/channel/UChu_F4PvpOCkYC7OucP4izA"/>
    <m/>
    <s v="LBkXQ_mBO3Q"/>
    <s v="https://www.youtube.com/watch?v=LBkXQ_mBO3Q"/>
    <s v="none"/>
    <n v="1"/>
    <x v="131"/>
    <d v="2021-03-04T15:03:42.000"/>
    <m/>
    <m/>
    <s v=""/>
    <n v="1"/>
    <s v="3"/>
    <s v="3"/>
    <n v="1"/>
    <n v="20"/>
    <n v="0"/>
    <n v="0"/>
    <n v="0"/>
    <n v="0"/>
    <n v="4"/>
    <n v="80"/>
    <n v="5"/>
  </r>
  <r>
    <s v="UC3CZMToTwqMZNRiHmDKaUMw"/>
    <s v="UC5VEXHfh6kXP2d8EkFx16sw"/>
    <s v="192, 192, 192"/>
    <n v="3"/>
    <m/>
    <n v="40"/>
    <m/>
    <m/>
    <m/>
    <m/>
    <s v="No"/>
    <n v="135"/>
    <m/>
    <m/>
    <s v="Commented Video"/>
    <x v="0"/>
    <s v="In the book it was stated that vector-borne diseases ate indirect, and droplet transmission is a direct transmission. Which is which?"/>
    <s v="UC3CZMToTwqMZNRiHmDKaUMw"/>
    <s v="revie vicente"/>
    <s v="http://www.youtube.com/channel/UC3CZMToTwqMZNRiHmDKaUMw"/>
    <m/>
    <s v="LBkXQ_mBO3Q"/>
    <s v="https://www.youtube.com/watch?v=LBkXQ_mBO3Q"/>
    <s v="none"/>
    <n v="1"/>
    <x v="132"/>
    <d v="2021-03-06T08:57:13.000"/>
    <m/>
    <m/>
    <s v=""/>
    <n v="1"/>
    <s v="3"/>
    <s v="3"/>
    <n v="0"/>
    <n v="0"/>
    <n v="0"/>
    <n v="0"/>
    <n v="0"/>
    <n v="0"/>
    <n v="22"/>
    <n v="100"/>
    <n v="22"/>
  </r>
  <r>
    <s v="UCk4RmdXiRi_Ad_l4rvGXvhg"/>
    <s v="UC5VEXHfh6kXP2d8EkFx16sw"/>
    <s v="192, 192, 192"/>
    <n v="3"/>
    <m/>
    <n v="40"/>
    <m/>
    <m/>
    <m/>
    <m/>
    <s v="No"/>
    <n v="136"/>
    <m/>
    <m/>
    <s v="Commented Video"/>
    <x v="0"/>
    <s v="Is fever a communicable disease?"/>
    <s v="UCk4RmdXiRi_Ad_l4rvGXvhg"/>
    <s v="Rekha Sharma"/>
    <s v="http://www.youtube.com/channel/UCk4RmdXiRi_Ad_l4rvGXvhg"/>
    <m/>
    <s v="LBkXQ_mBO3Q"/>
    <s v="https://www.youtube.com/watch?v=LBkXQ_mBO3Q"/>
    <s v="none"/>
    <n v="0"/>
    <x v="133"/>
    <d v="2021-03-15T09:11:09.000"/>
    <m/>
    <m/>
    <s v=""/>
    <n v="1"/>
    <s v="3"/>
    <s v="3"/>
    <n v="0"/>
    <n v="0"/>
    <n v="1"/>
    <n v="20"/>
    <n v="0"/>
    <n v="0"/>
    <n v="4"/>
    <n v="80"/>
    <n v="5"/>
  </r>
  <r>
    <s v="UC0-9DqPDBZuUlkte_JxRorA"/>
    <s v="UC5VEXHfh6kXP2d8EkFx16sw"/>
    <s v="192, 192, 192"/>
    <n v="3"/>
    <m/>
    <n v="40"/>
    <m/>
    <m/>
    <m/>
    <m/>
    <s v="No"/>
    <n v="137"/>
    <m/>
    <m/>
    <s v="Commented Video"/>
    <x v="0"/>
    <s v="Who ever thought Dr osunma herbs can cure my 8 months hsv2,,I finally got rid of it with herbal product I got from Dr osunma on YouTube."/>
    <s v="UC0-9DqPDBZuUlkte_JxRorA"/>
    <s v="Tara stewart"/>
    <s v="http://www.youtube.com/channel/UC0-9DqPDBZuUlkte_JxRorA"/>
    <m/>
    <s v="LBkXQ_mBO3Q"/>
    <s v="https://www.youtube.com/watch?v=LBkXQ_mBO3Q"/>
    <s v="none"/>
    <n v="0"/>
    <x v="134"/>
    <d v="2021-03-15T21:20:42.000"/>
    <m/>
    <m/>
    <s v=""/>
    <n v="1"/>
    <s v="3"/>
    <s v="3"/>
    <n v="1"/>
    <n v="3.5714285714285716"/>
    <n v="0"/>
    <n v="0"/>
    <n v="0"/>
    <n v="0"/>
    <n v="27"/>
    <n v="96.42857142857143"/>
    <n v="28"/>
  </r>
  <r>
    <s v="UCW1cxUDBPmXb9Uaiw3gcl5g"/>
    <s v="UC5VEXHfh6kXP2d8EkFx16sw"/>
    <s v="192, 192, 192"/>
    <n v="3"/>
    <m/>
    <n v="40"/>
    <m/>
    <m/>
    <m/>
    <m/>
    <s v="No"/>
    <n v="138"/>
    <m/>
    <m/>
    <s v="Commented Video"/>
    <x v="0"/>
    <s v="God still answers prayers,,I cant believe am negative to herpes virus. I was able to beat it down with the help of Dr osunma on YouTube, his healing herbs works fast for diseases,,don&amp;#39;t waste time on hospital medications that won&amp;#39;t work,,visit him on his YouTube channel"/>
    <s v="UCW1cxUDBPmXb9Uaiw3gcl5g"/>
    <s v="Desmond Reuben"/>
    <s v="http://www.youtube.com/channel/UCW1cxUDBPmXb9Uaiw3gcl5g"/>
    <m/>
    <s v="LBkXQ_mBO3Q"/>
    <s v="https://www.youtube.com/watch?v=LBkXQ_mBO3Q"/>
    <s v="none"/>
    <n v="0"/>
    <x v="135"/>
    <d v="2021-03-15T22:44:08.000"/>
    <m/>
    <m/>
    <s v=""/>
    <n v="1"/>
    <s v="3"/>
    <s v="3"/>
    <n v="4"/>
    <n v="7.547169811320755"/>
    <n v="3"/>
    <n v="5.660377358490566"/>
    <n v="0"/>
    <n v="0"/>
    <n v="46"/>
    <n v="86.79245283018868"/>
    <n v="53"/>
  </r>
  <r>
    <s v="UCdeCufBUMozc9vUfN0DiUwg"/>
    <s v="UC5VEXHfh6kXP2d8EkFx16sw"/>
    <s v="192, 192, 192"/>
    <n v="3"/>
    <m/>
    <n v="40"/>
    <m/>
    <m/>
    <m/>
    <m/>
    <s v="No"/>
    <n v="139"/>
    <m/>
    <m/>
    <s v="Commented Video"/>
    <x v="0"/>
    <s v="In 2010, I went to a local hospital in Hagerstown, Maryland with stomach issues. I was later transferred to a large hospital in Baltimore after developing jaundice. There, I learned that there was a tumor blocking my liver duct—the cause of the stomach distress—and that I had Stage 3 pancreatic cancer. I had no prior family history of the disease and was only 44-years-old at the time of diagnosis. I tried so many treatment but still no change, until a friend of mine told me about Dr Harvey, he told me how Dr Harvey cured his uncle with his Herbal Products and suggested I contact him ,so I quickly contacted him and explained everything to him and he assured me that his Herbal Products  will cure me which I strongly believed ,so I purchased it and he told me  how to use it which I did , after some time I Started noticing some Changes in my body after 30 days I went for a test and to my greatest surprise the result was negative, Wow I’m so happy about this, thank you so much Dr Harvey. you can also contact Dr Harvey on VIA EMAIL: (Drharveyphytotherapy@yahoo.com)&lt;br&gt;WHATSAPP:+16785689096"/>
    <s v="UCdeCufBUMozc9vUfN0DiUwg"/>
    <s v="Johnson Moland"/>
    <s v="http://www.youtube.com/channel/UCdeCufBUMozc9vUfN0DiUwg"/>
    <m/>
    <s v="LBkXQ_mBO3Q"/>
    <s v="https://www.youtube.com/watch?v=LBkXQ_mBO3Q"/>
    <s v="none"/>
    <n v="1"/>
    <x v="136"/>
    <d v="2021-04-02T03:36:57.000"/>
    <m/>
    <m/>
    <s v=""/>
    <n v="1"/>
    <s v="3"/>
    <s v="3"/>
    <n v="5"/>
    <n v="2.4271844660194173"/>
    <n v="4"/>
    <n v="1.941747572815534"/>
    <n v="0"/>
    <n v="0"/>
    <n v="197"/>
    <n v="95.63106796116504"/>
    <n v="206"/>
  </r>
  <r>
    <s v="UCyAvQ66sltINGcJeA0gOLZw"/>
    <s v="UC5VEXHfh6kXP2d8EkFx16sw"/>
    <s v="192, 192, 192"/>
    <n v="3"/>
    <m/>
    <n v="40"/>
    <m/>
    <m/>
    <m/>
    <m/>
    <s v="No"/>
    <n v="140"/>
    <m/>
    <m/>
    <s v="Commented Video"/>
    <x v="0"/>
    <s v="🚗💨 brooooooooom"/>
    <s v="UCyAvQ66sltINGcJeA0gOLZw"/>
    <s v="Angelinecleoffe Vicente etuc"/>
    <s v="http://www.youtube.com/channel/UCyAvQ66sltINGcJeA0gOLZw"/>
    <m/>
    <s v="LBkXQ_mBO3Q"/>
    <s v="https://www.youtube.com/watch?v=LBkXQ_mBO3Q"/>
    <s v="none"/>
    <n v="4"/>
    <x v="137"/>
    <d v="2021-04-06T09:59:24.000"/>
    <m/>
    <m/>
    <s v=""/>
    <n v="1"/>
    <s v="3"/>
    <s v="3"/>
    <n v="0"/>
    <n v="0"/>
    <n v="0"/>
    <n v="0"/>
    <n v="0"/>
    <n v="0"/>
    <n v="1"/>
    <n v="100"/>
    <n v="1"/>
  </r>
  <r>
    <s v="UCmcCU9CY86IsTMggOzc9c1w"/>
    <s v="UC5VEXHfh6kXP2d8EkFx16sw"/>
    <s v="192, 192, 192"/>
    <n v="3"/>
    <m/>
    <n v="40"/>
    <m/>
    <m/>
    <m/>
    <m/>
    <s v="No"/>
    <n v="141"/>
    <m/>
    <m/>
    <s v="Commented Video"/>
    <x v="0"/>
    <s v="🤔"/>
    <s v="UCmcCU9CY86IsTMggOzc9c1w"/>
    <s v="Ajju M"/>
    <s v="http://www.youtube.com/channel/UCmcCU9CY86IsTMggOzc9c1w"/>
    <m/>
    <s v="LBkXQ_mBO3Q"/>
    <s v="https://www.youtube.com/watch?v=LBkXQ_mBO3Q"/>
    <s v="none"/>
    <n v="1"/>
    <x v="138"/>
    <d v="2021-04-12T05:36:57.000"/>
    <m/>
    <m/>
    <s v=""/>
    <n v="1"/>
    <s v="3"/>
    <s v="3"/>
    <n v="0"/>
    <n v="0"/>
    <n v="0"/>
    <n v="0"/>
    <n v="0"/>
    <n v="0"/>
    <n v="0"/>
    <n v="0"/>
    <n v="0"/>
  </r>
  <r>
    <s v="UCnq6GOWcAMgieiQL0GoPhPA"/>
    <s v="UC5VEXHfh6kXP2d8EkFx16sw"/>
    <s v="192, 192, 192"/>
    <n v="3"/>
    <m/>
    <n v="40"/>
    <m/>
    <m/>
    <m/>
    <m/>
    <s v="No"/>
    <n v="142"/>
    <m/>
    <m/>
    <s v="Commented Video"/>
    <x v="0"/>
    <s v="Hi"/>
    <s v="UCnq6GOWcAMgieiQL0GoPhPA"/>
    <s v="Spartan Gaming"/>
    <s v="http://www.youtube.com/channel/UCnq6GOWcAMgieiQL0GoPhPA"/>
    <m/>
    <s v="LBkXQ_mBO3Q"/>
    <s v="https://www.youtube.com/watch?v=LBkXQ_mBO3Q"/>
    <s v="none"/>
    <n v="0"/>
    <x v="139"/>
    <d v="2021-04-12T05:42:28.000"/>
    <m/>
    <m/>
    <s v=""/>
    <n v="1"/>
    <s v="3"/>
    <s v="3"/>
    <n v="0"/>
    <n v="0"/>
    <n v="0"/>
    <n v="0"/>
    <n v="0"/>
    <n v="0"/>
    <n v="1"/>
    <n v="100"/>
    <n v="1"/>
  </r>
  <r>
    <s v="UCCh2ckjPJ7h0mTb7jsiqEtg"/>
    <s v="UC5VEXHfh6kXP2d8EkFx16sw"/>
    <s v="192, 192, 192"/>
    <n v="3"/>
    <m/>
    <n v="40"/>
    <m/>
    <m/>
    <m/>
    <m/>
    <s v="No"/>
    <n v="143"/>
    <m/>
    <m/>
    <s v="Commented Video"/>
    <x v="0"/>
    <s v="Thank you for a brief but clear explanation."/>
    <s v="UCCh2ckjPJ7h0mTb7jsiqEtg"/>
    <s v="Min Manlapaz"/>
    <s v="http://www.youtube.com/channel/UCCh2ckjPJ7h0mTb7jsiqEtg"/>
    <m/>
    <s v="LBkXQ_mBO3Q"/>
    <s v="https://www.youtube.com/watch?v=LBkXQ_mBO3Q"/>
    <s v="none"/>
    <n v="1"/>
    <x v="140"/>
    <d v="2021-04-16T05:18:31.000"/>
    <m/>
    <m/>
    <s v=""/>
    <n v="1"/>
    <s v="3"/>
    <s v="3"/>
    <n v="2"/>
    <n v="25"/>
    <n v="0"/>
    <n v="0"/>
    <n v="0"/>
    <n v="0"/>
    <n v="6"/>
    <n v="75"/>
    <n v="8"/>
  </r>
  <r>
    <s v="UCp8ZgTPmxFx3Byn4FrNseNw"/>
    <s v="UC5VEXHfh6kXP2d8EkFx16sw"/>
    <s v="192, 192, 192"/>
    <n v="3"/>
    <m/>
    <n v="40"/>
    <m/>
    <m/>
    <m/>
    <m/>
    <s v="No"/>
    <n v="144"/>
    <m/>
    <m/>
    <s v="Commented Video"/>
    <x v="0"/>
    <s v="Living with a virus for eternity is something you need to sit down and think.  There is a cure for any type of virus and diseases.  So why listen to people who will discourage you and not give you cure.  Alternative cure for any type of virus, diseases and STDS available.  &lt;br&gt;1;  HSV1 and HSV2&lt;br&gt; 2;  Lupus diseases&lt;br&gt; 3;  Cancer &lt;br&gt;4; Human Papilloma virus (HPV) &lt;br&gt;5;  Crohn&amp;#39;s diseases &lt;br&gt;6;  Diabetes &lt;br&gt;7;  Sickle Cell Arnamia &lt;br&gt;8;  Herpes &lt;br&gt;9;  HIV &lt;br&gt;10; Neratitis &lt;br&gt;11; Hepatitis&lt;br&gt;12; Pile&lt;br&gt; for any health issues Contact Doctor akhigbe for help in ridding out your problem.  WhatsApp &lt;br&gt;+2349046230269"/>
    <s v="UCp8ZgTPmxFx3Byn4FrNseNw"/>
    <s v="Jessica William"/>
    <s v="http://www.youtube.com/channel/UCp8ZgTPmxFx3Byn4FrNseNw"/>
    <m/>
    <s v="LBkXQ_mBO3Q"/>
    <s v="https://www.youtube.com/watch?v=LBkXQ_mBO3Q"/>
    <s v="none"/>
    <n v="0"/>
    <x v="141"/>
    <d v="2021-04-23T12:35:56.000"/>
    <m/>
    <m/>
    <s v=""/>
    <n v="1"/>
    <s v="3"/>
    <s v="3"/>
    <n v="4"/>
    <n v="3.4482758620689653"/>
    <n v="8"/>
    <n v="6.896551724137931"/>
    <n v="0"/>
    <n v="0"/>
    <n v="104"/>
    <n v="89.65517241379311"/>
    <n v="116"/>
  </r>
  <r>
    <s v="UCje3PxipWZYavjpN0rQ6KIA"/>
    <s v="UC5VEXHfh6kXP2d8EkFx16sw"/>
    <s v="192, 192, 192"/>
    <n v="3"/>
    <m/>
    <n v="40"/>
    <m/>
    <m/>
    <m/>
    <m/>
    <s v="No"/>
    <n v="145"/>
    <m/>
    <m/>
    <s v="Commented Video"/>
    <x v="0"/>
    <s v="Thanks"/>
    <s v="UCje3PxipWZYavjpN0rQ6KIA"/>
    <s v="SUNANADA CHAMARIA"/>
    <s v="http://www.youtube.com/channel/UCje3PxipWZYavjpN0rQ6KIA"/>
    <m/>
    <s v="LBkXQ_mBO3Q"/>
    <s v="https://www.youtube.com/watch?v=LBkXQ_mBO3Q"/>
    <s v="none"/>
    <n v="0"/>
    <x v="142"/>
    <d v="2021-04-26T17:15:43.000"/>
    <m/>
    <m/>
    <s v=""/>
    <n v="1"/>
    <s v="3"/>
    <s v="3"/>
    <n v="0"/>
    <n v="0"/>
    <n v="0"/>
    <n v="0"/>
    <n v="0"/>
    <n v="0"/>
    <n v="1"/>
    <n v="100"/>
    <n v="1"/>
  </r>
  <r>
    <s v="UCJ9K3iJG-Y9q1T1ob7boPWA"/>
    <s v="UC5VEXHfh6kXP2d8EkFx16sw"/>
    <s v="192, 192, 192"/>
    <n v="3"/>
    <m/>
    <n v="40"/>
    <m/>
    <m/>
    <m/>
    <m/>
    <s v="No"/>
    <n v="146"/>
    <m/>
    <m/>
    <s v="Commented Video"/>
    <x v="0"/>
    <s v="Good information about communicable diseases"/>
    <s v="UCJ9K3iJG-Y9q1T1ob7boPWA"/>
    <s v="Joshua Humphrey"/>
    <s v="http://www.youtube.com/channel/UCJ9K3iJG-Y9q1T1ob7boPWA"/>
    <m/>
    <s v="LBkXQ_mBO3Q"/>
    <s v="https://www.youtube.com/watch?v=LBkXQ_mBO3Q"/>
    <s v="none"/>
    <n v="0"/>
    <x v="143"/>
    <d v="2021-04-26T19:14:19.000"/>
    <m/>
    <m/>
    <s v=""/>
    <n v="1"/>
    <s v="3"/>
    <s v="3"/>
    <n v="1"/>
    <n v="20"/>
    <n v="0"/>
    <n v="0"/>
    <n v="0"/>
    <n v="0"/>
    <n v="4"/>
    <n v="80"/>
    <n v="5"/>
  </r>
  <r>
    <s v="UCegghkfUlTirnZe1VpjgrrQ"/>
    <s v="UC5VEXHfh6kXP2d8EkFx16sw"/>
    <s v="192, 192, 192"/>
    <n v="3"/>
    <m/>
    <n v="40"/>
    <m/>
    <m/>
    <m/>
    <m/>
    <s v="No"/>
    <n v="147"/>
    <m/>
    <m/>
    <s v="Commented Video"/>
    <x v="0"/>
    <s v="This is so useful that my daughter said that her school used it for an explanation. 💯💯💯"/>
    <s v="UCegghkfUlTirnZe1VpjgrrQ"/>
    <s v="Chino Obasi"/>
    <s v="http://www.youtube.com/channel/UCegghkfUlTirnZe1VpjgrrQ"/>
    <m/>
    <s v="LBkXQ_mBO3Q"/>
    <s v="https://www.youtube.com/watch?v=LBkXQ_mBO3Q"/>
    <s v="none"/>
    <n v="0"/>
    <x v="144"/>
    <d v="2021-05-15T21:00:11.000"/>
    <m/>
    <m/>
    <s v=""/>
    <n v="1"/>
    <s v="3"/>
    <s v="3"/>
    <n v="1"/>
    <n v="6.25"/>
    <n v="0"/>
    <n v="0"/>
    <n v="0"/>
    <n v="0"/>
    <n v="15"/>
    <n v="93.75"/>
    <n v="16"/>
  </r>
  <r>
    <s v="UCFxc9HtSJfGsoM343LVWIYw"/>
    <s v="UC5VEXHfh6kXP2d8EkFx16sw"/>
    <s v="192, 192, 192"/>
    <n v="3"/>
    <m/>
    <n v="40"/>
    <m/>
    <m/>
    <m/>
    <m/>
    <s v="No"/>
    <n v="148"/>
    <m/>
    <m/>
    <s v="Commented Video"/>
    <x v="0"/>
    <s v="Dr. Ehimare on YouTube Herbal treatment is 100% guaranteed to cure HSV2, the reason why most people find it difficult to cure HSV2 is because they believe in the medical report, the drugs and the  medical treatment that is not helpful in curing HSV.  Natural roots and herbs are the best remedy that can easily eradicate herpes for good.  For more information on herpes cure, write to Dr. EHIMARE for any health challenge @ dr.ehimare on YouTube.  email: drehimareherbalremedyhome22@&lt;a href=&quot;http://gmail.com/&quot;&gt;gmail.com&lt;/a&gt; or WhatsApp +2349027349748 ...&lt;br&gt; &lt;a href=&quot;https://m.facebook.com/Dr-Ehimare-486420321924941&quot;&gt;https://m.facebook.com/Dr-Ehimare-486420321924941&lt;/a&gt;"/>
    <s v="UCFxc9HtSJfGsoM343LVWIYw"/>
    <s v="charlotte martha"/>
    <s v="http://www.youtube.com/channel/UCFxc9HtSJfGsoM343LVWIYw"/>
    <m/>
    <s v="LBkXQ_mBO3Q"/>
    <s v="https://www.youtube.com/watch?v=LBkXQ_mBO3Q"/>
    <s v="none"/>
    <n v="0"/>
    <x v="145"/>
    <d v="2021-05-17T16:23:30.000"/>
    <s v=" http://gmail.com/ https://m.facebook.com/Dr-Ehimare-486420321924941 https://m.facebook.com/Dr-Ehimare-486420321924941"/>
    <s v="gmail.com facebook.com facebook.com"/>
    <s v=""/>
    <n v="1"/>
    <s v="3"/>
    <s v="3"/>
    <n v="7"/>
    <n v="6.481481481481482"/>
    <n v="1"/>
    <n v="0.9259259259259259"/>
    <n v="0"/>
    <n v="0"/>
    <n v="100"/>
    <n v="92.5925925925926"/>
    <n v="108"/>
  </r>
  <r>
    <s v="UCMy1HbkjoOgpHJYtdMENr_w"/>
    <s v="UC5VEXHfh6kXP2d8EkFx16sw"/>
    <s v="192, 192, 192"/>
    <n v="3"/>
    <m/>
    <n v="40"/>
    <m/>
    <m/>
    <m/>
    <m/>
    <s v="No"/>
    <n v="149"/>
    <m/>
    <m/>
    <s v="Commented Video"/>
    <x v="0"/>
    <s v="i have to write an essay on this so im upset, but its a good video."/>
    <s v="UCMy1HbkjoOgpHJYtdMENr_w"/>
    <s v="Goose"/>
    <s v="http://www.youtube.com/channel/UCMy1HbkjoOgpHJYtdMENr_w"/>
    <m/>
    <s v="LBkXQ_mBO3Q"/>
    <s v="https://www.youtube.com/watch?v=LBkXQ_mBO3Q"/>
    <s v="none"/>
    <n v="0"/>
    <x v="146"/>
    <d v="2021-05-20T16:30:54.000"/>
    <m/>
    <m/>
    <s v=""/>
    <n v="1"/>
    <s v="3"/>
    <s v="3"/>
    <n v="1"/>
    <n v="6.25"/>
    <n v="1"/>
    <n v="6.25"/>
    <n v="0"/>
    <n v="0"/>
    <n v="14"/>
    <n v="87.5"/>
    <n v="16"/>
  </r>
  <r>
    <s v="UC87q_c5ZLiL--c2y5ecFsXQ"/>
    <s v="UCJyxx3causzxZ0ia8ZrS7kw"/>
    <s v="192, 192, 192"/>
    <n v="3"/>
    <m/>
    <n v="40"/>
    <m/>
    <m/>
    <m/>
    <m/>
    <s v="No"/>
    <n v="150"/>
    <m/>
    <m/>
    <s v="Replied Comment"/>
    <x v="1"/>
    <s v="@XD GAMER and your name is xd gamer LMAOOO :/"/>
    <s v="UC87q_c5ZLiL--c2y5ecFsXQ"/>
    <s v="Dylan Storer"/>
    <s v="http://www.youtube.com/channel/UC87q_c5ZLiL--c2y5ecFsXQ"/>
    <s v="UgxSlA1R5-pMEntHKud4AaABAg"/>
    <s v="iy-47a68P60"/>
    <s v="https://www.youtube.com/watch?v=iy-47a68P60"/>
    <s v="none"/>
    <n v="1"/>
    <x v="147"/>
    <d v="2020-07-06T17:33:28.000"/>
    <m/>
    <m/>
    <s v=""/>
    <n v="1"/>
    <s v="8"/>
    <s v="8"/>
    <n v="0"/>
    <n v="0"/>
    <n v="0"/>
    <n v="0"/>
    <n v="0"/>
    <n v="0"/>
    <n v="9"/>
    <n v="100"/>
    <n v="9"/>
  </r>
  <r>
    <s v="UCaGEe4KXZrjou9kQx6ezG2w"/>
    <s v="UCJyxx3causzxZ0ia8ZrS7kw"/>
    <s v="192, 192, 192"/>
    <n v="3"/>
    <m/>
    <n v="40"/>
    <m/>
    <m/>
    <m/>
    <m/>
    <s v="Yes"/>
    <n v="151"/>
    <m/>
    <m/>
    <s v="Replied Comment"/>
    <x v="1"/>
    <s v="Adam thanks so much for the support mate (and for leaving us a comment it really helps the vids get seen) - appreciate it so much! Good luck with all your work too 🙌"/>
    <s v="UCaGEe4KXZrjou9kQx6ezG2w"/>
    <s v="Cognito"/>
    <s v="http://www.youtube.com/channel/UCaGEe4KXZrjou9kQx6ezG2w"/>
    <s v="UgxSlA1R5-pMEntHKud4AaABAg"/>
    <s v="iy-47a68P60"/>
    <s v="https://www.youtube.com/watch?v=iy-47a68P60"/>
    <s v="none"/>
    <n v="5"/>
    <x v="148"/>
    <d v="2019-11-11T11:55:34.000"/>
    <m/>
    <m/>
    <s v=""/>
    <n v="1"/>
    <s v="8"/>
    <s v="8"/>
    <n v="5"/>
    <n v="15.625"/>
    <n v="0"/>
    <n v="0"/>
    <n v="0"/>
    <n v="0"/>
    <n v="27"/>
    <n v="84.375"/>
    <n v="32"/>
  </r>
  <r>
    <s v="UC6fFQW6FPEYzN3hpzQ2Aa1A"/>
    <s v="UCJyxx3causzxZ0ia8ZrS7kw"/>
    <s v="192, 192, 192"/>
    <n v="3"/>
    <m/>
    <n v="40"/>
    <m/>
    <m/>
    <m/>
    <m/>
    <s v="No"/>
    <n v="152"/>
    <m/>
    <m/>
    <s v="Replied Comment"/>
    <x v="1"/>
    <s v="You suck buddyyyyyyyyyyyy"/>
    <s v="UC6fFQW6FPEYzN3hpzQ2Aa1A"/>
    <s v="XD GAMER"/>
    <s v="http://www.youtube.com/channel/UC6fFQW6FPEYzN3hpzQ2Aa1A"/>
    <s v="UgxSlA1R5-pMEntHKud4AaABAg"/>
    <s v="iy-47a68P60"/>
    <s v="https://www.youtube.com/watch?v=iy-47a68P60"/>
    <s v="none"/>
    <n v="2"/>
    <x v="149"/>
    <d v="2020-06-10T06:40:03.000"/>
    <m/>
    <m/>
    <s v=""/>
    <n v="1"/>
    <s v="8"/>
    <s v="8"/>
    <n v="0"/>
    <n v="0"/>
    <n v="1"/>
    <n v="33.333333333333336"/>
    <n v="0"/>
    <n v="0"/>
    <n v="2"/>
    <n v="66.66666666666667"/>
    <n v="3"/>
  </r>
  <r>
    <s v="UCJyxx3causzxZ0ia8ZrS7kw"/>
    <s v="UCaGEe4KXZrjou9kQx6ezG2w"/>
    <s v="192, 192, 192"/>
    <n v="3"/>
    <m/>
    <n v="40"/>
    <m/>
    <m/>
    <m/>
    <m/>
    <s v="Yes"/>
    <n v="153"/>
    <m/>
    <m/>
    <s v="Commented Video"/>
    <x v="0"/>
    <s v="ur a legend you know that"/>
    <s v="UCJyxx3causzxZ0ia8ZrS7kw"/>
    <s v="Adam Fn"/>
    <s v="http://www.youtube.com/channel/UCJyxx3causzxZ0ia8ZrS7kw"/>
    <m/>
    <s v="iy-47a68P60"/>
    <s v="https://www.youtube.com/watch?v=iy-47a68P60"/>
    <s v="none"/>
    <n v="15"/>
    <x v="150"/>
    <d v="2019-11-10T20:06:04.000"/>
    <m/>
    <m/>
    <s v=""/>
    <n v="1"/>
    <s v="8"/>
    <s v="8"/>
    <n v="0"/>
    <n v="0"/>
    <n v="0"/>
    <n v="0"/>
    <n v="0"/>
    <n v="0"/>
    <n v="6"/>
    <n v="100"/>
    <n v="6"/>
  </r>
  <r>
    <s v="UCaGEe4KXZrjou9kQx6ezG2w"/>
    <s v="UCTiTw_hbT1GeA4lqCvmVYOw"/>
    <s v="192, 192, 192"/>
    <n v="3"/>
    <m/>
    <n v="40"/>
    <m/>
    <m/>
    <m/>
    <m/>
    <s v="Yes"/>
    <n v="154"/>
    <m/>
    <m/>
    <s v="Replied Comment"/>
    <x v="1"/>
    <s v="Thanks for your comment and support!!"/>
    <s v="UCaGEe4KXZrjou9kQx6ezG2w"/>
    <s v="Cognito"/>
    <s v="http://www.youtube.com/channel/UCaGEe4KXZrjou9kQx6ezG2w"/>
    <s v="UgxwhvfQdCHFgaWapRh4AaABAg"/>
    <s v="iy-47a68P60"/>
    <s v="https://www.youtube.com/watch?v=iy-47a68P60"/>
    <s v="none"/>
    <n v="5"/>
    <x v="151"/>
    <d v="2020-02-06T22:55:40.000"/>
    <m/>
    <m/>
    <s v=""/>
    <n v="1"/>
    <s v="8"/>
    <s v="8"/>
    <n v="1"/>
    <n v="16.666666666666668"/>
    <n v="0"/>
    <n v="0"/>
    <n v="0"/>
    <n v="0"/>
    <n v="5"/>
    <n v="83.33333333333333"/>
    <n v="6"/>
  </r>
  <r>
    <s v="UCTiTw_hbT1GeA4lqCvmVYOw"/>
    <s v="UCaGEe4KXZrjou9kQx6ezG2w"/>
    <s v="192, 192, 192"/>
    <n v="3"/>
    <m/>
    <n v="40"/>
    <m/>
    <m/>
    <m/>
    <m/>
    <s v="Yes"/>
    <n v="155"/>
    <m/>
    <m/>
    <s v="Commented Video"/>
    <x v="0"/>
    <s v="Thank you for these videos!"/>
    <s v="UCTiTw_hbT1GeA4lqCvmVYOw"/>
    <s v="Lydia"/>
    <s v="http://www.youtube.com/channel/UCTiTw_hbT1GeA4lqCvmVYOw"/>
    <m/>
    <s v="iy-47a68P60"/>
    <s v="https://www.youtube.com/watch?v=iy-47a68P60"/>
    <s v="none"/>
    <n v="14"/>
    <x v="152"/>
    <d v="2020-02-06T08:49:03.000"/>
    <m/>
    <m/>
    <s v=""/>
    <n v="1"/>
    <s v="8"/>
    <s v="8"/>
    <n v="1"/>
    <n v="20"/>
    <n v="0"/>
    <n v="0"/>
    <n v="0"/>
    <n v="0"/>
    <n v="4"/>
    <n v="80"/>
    <n v="5"/>
  </r>
  <r>
    <s v="UChTFk9B9ufIln_tsgG1wdvg"/>
    <s v="UC5SyxPuKWP1YO_ArRAYulCA"/>
    <s v="192, 192, 192"/>
    <n v="3"/>
    <m/>
    <n v="40"/>
    <m/>
    <m/>
    <m/>
    <m/>
    <s v="No"/>
    <n v="156"/>
    <m/>
    <m/>
    <s v="Replied Comment"/>
    <x v="1"/>
    <s v="i bet you didnt sub though"/>
    <s v="UChTFk9B9ufIln_tsgG1wdvg"/>
    <s v="CITROUS"/>
    <s v="http://www.youtube.com/channel/UChTFk9B9ufIln_tsgG1wdvg"/>
    <s v="UgziyTKpKR8PWc26MCJ4AaABAg"/>
    <s v="iy-47a68P60"/>
    <s v="https://www.youtube.com/watch?v=iy-47a68P60"/>
    <s v="none"/>
    <n v="0"/>
    <x v="153"/>
    <d v="2020-10-30T17:43:54.000"/>
    <m/>
    <m/>
    <s v=""/>
    <n v="1"/>
    <s v="8"/>
    <s v="8"/>
    <n v="0"/>
    <n v="0"/>
    <n v="0"/>
    <n v="0"/>
    <n v="0"/>
    <n v="0"/>
    <n v="6"/>
    <n v="100"/>
    <n v="6"/>
  </r>
  <r>
    <s v="UC5SyxPuKWP1YO_ArRAYulCA"/>
    <s v="UCaGEe4KXZrjou9kQx6ezG2w"/>
    <s v="192, 192, 192"/>
    <n v="3"/>
    <m/>
    <n v="40"/>
    <m/>
    <m/>
    <m/>
    <m/>
    <s v="No"/>
    <n v="157"/>
    <m/>
    <m/>
    <s v="Commented Video"/>
    <x v="0"/>
    <s v="Perfect Video. This channell deserves more subscribers."/>
    <s v="UC5SyxPuKWP1YO_ArRAYulCA"/>
    <s v="Resul Hackr"/>
    <s v="http://www.youtube.com/channel/UC5SyxPuKWP1YO_ArRAYulCA"/>
    <m/>
    <s v="iy-47a68P60"/>
    <s v="https://www.youtube.com/watch?v=iy-47a68P60"/>
    <s v="none"/>
    <n v="9"/>
    <x v="154"/>
    <d v="2020-05-14T11:17:45.000"/>
    <m/>
    <m/>
    <s v=""/>
    <n v="1"/>
    <s v="8"/>
    <s v="8"/>
    <n v="1"/>
    <n v="14.285714285714286"/>
    <n v="0"/>
    <n v="0"/>
    <n v="0"/>
    <n v="0"/>
    <n v="6"/>
    <n v="85.71428571428571"/>
    <n v="7"/>
  </r>
  <r>
    <s v="UCt87IY3pyScZ-Rt-qhc7l-w"/>
    <s v="UCaGEe4KXZrjou9kQx6ezG2w"/>
    <s v="192, 192, 192"/>
    <n v="3"/>
    <m/>
    <n v="40"/>
    <m/>
    <m/>
    <m/>
    <m/>
    <s v="No"/>
    <n v="158"/>
    <m/>
    <m/>
    <s v="Commented Video"/>
    <x v="0"/>
    <s v="Uh o stinky"/>
    <s v="UCt87IY3pyScZ-Rt-qhc7l-w"/>
    <s v="Banana King"/>
    <s v="http://www.youtube.com/channel/UCt87IY3pyScZ-Rt-qhc7l-w"/>
    <m/>
    <s v="iy-47a68P60"/>
    <s v="https://www.youtube.com/watch?v=iy-47a68P60"/>
    <s v="none"/>
    <n v="3"/>
    <x v="155"/>
    <d v="2020-06-10T06:27:37.000"/>
    <m/>
    <m/>
    <s v=""/>
    <n v="1"/>
    <s v="8"/>
    <s v="8"/>
    <n v="0"/>
    <n v="0"/>
    <n v="0"/>
    <n v="0"/>
    <n v="0"/>
    <n v="0"/>
    <n v="3"/>
    <n v="100"/>
    <n v="3"/>
  </r>
  <r>
    <s v="UC6fFQW6FPEYzN3hpzQ2Aa1A"/>
    <s v="UC9Ja7kVyx1c4iXmhhXOV44A"/>
    <s v="192, 192, 192"/>
    <n v="3"/>
    <m/>
    <n v="40"/>
    <m/>
    <m/>
    <m/>
    <m/>
    <s v="No"/>
    <n v="159"/>
    <m/>
    <m/>
    <s v="Replied Comment"/>
    <x v="1"/>
    <s v="That’s true your stinkyyyyyyy"/>
    <s v="UC6fFQW6FPEYzN3hpzQ2Aa1A"/>
    <s v="XD GAMER"/>
    <s v="http://www.youtube.com/channel/UC6fFQW6FPEYzN3hpzQ2Aa1A"/>
    <s v="Ugy4aFjtnBH11vMoyG54AaABAg"/>
    <s v="iy-47a68P60"/>
    <s v="https://www.youtube.com/watch?v=iy-47a68P60"/>
    <s v="none"/>
    <n v="0"/>
    <x v="156"/>
    <d v="2020-06-10T06:36:49.000"/>
    <m/>
    <m/>
    <s v=""/>
    <n v="1"/>
    <s v="8"/>
    <s v="8"/>
    <n v="0"/>
    <n v="0"/>
    <n v="0"/>
    <n v="0"/>
    <n v="0"/>
    <n v="0"/>
    <n v="5"/>
    <n v="100"/>
    <n v="5"/>
  </r>
  <r>
    <s v="UC9Ja7kVyx1c4iXmhhXOV44A"/>
    <s v="UCaGEe4KXZrjou9kQx6ezG2w"/>
    <s v="Red"/>
    <n v="10"/>
    <m/>
    <n v="15"/>
    <m/>
    <m/>
    <m/>
    <m/>
    <s v="No"/>
    <n v="160"/>
    <m/>
    <m/>
    <s v="Commented Video"/>
    <x v="0"/>
    <s v="Banana king is stinky"/>
    <s v="UC9Ja7kVyx1c4iXmhhXOV44A"/>
    <s v="rednaxela"/>
    <s v="http://www.youtube.com/channel/UC9Ja7kVyx1c4iXmhhXOV44A"/>
    <m/>
    <s v="iy-47a68P60"/>
    <s v="https://www.youtube.com/watch?v=iy-47a68P60"/>
    <s v="none"/>
    <n v="6"/>
    <x v="157"/>
    <d v="2020-06-10T06:28:43.000"/>
    <m/>
    <m/>
    <s v=""/>
    <n v="2"/>
    <s v="8"/>
    <s v="8"/>
    <n v="0"/>
    <n v="0"/>
    <n v="0"/>
    <n v="0"/>
    <n v="0"/>
    <n v="0"/>
    <n v="4"/>
    <n v="100"/>
    <n v="4"/>
  </r>
  <r>
    <s v="UC9Ja7kVyx1c4iXmhhXOV44A"/>
    <s v="UCaGEe4KXZrjou9kQx6ezG2w"/>
    <s v="Red"/>
    <n v="10"/>
    <m/>
    <n v="15"/>
    <m/>
    <m/>
    <m/>
    <m/>
    <s v="No"/>
    <n v="161"/>
    <m/>
    <m/>
    <s v="Commented Video"/>
    <x v="0"/>
    <s v="Subscribe to rednaxela aka me. Please I am very poor. :(. I also need friends"/>
    <s v="UC9Ja7kVyx1c4iXmhhXOV44A"/>
    <s v="rednaxela"/>
    <s v="http://www.youtube.com/channel/UC9Ja7kVyx1c4iXmhhXOV44A"/>
    <m/>
    <s v="iy-47a68P60"/>
    <s v="https://www.youtube.com/watch?v=iy-47a68P60"/>
    <s v="none"/>
    <n v="0"/>
    <x v="158"/>
    <d v="2020-06-10T06:31:39.000"/>
    <m/>
    <m/>
    <s v=""/>
    <n v="2"/>
    <s v="8"/>
    <s v="8"/>
    <n v="0"/>
    <n v="0"/>
    <n v="1"/>
    <n v="7.142857142857143"/>
    <n v="0"/>
    <n v="0"/>
    <n v="13"/>
    <n v="92.85714285714286"/>
    <n v="14"/>
  </r>
  <r>
    <s v="UC-C8T0nZiwU0BHa_udThlIw"/>
    <s v="UCaGEe4KXZrjou9kQx6ezG2w"/>
    <s v="192, 192, 192"/>
    <n v="3"/>
    <m/>
    <n v="40"/>
    <m/>
    <m/>
    <m/>
    <m/>
    <s v="No"/>
    <n v="162"/>
    <m/>
    <m/>
    <s v="Commented Video"/>
    <x v="0"/>
    <s v="Hellioooo"/>
    <s v="UC-C8T0nZiwU0BHa_udThlIw"/>
    <s v="King Balake"/>
    <s v="http://www.youtube.com/channel/UC-C8T0nZiwU0BHa_udThlIw"/>
    <m/>
    <s v="iy-47a68P60"/>
    <s v="https://www.youtube.com/watch?v=iy-47a68P60"/>
    <s v="none"/>
    <n v="6"/>
    <x v="159"/>
    <d v="2020-06-10T06:27:58.000"/>
    <m/>
    <m/>
    <s v=""/>
    <n v="1"/>
    <s v="8"/>
    <s v="8"/>
    <n v="0"/>
    <n v="0"/>
    <n v="0"/>
    <n v="0"/>
    <n v="0"/>
    <n v="0"/>
    <n v="1"/>
    <n v="100"/>
    <n v="1"/>
  </r>
  <r>
    <s v="UC-C8T0nZiwU0BHa_udThlIw"/>
    <s v="UCx8pBVLDTEfBfEt8hT7NRxA"/>
    <s v="192, 192, 192"/>
    <n v="3"/>
    <m/>
    <n v="40"/>
    <m/>
    <m/>
    <m/>
    <m/>
    <s v="No"/>
    <n v="163"/>
    <m/>
    <m/>
    <s v="Replied Comment"/>
    <x v="1"/>
    <s v="Ya boi"/>
    <s v="UC-C8T0nZiwU0BHa_udThlIw"/>
    <s v="King Balake"/>
    <s v="http://www.youtube.com/channel/UC-C8T0nZiwU0BHa_udThlIw"/>
    <s v="UgwLIXJz0AbbJagal394AaABAg"/>
    <s v="iy-47a68P60"/>
    <s v="https://www.youtube.com/watch?v=iy-47a68P60"/>
    <s v="none"/>
    <n v="1"/>
    <x v="160"/>
    <d v="2020-06-10T11:23:12.000"/>
    <m/>
    <m/>
    <s v=""/>
    <n v="1"/>
    <s v="8"/>
    <s v="8"/>
    <n v="0"/>
    <n v="0"/>
    <n v="0"/>
    <n v="0"/>
    <n v="0"/>
    <n v="0"/>
    <n v="2"/>
    <n v="100"/>
    <n v="2"/>
  </r>
  <r>
    <s v="UC6fFQW6FPEYzN3hpzQ2Aa1A"/>
    <s v="UCaGEe4KXZrjou9kQx6ezG2w"/>
    <s v="Red"/>
    <n v="10"/>
    <m/>
    <n v="15"/>
    <m/>
    <m/>
    <m/>
    <m/>
    <s v="No"/>
    <n v="164"/>
    <m/>
    <m/>
    <s v="Commented Video"/>
    <x v="0"/>
    <s v="Really"/>
    <s v="UC6fFQW6FPEYzN3hpzQ2Aa1A"/>
    <s v="XD GAMER"/>
    <s v="http://www.youtube.com/channel/UC6fFQW6FPEYzN3hpzQ2Aa1A"/>
    <m/>
    <s v="iy-47a68P60"/>
    <s v="https://www.youtube.com/watch?v=iy-47a68P60"/>
    <s v="none"/>
    <n v="5"/>
    <x v="161"/>
    <d v="2020-06-10T06:25:55.000"/>
    <m/>
    <m/>
    <s v=""/>
    <n v="2"/>
    <s v="8"/>
    <s v="8"/>
    <n v="0"/>
    <n v="0"/>
    <n v="0"/>
    <n v="0"/>
    <n v="0"/>
    <n v="0"/>
    <n v="1"/>
    <n v="100"/>
    <n v="1"/>
  </r>
  <r>
    <s v="UC6fFQW6FPEYzN3hpzQ2Aa1A"/>
    <s v="UCaGEe4KXZrjou9kQx6ezG2w"/>
    <s v="Red"/>
    <n v="10"/>
    <m/>
    <n v="15"/>
    <m/>
    <m/>
    <m/>
    <m/>
    <s v="No"/>
    <n v="165"/>
    <m/>
    <m/>
    <s v="Commented Video"/>
    <x v="0"/>
    <s v="Uh o Stinkyyyyyyyyyy"/>
    <s v="UC6fFQW6FPEYzN3hpzQ2Aa1A"/>
    <s v="XD GAMER"/>
    <s v="http://www.youtube.com/channel/UC6fFQW6FPEYzN3hpzQ2Aa1A"/>
    <m/>
    <s v="iy-47a68P60"/>
    <s v="https://www.youtube.com/watch?v=iy-47a68P60"/>
    <s v="none"/>
    <n v="4"/>
    <x v="162"/>
    <d v="2020-06-10T06:27:52.000"/>
    <m/>
    <m/>
    <s v=""/>
    <n v="2"/>
    <s v="8"/>
    <s v="8"/>
    <n v="0"/>
    <n v="0"/>
    <n v="0"/>
    <n v="0"/>
    <n v="0"/>
    <n v="0"/>
    <n v="3"/>
    <n v="100"/>
    <n v="3"/>
  </r>
  <r>
    <s v="UC6fFQW6FPEYzN3hpzQ2Aa1A"/>
    <s v="UCx8pBVLDTEfBfEt8hT7NRxA"/>
    <s v="Red"/>
    <n v="10"/>
    <m/>
    <n v="15"/>
    <m/>
    <m/>
    <m/>
    <m/>
    <s v="No"/>
    <n v="166"/>
    <m/>
    <m/>
    <s v="Replied Comment"/>
    <x v="1"/>
    <s v="Hi"/>
    <s v="UC6fFQW6FPEYzN3hpzQ2Aa1A"/>
    <s v="XD GAMER"/>
    <s v="http://www.youtube.com/channel/UC6fFQW6FPEYzN3hpzQ2Aa1A"/>
    <s v="UgwLIXJz0AbbJagal394AaABAg"/>
    <s v="iy-47a68P60"/>
    <s v="https://www.youtube.com/watch?v=iy-47a68P60"/>
    <s v="none"/>
    <n v="1"/>
    <x v="163"/>
    <d v="2020-06-10T06:37:00.000"/>
    <m/>
    <m/>
    <s v=""/>
    <n v="2"/>
    <s v="8"/>
    <s v="8"/>
    <n v="0"/>
    <n v="0"/>
    <n v="0"/>
    <n v="0"/>
    <n v="0"/>
    <n v="0"/>
    <n v="1"/>
    <n v="100"/>
    <n v="1"/>
  </r>
  <r>
    <s v="UC6fFQW6FPEYzN3hpzQ2Aa1A"/>
    <s v="UCx8pBVLDTEfBfEt8hT7NRxA"/>
    <s v="Red"/>
    <n v="10"/>
    <m/>
    <n v="15"/>
    <m/>
    <m/>
    <m/>
    <m/>
    <s v="No"/>
    <n v="167"/>
    <m/>
    <m/>
    <s v="Replied Comment"/>
    <x v="1"/>
    <s v="Yas"/>
    <s v="UC6fFQW6FPEYzN3hpzQ2Aa1A"/>
    <s v="XD GAMER"/>
    <s v="http://www.youtube.com/channel/UC6fFQW6FPEYzN3hpzQ2Aa1A"/>
    <s v="UgwLIXJz0AbbJagal394AaABAg"/>
    <s v="iy-47a68P60"/>
    <s v="https://www.youtube.com/watch?v=iy-47a68P60"/>
    <s v="none"/>
    <n v="1"/>
    <x v="164"/>
    <d v="2020-06-10T11:39:35.000"/>
    <m/>
    <m/>
    <s v=""/>
    <n v="2"/>
    <s v="8"/>
    <s v="8"/>
    <n v="0"/>
    <n v="0"/>
    <n v="0"/>
    <n v="0"/>
    <n v="0"/>
    <n v="0"/>
    <n v="1"/>
    <n v="100"/>
    <n v="1"/>
  </r>
  <r>
    <s v="UCx8pBVLDTEfBfEt8hT7NRxA"/>
    <s v="UCx8pBVLDTEfBfEt8hT7NRxA"/>
    <s v="192, 192, 192"/>
    <n v="3"/>
    <m/>
    <n v="40"/>
    <m/>
    <m/>
    <m/>
    <m/>
    <s v="No"/>
    <n v="168"/>
    <m/>
    <m/>
    <s v="Replied Comment"/>
    <x v="1"/>
    <s v="Ethan Close hi"/>
    <s v="UCx8pBVLDTEfBfEt8hT7NRxA"/>
    <s v="Popular TWISTIES"/>
    <s v="http://www.youtube.com/channel/UCx8pBVLDTEfBfEt8hT7NRxA"/>
    <s v="UgwLIXJz0AbbJagal394AaABAg"/>
    <s v="iy-47a68P60"/>
    <s v="https://www.youtube.com/watch?v=iy-47a68P60"/>
    <s v="none"/>
    <n v="0"/>
    <x v="165"/>
    <d v="2020-06-10T06:38:22.000"/>
    <m/>
    <m/>
    <s v=""/>
    <n v="1"/>
    <s v="8"/>
    <s v="8"/>
    <n v="0"/>
    <n v="0"/>
    <n v="0"/>
    <n v="0"/>
    <n v="0"/>
    <n v="0"/>
    <n v="3"/>
    <n v="100"/>
    <n v="3"/>
  </r>
  <r>
    <s v="UCx8pBVLDTEfBfEt8hT7NRxA"/>
    <s v="UCaGEe4KXZrjou9kQx6ezG2w"/>
    <s v="192, 192, 192"/>
    <n v="3"/>
    <m/>
    <n v="40"/>
    <m/>
    <m/>
    <m/>
    <m/>
    <s v="No"/>
    <n v="169"/>
    <m/>
    <m/>
    <s v="Commented Video"/>
    <x v="0"/>
    <s v="Hi people"/>
    <s v="UCx8pBVLDTEfBfEt8hT7NRxA"/>
    <s v="Popular TWISTIES"/>
    <s v="http://www.youtube.com/channel/UCx8pBVLDTEfBfEt8hT7NRxA"/>
    <m/>
    <s v="iy-47a68P60"/>
    <s v="https://www.youtube.com/watch?v=iy-47a68P60"/>
    <s v="none"/>
    <n v="2"/>
    <x v="166"/>
    <d v="2020-06-10T06:36:03.000"/>
    <m/>
    <m/>
    <s v=""/>
    <n v="1"/>
    <s v="8"/>
    <s v="8"/>
    <n v="0"/>
    <n v="0"/>
    <n v="0"/>
    <n v="0"/>
    <n v="0"/>
    <n v="0"/>
    <n v="2"/>
    <n v="100"/>
    <n v="2"/>
  </r>
  <r>
    <s v="UCquZCe1F2ez9EO_0-FKj3kA"/>
    <s v="UCaGEe4KXZrjou9kQx6ezG2w"/>
    <s v="192, 192, 192"/>
    <n v="3"/>
    <m/>
    <n v="40"/>
    <m/>
    <m/>
    <m/>
    <m/>
    <s v="No"/>
    <n v="170"/>
    <m/>
    <m/>
    <s v="Commented Video"/>
    <x v="0"/>
    <s v="Your videos are so helpful! Thanks so much. :)"/>
    <s v="UCquZCe1F2ez9EO_0-FKj3kA"/>
    <s v="ray morow"/>
    <s v="http://www.youtube.com/channel/UCquZCe1F2ez9EO_0-FKj3kA"/>
    <m/>
    <s v="iy-47a68P60"/>
    <s v="https://www.youtube.com/watch?v=iy-47a68P60"/>
    <s v="none"/>
    <n v="4"/>
    <x v="167"/>
    <d v="2020-07-03T12:02:13.000"/>
    <m/>
    <m/>
    <s v=""/>
    <n v="1"/>
    <s v="8"/>
    <s v="8"/>
    <n v="1"/>
    <n v="12.5"/>
    <n v="0"/>
    <n v="0"/>
    <n v="0"/>
    <n v="0"/>
    <n v="7"/>
    <n v="87.5"/>
    <n v="8"/>
  </r>
  <r>
    <s v="UCCvEc_XGu9DQ2GGv34u71vw"/>
    <s v="UClfh30g-tJ5OshRVhyFrGMg"/>
    <s v="192, 192, 192"/>
    <n v="3"/>
    <m/>
    <n v="40"/>
    <m/>
    <m/>
    <m/>
    <m/>
    <s v="No"/>
    <n v="171"/>
    <m/>
    <m/>
    <s v="Replied Comment"/>
    <x v="1"/>
    <s v="same here"/>
    <s v="UCCvEc_XGu9DQ2GGv34u71vw"/>
    <s v="Drippy FN"/>
    <s v="http://www.youtube.com/channel/UCCvEc_XGu9DQ2GGv34u71vw"/>
    <s v="Ugx4mF1Z_hBCcn-Lg1B4AaABAg"/>
    <s v="iy-47a68P60"/>
    <s v="https://www.youtube.com/watch?v=iy-47a68P60"/>
    <s v="none"/>
    <n v="2"/>
    <x v="168"/>
    <d v="2020-12-23T20:10:00.000"/>
    <m/>
    <m/>
    <s v=""/>
    <n v="1"/>
    <s v="8"/>
    <s v="8"/>
    <n v="0"/>
    <n v="0"/>
    <n v="0"/>
    <n v="0"/>
    <n v="0"/>
    <n v="0"/>
    <n v="2"/>
    <n v="100"/>
    <n v="2"/>
  </r>
  <r>
    <s v="UCNBzhuZVqfO4lQS1eSMokLw"/>
    <s v="UClfh30g-tJ5OshRVhyFrGMg"/>
    <s v="192, 192, 192"/>
    <n v="3"/>
    <m/>
    <n v="40"/>
    <m/>
    <m/>
    <m/>
    <m/>
    <s v="No"/>
    <n v="172"/>
    <m/>
    <m/>
    <s v="Replied Comment"/>
    <x v="1"/>
    <s v="Hi&lt;br&gt;Do you interested to know the smart way to supplement Your diet easily with traditional Indian herbs  to build optimal immunity in this pandemic time.. DM me."/>
    <s v="UCNBzhuZVqfO4lQS1eSMokLw"/>
    <s v="Samir Das"/>
    <s v="http://www.youtube.com/channel/UCNBzhuZVqfO4lQS1eSMokLw"/>
    <s v="Ugx4mF1Z_hBCcn-Lg1B4AaABAg"/>
    <s v="iy-47a68P60"/>
    <s v="https://www.youtube.com/watch?v=iy-47a68P60"/>
    <s v="none"/>
    <n v="0"/>
    <x v="169"/>
    <d v="2021-04-27T08:29:06.000"/>
    <m/>
    <m/>
    <s v=""/>
    <n v="1"/>
    <s v="8"/>
    <s v="8"/>
    <n v="2"/>
    <n v="6.896551724137931"/>
    <n v="0"/>
    <n v="0"/>
    <n v="0"/>
    <n v="0"/>
    <n v="27"/>
    <n v="93.10344827586206"/>
    <n v="29"/>
  </r>
  <r>
    <s v="UCHoiWtniOfz8Avpww_0UVnQ"/>
    <s v="UClfh30g-tJ5OshRVhyFrGMg"/>
    <s v="192, 192, 192"/>
    <n v="3"/>
    <m/>
    <n v="40"/>
    <m/>
    <m/>
    <m/>
    <m/>
    <s v="No"/>
    <n v="173"/>
    <m/>
    <m/>
    <s v="Replied Comment"/>
    <x v="1"/>
    <s v="@Samir Das sort out ur grammar"/>
    <s v="UCHoiWtniOfz8Avpww_0UVnQ"/>
    <s v="ryan"/>
    <s v="http://www.youtube.com/channel/UCHoiWtniOfz8Avpww_0UVnQ"/>
    <s v="Ugx4mF1Z_hBCcn-Lg1B4AaABAg"/>
    <s v="iy-47a68P60"/>
    <s v="https://www.youtube.com/watch?v=iy-47a68P60"/>
    <s v="none"/>
    <n v="1"/>
    <x v="170"/>
    <d v="2021-04-29T19:36:14.000"/>
    <m/>
    <m/>
    <s v=""/>
    <n v="1"/>
    <s v="8"/>
    <s v="8"/>
    <n v="0"/>
    <n v="0"/>
    <n v="0"/>
    <n v="0"/>
    <n v="0"/>
    <n v="0"/>
    <n v="6"/>
    <n v="100"/>
    <n v="6"/>
  </r>
  <r>
    <s v="UClfh30g-tJ5OshRVhyFrGMg"/>
    <s v="UCaGEe4KXZrjou9kQx6ezG2w"/>
    <s v="192, 192, 192"/>
    <n v="3"/>
    <m/>
    <n v="40"/>
    <m/>
    <m/>
    <m/>
    <m/>
    <s v="No"/>
    <n v="174"/>
    <m/>
    <m/>
    <s v="Commented Video"/>
    <x v="0"/>
    <s v="well it&amp;#39;s been almost two years since this video was posted but apparently we have to watch it for school. So here we are."/>
    <s v="UClfh30g-tJ5OshRVhyFrGMg"/>
    <s v="Margaret Tan"/>
    <s v="http://www.youtube.com/channel/UClfh30g-tJ5OshRVhyFrGMg"/>
    <m/>
    <s v="iy-47a68P60"/>
    <s v="https://www.youtube.com/watch?v=iy-47a68P60"/>
    <s v="none"/>
    <n v="9"/>
    <x v="171"/>
    <d v="2020-10-21T07:23:42.000"/>
    <m/>
    <m/>
    <s v=""/>
    <n v="1"/>
    <s v="8"/>
    <s v="8"/>
    <n v="1"/>
    <n v="3.8461538461538463"/>
    <n v="0"/>
    <n v="0"/>
    <n v="0"/>
    <n v="0"/>
    <n v="25"/>
    <n v="96.15384615384616"/>
    <n v="26"/>
  </r>
  <r>
    <s v="UCT1QRFUF5lMy0ECMKFIMeDw"/>
    <s v="UCrMaHGk5LbL3alwvmnOM1QA"/>
    <s v="192, 192, 192"/>
    <n v="3"/>
    <m/>
    <n v="40"/>
    <m/>
    <m/>
    <m/>
    <m/>
    <s v="No"/>
    <n v="175"/>
    <m/>
    <m/>
    <s v="Replied Comment"/>
    <x v="1"/>
    <s v="Walruses are famous alchoholics and smokers"/>
    <s v="UCT1QRFUF5lMy0ECMKFIMeDw"/>
    <s v="Joseph Dynan"/>
    <s v="http://www.youtube.com/channel/UCT1QRFUF5lMy0ECMKFIMeDw"/>
    <s v="Ugyc4WfIBqjJtbBmVjR4AaABAg"/>
    <s v="iy-47a68P60"/>
    <s v="https://www.youtube.com/watch?v=iy-47a68P60"/>
    <s v="none"/>
    <n v="2"/>
    <x v="172"/>
    <d v="2020-12-09T16:07:06.000"/>
    <m/>
    <m/>
    <s v=""/>
    <n v="1"/>
    <s v="8"/>
    <s v="8"/>
    <n v="1"/>
    <n v="16.666666666666668"/>
    <n v="0"/>
    <n v="0"/>
    <n v="0"/>
    <n v="0"/>
    <n v="5"/>
    <n v="83.33333333333333"/>
    <n v="6"/>
  </r>
  <r>
    <s v="UCrMaHGk5LbL3alwvmnOM1QA"/>
    <s v="UCaGEe4KXZrjou9kQx6ezG2w"/>
    <s v="192, 192, 192"/>
    <n v="3"/>
    <m/>
    <n v="40"/>
    <m/>
    <m/>
    <m/>
    <m/>
    <s v="No"/>
    <n v="176"/>
    <m/>
    <m/>
    <s v="Commented Video"/>
    <x v="0"/>
    <s v="Why did the baby turn into a walrus because it had health problems...?"/>
    <s v="UCrMaHGk5LbL3alwvmnOM1QA"/>
    <s v="Miss Tomkins"/>
    <s v="http://www.youtube.com/channel/UCrMaHGk5LbL3alwvmnOM1QA"/>
    <m/>
    <s v="iy-47a68P60"/>
    <s v="https://www.youtube.com/watch?v=iy-47a68P60"/>
    <s v="none"/>
    <n v="7"/>
    <x v="173"/>
    <d v="2020-10-28T12:53:02.000"/>
    <m/>
    <m/>
    <s v=""/>
    <n v="1"/>
    <s v="8"/>
    <s v="8"/>
    <n v="0"/>
    <n v="0"/>
    <n v="1"/>
    <n v="7.6923076923076925"/>
    <n v="0"/>
    <n v="0"/>
    <n v="12"/>
    <n v="92.3076923076923"/>
    <n v="13"/>
  </r>
  <r>
    <s v="UCg4d6l9MowtoLE4uqrcBnxA"/>
    <s v="UCaGEe4KXZrjou9kQx6ezG2w"/>
    <s v="192, 192, 192"/>
    <n v="3"/>
    <m/>
    <n v="40"/>
    <m/>
    <m/>
    <m/>
    <m/>
    <s v="No"/>
    <n v="177"/>
    <m/>
    <m/>
    <s v="Commented Video"/>
    <x v="0"/>
    <s v="LiuLife Healthy Habits App helps you Live Better, Live Longer. Join the movement, &lt;br&gt;download at &lt;a href=&quot;http://liulife.org/&quot;&gt;http://liulife.org/&lt;/a&gt;"/>
    <s v="UCg4d6l9MowtoLE4uqrcBnxA"/>
    <s v="Mark Ting"/>
    <s v="http://www.youtube.com/channel/UCg4d6l9MowtoLE4uqrcBnxA"/>
    <m/>
    <s v="iy-47a68P60"/>
    <s v="https://www.youtube.com/watch?v=iy-47a68P60"/>
    <s v="none"/>
    <n v="0"/>
    <x v="174"/>
    <d v="2020-11-11T02:21:37.000"/>
    <s v=" http://liulife.org/ http://liulife.org/"/>
    <s v="liulife.org liulife.org"/>
    <s v=""/>
    <n v="1"/>
    <s v="8"/>
    <s v="8"/>
    <n v="2"/>
    <n v="8"/>
    <n v="0"/>
    <n v="0"/>
    <n v="0"/>
    <n v="0"/>
    <n v="23"/>
    <n v="92"/>
    <n v="25"/>
  </r>
  <r>
    <s v="UC-FODGYAtQLqV-hJyi7ruUg"/>
    <s v="UCaGEe4KXZrjou9kQx6ezG2w"/>
    <s v="192, 192, 192"/>
    <n v="3"/>
    <m/>
    <n v="40"/>
    <m/>
    <m/>
    <m/>
    <m/>
    <s v="No"/>
    <n v="178"/>
    <m/>
    <m/>
    <s v="Commented Video"/>
    <x v="0"/>
    <s v="At &lt;a href=&quot;https://www.youtube.com/watch?v=iy-47a68P60&amp;amp;t=2m41s&quot;&gt;2:41&lt;/a&gt; it was talking about how one person can catch a disease and most likely affect the whole nation, well here we are in corona virus!"/>
    <s v="UC-FODGYAtQLqV-hJyi7ruUg"/>
    <s v="Rose.Sunflower"/>
    <s v="http://www.youtube.com/channel/UC-FODGYAtQLqV-hJyi7ruUg"/>
    <m/>
    <s v="iy-47a68P60"/>
    <s v="https://www.youtube.com/watch?v=iy-47a68P60"/>
    <s v="none"/>
    <n v="12"/>
    <x v="175"/>
    <d v="2020-12-02T13:16:16.000"/>
    <s v=" https://www.youtube.com/watch?v=iy-47a68P60&amp;amp;t=2m41s"/>
    <s v="youtube.com"/>
    <s v=""/>
    <n v="1"/>
    <s v="8"/>
    <s v="8"/>
    <n v="1"/>
    <n v="2.380952380952381"/>
    <n v="1"/>
    <n v="2.380952380952381"/>
    <n v="0"/>
    <n v="0"/>
    <n v="40"/>
    <n v="95.23809523809524"/>
    <n v="42"/>
  </r>
  <r>
    <s v="UCLZGKzxpgCoNQapxvw-l3yg"/>
    <s v="UCcBdotqqwzvvVi_YKbWgYEQ"/>
    <s v="192, 192, 192"/>
    <n v="3"/>
    <m/>
    <n v="40"/>
    <m/>
    <m/>
    <m/>
    <m/>
    <s v="No"/>
    <n v="179"/>
    <m/>
    <m/>
    <s v="Replied Comment"/>
    <x v="1"/>
    <s v="I am the eggman... They are the eggman.......... I AM THE WALRUS! COO COO CACHOO!"/>
    <s v="UCLZGKzxpgCoNQapxvw-l3yg"/>
    <s v="LibertyChap"/>
    <s v="http://www.youtube.com/channel/UCLZGKzxpgCoNQapxvw-l3yg"/>
    <s v="Ugymj-NyOpZeHrgGFal4AaABAg"/>
    <s v="iy-47a68P60"/>
    <s v="https://www.youtube.com/watch?v=iy-47a68P60"/>
    <s v="none"/>
    <n v="2"/>
    <x v="176"/>
    <d v="2021-05-04T15:16:39.000"/>
    <m/>
    <m/>
    <s v=""/>
    <n v="1"/>
    <s v="8"/>
    <s v="8"/>
    <n v="0"/>
    <n v="0"/>
    <n v="0"/>
    <n v="0"/>
    <n v="0"/>
    <n v="0"/>
    <n v="15"/>
    <n v="100"/>
    <n v="15"/>
  </r>
  <r>
    <s v="UCd5710HgazmFpHjs2qhyQSQ"/>
    <s v="UCcBdotqqwzvvVi_YKbWgYEQ"/>
    <s v="192, 192, 192"/>
    <n v="3"/>
    <m/>
    <n v="40"/>
    <m/>
    <m/>
    <m/>
    <m/>
    <s v="No"/>
    <n v="180"/>
    <m/>
    <m/>
    <s v="Replied Comment"/>
    <x v="1"/>
    <s v="I never knew walruses drink and smoke lol"/>
    <s v="UCd5710HgazmFpHjs2qhyQSQ"/>
    <s v="Wojbest"/>
    <s v="http://www.youtube.com/channel/UCd5710HgazmFpHjs2qhyQSQ"/>
    <s v="Ugymj-NyOpZeHrgGFal4AaABAg"/>
    <s v="iy-47a68P60"/>
    <s v="https://www.youtube.com/watch?v=iy-47a68P60"/>
    <s v="none"/>
    <n v="1"/>
    <x v="177"/>
    <d v="2021-05-27T21:06:11.000"/>
    <m/>
    <m/>
    <s v=""/>
    <n v="1"/>
    <s v="8"/>
    <s v="8"/>
    <n v="0"/>
    <n v="0"/>
    <n v="1"/>
    <n v="12.5"/>
    <n v="0"/>
    <n v="0"/>
    <n v="7"/>
    <n v="87.5"/>
    <n v="8"/>
  </r>
  <r>
    <s v="UCcBdotqqwzvvVi_YKbWgYEQ"/>
    <s v="UCaGEe4KXZrjou9kQx6ezG2w"/>
    <s v="192, 192, 192"/>
    <n v="3"/>
    <m/>
    <n v="40"/>
    <m/>
    <m/>
    <m/>
    <m/>
    <s v="No"/>
    <n v="181"/>
    <m/>
    <m/>
    <s v="Commented Video"/>
    <x v="0"/>
    <s v="No one&amp;#39;s gunna talk about the baby&amp;#39;s health problems: Become ✍walrus ✍"/>
    <s v="UCcBdotqqwzvvVi_YKbWgYEQ"/>
    <s v="Joseph Srouji"/>
    <s v="http://www.youtube.com/channel/UCcBdotqqwzvvVi_YKbWgYEQ"/>
    <m/>
    <s v="iy-47a68P60"/>
    <s v="https://www.youtube.com/watch?v=iy-47a68P60"/>
    <s v="none"/>
    <n v="22"/>
    <x v="178"/>
    <d v="2021-01-04T16:52:33.000"/>
    <m/>
    <m/>
    <s v=""/>
    <n v="1"/>
    <s v="8"/>
    <s v="8"/>
    <n v="0"/>
    <n v="0"/>
    <n v="1"/>
    <n v="6.666666666666667"/>
    <n v="0"/>
    <n v="0"/>
    <n v="14"/>
    <n v="93.33333333333333"/>
    <n v="15"/>
  </r>
  <r>
    <s v="UCxD0CiqPOHP_TSayw3Fb9ZA"/>
    <s v="UCaGEe4KXZrjou9kQx6ezG2w"/>
    <s v="192, 192, 192"/>
    <n v="3"/>
    <m/>
    <n v="40"/>
    <m/>
    <m/>
    <m/>
    <m/>
    <s v="No"/>
    <n v="182"/>
    <m/>
    <m/>
    <s v="Commented Video"/>
    <x v="0"/>
    <s v="kids"/>
    <s v="UCxD0CiqPOHP_TSayw3Fb9ZA"/>
    <s v="Karam Kokash"/>
    <s v="http://www.youtube.com/channel/UCxD0CiqPOHP_TSayw3Fb9ZA"/>
    <m/>
    <s v="iy-47a68P60"/>
    <s v="https://www.youtube.com/watch?v=iy-47a68P60"/>
    <s v="none"/>
    <n v="1"/>
    <x v="179"/>
    <d v="2021-02-25T18:22:48.000"/>
    <m/>
    <m/>
    <s v=""/>
    <n v="1"/>
    <s v="8"/>
    <s v="8"/>
    <n v="0"/>
    <n v="0"/>
    <n v="0"/>
    <n v="0"/>
    <n v="0"/>
    <n v="0"/>
    <n v="1"/>
    <n v="100"/>
    <n v="1"/>
  </r>
  <r>
    <s v="UCUl9KDDIT4qcONZlN-PC_GQ"/>
    <s v="UCaGEe4KXZrjou9kQx6ezG2w"/>
    <s v="192, 192, 192"/>
    <n v="3"/>
    <m/>
    <n v="40"/>
    <m/>
    <m/>
    <m/>
    <m/>
    <s v="No"/>
    <n v="183"/>
    <m/>
    <m/>
    <s v="Commented Video"/>
    <x v="0"/>
    <s v="who else is here for school?"/>
    <s v="UCUl9KDDIT4qcONZlN-PC_GQ"/>
    <s v="symexn"/>
    <s v="http://www.youtube.com/channel/UCUl9KDDIT4qcONZlN-PC_GQ"/>
    <m/>
    <s v="iy-47a68P60"/>
    <s v="https://www.youtube.com/watch?v=iy-47a68P60"/>
    <s v="none"/>
    <n v="4"/>
    <x v="180"/>
    <d v="2021-02-26T13:32:19.000"/>
    <m/>
    <m/>
    <s v=""/>
    <n v="1"/>
    <s v="8"/>
    <s v="8"/>
    <n v="0"/>
    <n v="0"/>
    <n v="0"/>
    <n v="0"/>
    <n v="0"/>
    <n v="0"/>
    <n v="6"/>
    <n v="100"/>
    <n v="6"/>
  </r>
  <r>
    <s v="UCog_Pc1wioSN5u5VND3Ua_w"/>
    <s v="UCaGEe4KXZrjou9kQx6ezG2w"/>
    <s v="192, 192, 192"/>
    <n v="3"/>
    <m/>
    <n v="40"/>
    <m/>
    <m/>
    <m/>
    <m/>
    <s v="No"/>
    <n v="184"/>
    <m/>
    <m/>
    <s v="Commented Video"/>
    <x v="0"/>
    <s v="Here from class&lt;br&gt;Clue: parents evening is today"/>
    <s v="UCog_Pc1wioSN5u5VND3Ua_w"/>
    <s v="Shmicly"/>
    <s v="http://www.youtube.com/channel/UCog_Pc1wioSN5u5VND3Ua_w"/>
    <m/>
    <s v="iy-47a68P60"/>
    <s v="https://www.youtube.com/watch?v=iy-47a68P60"/>
    <s v="none"/>
    <n v="5"/>
    <x v="181"/>
    <d v="2021-03-03T10:48:50.000"/>
    <m/>
    <m/>
    <s v=""/>
    <n v="1"/>
    <s v="8"/>
    <s v="8"/>
    <n v="0"/>
    <n v="0"/>
    <n v="0"/>
    <n v="0"/>
    <n v="0"/>
    <n v="0"/>
    <n v="9"/>
    <n v="100"/>
    <n v="9"/>
  </r>
  <r>
    <s v="UCNBzhuZVqfO4lQS1eSMokLw"/>
    <s v="UCZj8Z6LdulS3k7YTTxz6iUQ"/>
    <s v="192, 192, 192"/>
    <n v="3"/>
    <m/>
    <n v="40"/>
    <m/>
    <m/>
    <m/>
    <m/>
    <s v="No"/>
    <n v="185"/>
    <m/>
    <m/>
    <s v="Replied Comment"/>
    <x v="1"/>
    <s v="Hi&lt;br&gt;Do you interested to know the smart way to supplement Your diet easily with traditional Indian hers  to build optimal immunity in this pandemic time.. DM me."/>
    <s v="UCNBzhuZVqfO4lQS1eSMokLw"/>
    <s v="Samir Das"/>
    <s v="http://www.youtube.com/channel/UCNBzhuZVqfO4lQS1eSMokLw"/>
    <s v="Ugwm-saPVcjPk1W5JHF4AaABAg"/>
    <s v="iy-47a68P60"/>
    <s v="https://www.youtube.com/watch?v=iy-47a68P60"/>
    <s v="none"/>
    <n v="0"/>
    <x v="182"/>
    <d v="2021-04-27T08:26:46.000"/>
    <m/>
    <m/>
    <s v=""/>
    <n v="1"/>
    <s v="8"/>
    <s v="8"/>
    <n v="2"/>
    <n v="6.896551724137931"/>
    <n v="0"/>
    <n v="0"/>
    <n v="0"/>
    <n v="0"/>
    <n v="27"/>
    <n v="93.10344827586206"/>
    <n v="29"/>
  </r>
  <r>
    <s v="UCaGEe4KXZrjou9kQx6ezG2w"/>
    <s v="UCN8v8nA8KPlvLKvu2hjBqXQ"/>
    <s v="192, 192, 192"/>
    <n v="3"/>
    <m/>
    <n v="40"/>
    <m/>
    <m/>
    <m/>
    <m/>
    <s v="Yes"/>
    <n v="186"/>
    <m/>
    <m/>
    <s v="Replied Comment"/>
    <x v="1"/>
    <s v="That&amp;#39;s awesome to hear GM, glad you&amp;#39;re enjoying them 🤩"/>
    <s v="UCaGEe4KXZrjou9kQx6ezG2w"/>
    <s v="Cognito"/>
    <s v="http://www.youtube.com/channel/UCaGEe4KXZrjou9kQx6ezG2w"/>
    <s v="UgwwiaVTYcgiMxv3f1t4AaABAg"/>
    <s v="iy-47a68P60"/>
    <s v="https://www.youtube.com/watch?v=iy-47a68P60"/>
    <s v="none"/>
    <n v="0"/>
    <x v="183"/>
    <d v="2021-04-27T10:48:14.000"/>
    <m/>
    <m/>
    <s v=""/>
    <n v="1"/>
    <s v="8"/>
    <s v="8"/>
    <n v="3"/>
    <n v="23.076923076923077"/>
    <n v="0"/>
    <n v="0"/>
    <n v="0"/>
    <n v="0"/>
    <n v="10"/>
    <n v="76.92307692307692"/>
    <n v="13"/>
  </r>
  <r>
    <s v="UCN8v8nA8KPlvLKvu2hjBqXQ"/>
    <s v="UCaGEe4KXZrjou9kQx6ezG2w"/>
    <s v="192, 192, 192"/>
    <n v="3"/>
    <m/>
    <n v="40"/>
    <m/>
    <m/>
    <m/>
    <m/>
    <s v="Yes"/>
    <n v="187"/>
    <m/>
    <m/>
    <s v="Commented Video"/>
    <x v="0"/>
    <s v="I can watch your videos whole day without getting bored you are the one who make me like to learn bio"/>
    <s v="UCN8v8nA8KPlvLKvu2hjBqXQ"/>
    <s v="GM zohaib"/>
    <s v="http://www.youtube.com/channel/UCN8v8nA8KPlvLKvu2hjBqXQ"/>
    <m/>
    <s v="iy-47a68P60"/>
    <s v="https://www.youtube.com/watch?v=iy-47a68P60"/>
    <s v="none"/>
    <n v="3"/>
    <x v="184"/>
    <d v="2021-04-26T21:28:12.000"/>
    <m/>
    <m/>
    <s v=""/>
    <n v="1"/>
    <s v="8"/>
    <s v="8"/>
    <n v="1"/>
    <n v="4.761904761904762"/>
    <n v="1"/>
    <n v="4.761904761904762"/>
    <n v="0"/>
    <n v="0"/>
    <n v="19"/>
    <n v="90.47619047619048"/>
    <n v="21"/>
  </r>
  <r>
    <s v="UCHoiWtniOfz8Avpww_0UVnQ"/>
    <s v="UCaGEe4KXZrjou9kQx6ezG2w"/>
    <s v="192, 192, 192"/>
    <n v="3"/>
    <m/>
    <n v="40"/>
    <m/>
    <m/>
    <m/>
    <m/>
    <s v="No"/>
    <n v="188"/>
    <m/>
    <m/>
    <s v="Commented Video"/>
    <x v="0"/>
    <s v="&lt;a href=&quot;https://www.youtube.com/watch?v=iy-47a68P60&amp;amp;t=3m33s&quot;&gt;3:33&lt;/a&gt; use america s an example for obesity"/>
    <s v="UCHoiWtniOfz8Avpww_0UVnQ"/>
    <s v="ryan"/>
    <s v="http://www.youtube.com/channel/UCHoiWtniOfz8Avpww_0UVnQ"/>
    <m/>
    <s v="iy-47a68P60"/>
    <s v="https://www.youtube.com/watch?v=iy-47a68P60"/>
    <s v="none"/>
    <n v="0"/>
    <x v="185"/>
    <d v="2021-04-29T19:39:14.000"/>
    <s v=" https://www.youtube.com/watch?v=iy-47a68P60&amp;amp;t=3m33s"/>
    <s v="youtube.com"/>
    <s v=""/>
    <n v="1"/>
    <s v="8"/>
    <s v="8"/>
    <n v="0"/>
    <n v="0"/>
    <n v="0"/>
    <n v="0"/>
    <n v="0"/>
    <n v="0"/>
    <n v="23"/>
    <n v="100"/>
    <n v="23"/>
  </r>
  <r>
    <s v="UCGpGyrZukGxN7EqHaLZ3tww"/>
    <s v="UCaGEe4KXZrjou9kQx6ezG2w"/>
    <s v="192, 192, 192"/>
    <n v="3"/>
    <m/>
    <n v="40"/>
    <m/>
    <m/>
    <m/>
    <m/>
    <s v="No"/>
    <n v="189"/>
    <m/>
    <m/>
    <s v="Commented Video"/>
    <x v="0"/>
    <s v="Their really ill ( got chopped in half ) ha"/>
    <s v="UCGpGyrZukGxN7EqHaLZ3tww"/>
    <s v="Dr. Theory"/>
    <s v="http://www.youtube.com/channel/UCGpGyrZukGxN7EqHaLZ3tww"/>
    <m/>
    <s v="iy-47a68P60"/>
    <s v="https://www.youtube.com/watch?v=iy-47a68P60"/>
    <s v="none"/>
    <n v="0"/>
    <x v="186"/>
    <d v="2021-05-11T15:45:44.000"/>
    <m/>
    <m/>
    <s v=""/>
    <n v="1"/>
    <s v="8"/>
    <s v="8"/>
    <n v="0"/>
    <n v="0"/>
    <n v="0"/>
    <n v="0"/>
    <n v="0"/>
    <n v="0"/>
    <n v="8"/>
    <n v="100"/>
    <n v="8"/>
  </r>
  <r>
    <s v="UCaGEe4KXZrjou9kQx6ezG2w"/>
    <s v="UCNBgyqCMQA5ZDLlJ0vPUx0g"/>
    <s v="192, 192, 192"/>
    <n v="3"/>
    <m/>
    <n v="40"/>
    <m/>
    <m/>
    <m/>
    <m/>
    <s v="Yes"/>
    <n v="190"/>
    <m/>
    <m/>
    <s v="Replied Comment"/>
    <x v="1"/>
    <s v="Ah that&amp;#39;s great, glad you&amp;#39;re enjoying them 😊"/>
    <s v="UCaGEe4KXZrjou9kQx6ezG2w"/>
    <s v="Cognito"/>
    <s v="http://www.youtube.com/channel/UCaGEe4KXZrjou9kQx6ezG2w"/>
    <s v="UgyNAFM4zeifVcIp3Vp4AaABAg"/>
    <s v="iy-47a68P60"/>
    <s v="https://www.youtube.com/watch?v=iy-47a68P60"/>
    <s v="none"/>
    <n v="1"/>
    <x v="187"/>
    <d v="2021-05-27T09:37:54.000"/>
    <m/>
    <m/>
    <s v=""/>
    <n v="1"/>
    <s v="8"/>
    <s v="8"/>
    <n v="3"/>
    <n v="27.272727272727273"/>
    <n v="0"/>
    <n v="0"/>
    <n v="0"/>
    <n v="0"/>
    <n v="8"/>
    <n v="72.72727272727273"/>
    <n v="11"/>
  </r>
  <r>
    <s v="UCNBgyqCMQA5ZDLlJ0vPUx0g"/>
    <s v="UCaGEe4KXZrjou9kQx6ezG2w"/>
    <s v="192, 192, 192"/>
    <n v="3"/>
    <m/>
    <n v="40"/>
    <m/>
    <m/>
    <m/>
    <m/>
    <s v="Yes"/>
    <n v="191"/>
    <m/>
    <m/>
    <s v="Commented Video"/>
    <x v="0"/>
    <s v="I have been binge watching these videos all evening, such a chill way to revise"/>
    <s v="UCNBgyqCMQA5ZDLlJ0vPUx0g"/>
    <s v="Nobody"/>
    <s v="http://www.youtube.com/channel/UCNBgyqCMQA5ZDLlJ0vPUx0g"/>
    <m/>
    <s v="iy-47a68P60"/>
    <s v="https://www.youtube.com/watch?v=iy-47a68P60"/>
    <s v="none"/>
    <n v="1"/>
    <x v="188"/>
    <d v="2021-05-27T00:10:53.000"/>
    <m/>
    <m/>
    <s v=""/>
    <n v="1"/>
    <s v="8"/>
    <s v="8"/>
    <n v="0"/>
    <n v="0"/>
    <n v="1"/>
    <n v="6.666666666666667"/>
    <n v="0"/>
    <n v="0"/>
    <n v="14"/>
    <n v="93.33333333333333"/>
    <n v="15"/>
  </r>
  <r>
    <s v="UCbe-qpl6Hqfkw7zhko17fZw"/>
    <s v="UCQk56KBdgzcZalZlDKPKRQQ"/>
    <s v="192, 192, 192"/>
    <n v="3"/>
    <m/>
    <n v="40"/>
    <m/>
    <m/>
    <m/>
    <m/>
    <s v="No"/>
    <n v="192"/>
    <m/>
    <m/>
    <s v="Replied Comment"/>
    <x v="1"/>
    <s v="Coviddddd19"/>
    <s v="UCbe-qpl6Hqfkw7zhko17fZw"/>
    <s v="Stacy Deterville"/>
    <s v="http://www.youtube.com/channel/UCbe-qpl6Hqfkw7zhko17fZw"/>
    <s v="Ugjxsc27_Ta6VXgCoAEC"/>
    <s v="vpEAos0blyw"/>
    <s v="https://www.youtube.com/watch?v=vpEAos0blyw"/>
    <s v="none"/>
    <n v="0"/>
    <x v="189"/>
    <d v="2020-10-27T15:50:59.000"/>
    <m/>
    <m/>
    <s v=""/>
    <n v="1"/>
    <s v="4"/>
    <s v="4"/>
    <n v="0"/>
    <n v="0"/>
    <n v="0"/>
    <n v="0"/>
    <n v="0"/>
    <n v="0"/>
    <n v="1"/>
    <n v="100"/>
    <n v="1"/>
  </r>
  <r>
    <s v="UCQk56KBdgzcZalZlDKPKRQQ"/>
    <s v="UCTl32ukBGG3FGRX7ZfZwVTw"/>
    <s v="192, 192, 192"/>
    <n v="3"/>
    <m/>
    <n v="40"/>
    <m/>
    <m/>
    <m/>
    <m/>
    <s v="No"/>
    <n v="193"/>
    <m/>
    <m/>
    <s v="Commented Video"/>
    <x v="0"/>
    <s v="cool"/>
    <s v="UCQk56KBdgzcZalZlDKPKRQQ"/>
    <s v="nitramsk8"/>
    <s v="http://www.youtube.com/channel/UCQk56KBdgzcZalZlDKPKRQQ"/>
    <m/>
    <s v="vpEAos0blyw"/>
    <s v="https://www.youtube.com/watch?v=vpEAos0blyw"/>
    <s v="none"/>
    <n v="0"/>
    <x v="190"/>
    <d v="2017-05-01T21:01:32.000"/>
    <m/>
    <m/>
    <s v=""/>
    <n v="1"/>
    <s v="4"/>
    <s v="4"/>
    <n v="1"/>
    <n v="100"/>
    <n v="0"/>
    <n v="0"/>
    <n v="0"/>
    <n v="0"/>
    <n v="0"/>
    <n v="0"/>
    <n v="1"/>
  </r>
  <r>
    <s v="UCEzn6-8Kq1hB0rtosTVDXhA"/>
    <s v="UCTl32ukBGG3FGRX7ZfZwVTw"/>
    <s v="192, 192, 192"/>
    <n v="3"/>
    <m/>
    <n v="40"/>
    <m/>
    <m/>
    <m/>
    <m/>
    <s v="No"/>
    <n v="194"/>
    <m/>
    <m/>
    <s v="Commented Video"/>
    <x v="0"/>
    <s v="COOL"/>
    <s v="UCEzn6-8Kq1hB0rtosTVDXhA"/>
    <s v="Reesav Shah"/>
    <s v="http://www.youtube.com/channel/UCEzn6-8Kq1hB0rtosTVDXhA"/>
    <m/>
    <s v="vpEAos0blyw"/>
    <s v="https://www.youtube.com/watch?v=vpEAos0blyw"/>
    <s v="none"/>
    <n v="1"/>
    <x v="191"/>
    <d v="2017-10-03T16:31:44.000"/>
    <m/>
    <m/>
    <s v=""/>
    <n v="1"/>
    <s v="4"/>
    <s v="4"/>
    <n v="1"/>
    <n v="100"/>
    <n v="0"/>
    <n v="0"/>
    <n v="0"/>
    <n v="0"/>
    <n v="0"/>
    <n v="0"/>
    <n v="1"/>
  </r>
  <r>
    <s v="UCWf2pD8fClkUEIIJjq4B5nw"/>
    <s v="UCTl32ukBGG3FGRX7ZfZwVTw"/>
    <s v="192, 192, 192"/>
    <n v="3"/>
    <m/>
    <n v="40"/>
    <m/>
    <m/>
    <m/>
    <m/>
    <s v="No"/>
    <n v="195"/>
    <m/>
    <m/>
    <s v="Commented Video"/>
    <x v="0"/>
    <s v="Great job!"/>
    <s v="UCWf2pD8fClkUEIIJjq4B5nw"/>
    <s v="BEAN DOLLOP"/>
    <s v="http://www.youtube.com/channel/UCWf2pD8fClkUEIIJjq4B5nw"/>
    <m/>
    <s v="vpEAos0blyw"/>
    <s v="https://www.youtube.com/watch?v=vpEAos0blyw"/>
    <s v="none"/>
    <n v="0"/>
    <x v="192"/>
    <d v="2018-02-24T03:36:56.000"/>
    <m/>
    <m/>
    <s v=""/>
    <n v="1"/>
    <s v="4"/>
    <s v="4"/>
    <n v="1"/>
    <n v="50"/>
    <n v="0"/>
    <n v="0"/>
    <n v="0"/>
    <n v="0"/>
    <n v="1"/>
    <n v="50"/>
    <n v="2"/>
  </r>
  <r>
    <s v="UCbCbuXFHCOUQwmP-3W4caqg"/>
    <s v="UCTl32ukBGG3FGRX7ZfZwVTw"/>
    <s v="192, 192, 192"/>
    <n v="3"/>
    <m/>
    <n v="40"/>
    <m/>
    <m/>
    <m/>
    <m/>
    <s v="No"/>
    <n v="196"/>
    <m/>
    <m/>
    <s v="Commented Video"/>
    <x v="0"/>
    <s v="Hi everyone from Mrs. Cochrans class"/>
    <s v="UCbCbuXFHCOUQwmP-3W4caqg"/>
    <s v="Ronald Toney"/>
    <s v="http://www.youtube.com/channel/UCbCbuXFHCOUQwmP-3W4caqg"/>
    <m/>
    <s v="vpEAos0blyw"/>
    <s v="https://www.youtube.com/watch?v=vpEAos0blyw"/>
    <s v="none"/>
    <n v="1"/>
    <x v="193"/>
    <d v="2019-01-04T18:46:49.000"/>
    <m/>
    <m/>
    <s v=""/>
    <n v="1"/>
    <s v="4"/>
    <s v="4"/>
    <n v="0"/>
    <n v="0"/>
    <n v="0"/>
    <n v="0"/>
    <n v="0"/>
    <n v="0"/>
    <n v="6"/>
    <n v="100"/>
    <n v="6"/>
  </r>
  <r>
    <s v="UCZlF6sHHNC54_00VdC7D-eA"/>
    <s v="UCM_eFu-EWA4EMOpou6yG8Mw"/>
    <s v="192, 192, 192"/>
    <n v="3"/>
    <m/>
    <n v="40"/>
    <m/>
    <m/>
    <m/>
    <m/>
    <s v="No"/>
    <n v="197"/>
    <m/>
    <m/>
    <s v="Replied Comment"/>
    <x v="1"/>
    <s v="no im here from mr berkovitz"/>
    <s v="UCZlF6sHHNC54_00VdC7D-eA"/>
    <s v="Sweet Note"/>
    <s v="http://www.youtube.com/channel/UCZlF6sHHNC54_00VdC7D-eA"/>
    <s v="UgyvjpWf5M0JG9iNe5V4AaABAg"/>
    <s v="vpEAos0blyw"/>
    <s v="https://www.youtube.com/watch?v=vpEAos0blyw"/>
    <s v="none"/>
    <n v="0"/>
    <x v="194"/>
    <d v="2020-10-15T00:20:18.000"/>
    <m/>
    <m/>
    <s v=""/>
    <n v="1"/>
    <s v="4"/>
    <s v="4"/>
    <n v="0"/>
    <n v="0"/>
    <n v="0"/>
    <n v="0"/>
    <n v="0"/>
    <n v="0"/>
    <n v="6"/>
    <n v="100"/>
    <n v="6"/>
  </r>
  <r>
    <s v="UCM_eFu-EWA4EMOpou6yG8Mw"/>
    <s v="UCTl32ukBGG3FGRX7ZfZwVTw"/>
    <s v="192, 192, 192"/>
    <n v="3"/>
    <m/>
    <n v="40"/>
    <m/>
    <m/>
    <m/>
    <m/>
    <s v="No"/>
    <n v="198"/>
    <m/>
    <m/>
    <s v="Commented Video"/>
    <x v="0"/>
    <s v="Hi everyone from Mrs. Claudia classsss"/>
    <s v="UCM_eFu-EWA4EMOpou6yG8Mw"/>
    <s v="FrameEzportGaming"/>
    <s v="http://www.youtube.com/channel/UCM_eFu-EWA4EMOpou6yG8Mw"/>
    <m/>
    <s v="vpEAos0blyw"/>
    <s v="https://www.youtube.com/watch?v=vpEAos0blyw"/>
    <s v="none"/>
    <n v="0"/>
    <x v="195"/>
    <d v="2019-08-22T05:07:09.000"/>
    <m/>
    <m/>
    <s v=""/>
    <n v="1"/>
    <s v="4"/>
    <s v="4"/>
    <n v="0"/>
    <n v="0"/>
    <n v="0"/>
    <n v="0"/>
    <n v="0"/>
    <n v="0"/>
    <n v="6"/>
    <n v="100"/>
    <n v="6"/>
  </r>
  <r>
    <s v="UCNxtGauI9YwI_ANZwHVgNIg"/>
    <s v="UCEmhBmKML16KTwTejRJ9ZpQ"/>
    <s v="Red"/>
    <n v="10"/>
    <m/>
    <n v="15"/>
    <m/>
    <m/>
    <m/>
    <m/>
    <s v="No"/>
    <n v="199"/>
    <m/>
    <m/>
    <s v="Replied Comment"/>
    <x v="1"/>
    <s v="wuts up"/>
    <s v="UCNxtGauI9YwI_ANZwHVgNIg"/>
    <s v="Petra Anderson"/>
    <s v="http://www.youtube.com/channel/UCNxtGauI9YwI_ANZwHVgNIg"/>
    <s v="Ugxh1VAtkvbnDDzGmm94AaABAg"/>
    <s v="vpEAos0blyw"/>
    <s v="https://www.youtube.com/watch?v="/>
    <s v="none"/>
    <n v="1"/>
    <x v="196"/>
    <d v="2020-02-12T20:31:58.000"/>
    <m/>
    <m/>
    <s v=""/>
    <n v="6"/>
    <s v="4"/>
    <s v="4"/>
    <n v="0"/>
    <n v="0"/>
    <n v="0"/>
    <n v="0"/>
    <n v="0"/>
    <n v="0"/>
    <n v="2"/>
    <n v="100"/>
    <n v="2"/>
  </r>
  <r>
    <s v="UCNxtGauI9YwI_ANZwHVgNIg"/>
    <s v="UCEmhBmKML16KTwTejRJ9ZpQ"/>
    <s v="Red"/>
    <n v="10"/>
    <m/>
    <n v="15"/>
    <m/>
    <m/>
    <m/>
    <m/>
    <s v="No"/>
    <n v="200"/>
    <m/>
    <m/>
    <s v="Replied Comment"/>
    <x v="1"/>
    <s v="@Laryssa Olson go then bruh"/>
    <s v="UCNxtGauI9YwI_ANZwHVgNIg"/>
    <s v="Petra Anderson"/>
    <s v="http://www.youtube.com/channel/UCNxtGauI9YwI_ANZwHVgNIg"/>
    <s v="Ugxh1VAtkvbnDDzGmm94AaABAg"/>
    <s v="vpEAos0blyw"/>
    <s v="https://www.youtube.com/watch?v="/>
    <s v="none"/>
    <n v="0"/>
    <x v="197"/>
    <d v="2020-02-12T20:34:08.000"/>
    <m/>
    <m/>
    <s v=""/>
    <n v="6"/>
    <s v="4"/>
    <s v="4"/>
    <n v="0"/>
    <n v="0"/>
    <n v="0"/>
    <n v="0"/>
    <n v="0"/>
    <n v="0"/>
    <n v="5"/>
    <n v="100"/>
    <n v="5"/>
  </r>
  <r>
    <s v="UCNxtGauI9YwI_ANZwHVgNIg"/>
    <s v="UCEmhBmKML16KTwTejRJ9ZpQ"/>
    <s v="Red"/>
    <n v="10"/>
    <m/>
    <n v="15"/>
    <m/>
    <m/>
    <m/>
    <m/>
    <s v="No"/>
    <n v="201"/>
    <m/>
    <m/>
    <s v="Replied Comment"/>
    <x v="1"/>
    <s v="@Laryssa Olson pee ur pants just to prove a point"/>
    <s v="UCNxtGauI9YwI_ANZwHVgNIg"/>
    <s v="Petra Anderson"/>
    <s v="http://www.youtube.com/channel/UCNxtGauI9YwI_ANZwHVgNIg"/>
    <s v="Ugxh1VAtkvbnDDzGmm94AaABAg"/>
    <s v="vpEAos0blyw"/>
    <s v="https://www.youtube.com/watch?v="/>
    <s v="none"/>
    <n v="0"/>
    <x v="198"/>
    <d v="2020-02-12T20:36:04.000"/>
    <m/>
    <m/>
    <s v=""/>
    <n v="6"/>
    <s v="4"/>
    <s v="4"/>
    <n v="0"/>
    <n v="0"/>
    <n v="0"/>
    <n v="0"/>
    <n v="0"/>
    <n v="0"/>
    <n v="10"/>
    <n v="100"/>
    <n v="10"/>
  </r>
  <r>
    <s v="UCNxtGauI9YwI_ANZwHVgNIg"/>
    <s v="UCEmhBmKML16KTwTejRJ9ZpQ"/>
    <s v="Red"/>
    <n v="10"/>
    <m/>
    <n v="15"/>
    <m/>
    <m/>
    <m/>
    <m/>
    <s v="No"/>
    <n v="202"/>
    <m/>
    <m/>
    <s v="Replied Comment"/>
    <x v="1"/>
    <s v="@Laryssa Olson u better get that checked out"/>
    <s v="UCNxtGauI9YwI_ANZwHVgNIg"/>
    <s v="Petra Anderson"/>
    <s v="http://www.youtube.com/channel/UCNxtGauI9YwI_ANZwHVgNIg"/>
    <s v="Ugxh1VAtkvbnDDzGmm94AaABAg"/>
    <s v="vpEAos0blyw"/>
    <s v="https://www.youtube.com/watch?v="/>
    <s v="none"/>
    <n v="0"/>
    <x v="199"/>
    <d v="2020-02-12T20:43:25.000"/>
    <m/>
    <m/>
    <s v=""/>
    <n v="6"/>
    <s v="4"/>
    <s v="4"/>
    <n v="1"/>
    <n v="12.5"/>
    <n v="0"/>
    <n v="0"/>
    <n v="0"/>
    <n v="0"/>
    <n v="7"/>
    <n v="87.5"/>
    <n v="8"/>
  </r>
  <r>
    <s v="UCNxtGauI9YwI_ANZwHVgNIg"/>
    <s v="UCEmhBmKML16KTwTejRJ9ZpQ"/>
    <s v="Red"/>
    <n v="10"/>
    <m/>
    <n v="15"/>
    <m/>
    <m/>
    <m/>
    <m/>
    <s v="No"/>
    <n v="203"/>
    <m/>
    <m/>
    <s v="Replied Comment"/>
    <x v="1"/>
    <s v="@Laryssa Olson;)))))"/>
    <s v="UCNxtGauI9YwI_ANZwHVgNIg"/>
    <s v="Petra Anderson"/>
    <s v="http://www.youtube.com/channel/UCNxtGauI9YwI_ANZwHVgNIg"/>
    <s v="Ugxh1VAtkvbnDDzGmm94AaABAg"/>
    <s v="vpEAos0blyw"/>
    <s v="https://www.youtube.com/watch?v="/>
    <s v="none"/>
    <n v="0"/>
    <x v="200"/>
    <d v="2020-02-12T20:45:11.000"/>
    <m/>
    <m/>
    <s v=""/>
    <n v="6"/>
    <s v="4"/>
    <s v="4"/>
    <n v="0"/>
    <n v="0"/>
    <n v="0"/>
    <n v="0"/>
    <n v="0"/>
    <n v="0"/>
    <n v="2"/>
    <n v="100"/>
    <n v="2"/>
  </r>
  <r>
    <s v="UCNxtGauI9YwI_ANZwHVgNIg"/>
    <s v="UCEmhBmKML16KTwTejRJ9ZpQ"/>
    <s v="Red"/>
    <n v="10"/>
    <m/>
    <n v="15"/>
    <m/>
    <m/>
    <m/>
    <m/>
    <s v="No"/>
    <n v="204"/>
    <m/>
    <m/>
    <s v="Replied Comment"/>
    <x v="1"/>
    <s v="@Laryssa Olson bruh u rly think i got one"/>
    <s v="UCNxtGauI9YwI_ANZwHVgNIg"/>
    <s v="Petra Anderson"/>
    <s v="http://www.youtube.com/channel/UCNxtGauI9YwI_ANZwHVgNIg"/>
    <s v="Ugxh1VAtkvbnDDzGmm94AaABAg"/>
    <s v="vpEAos0blyw"/>
    <s v="https://www.youtube.com/watch?v="/>
    <s v="none"/>
    <n v="0"/>
    <x v="201"/>
    <d v="2020-02-12T20:47:27.000"/>
    <m/>
    <m/>
    <s v=""/>
    <n v="6"/>
    <s v="4"/>
    <s v="4"/>
    <n v="0"/>
    <n v="0"/>
    <n v="0"/>
    <n v="0"/>
    <n v="0"/>
    <n v="0"/>
    <n v="9"/>
    <n v="100"/>
    <n v="9"/>
  </r>
  <r>
    <s v="UCEmhBmKML16KTwTejRJ9ZpQ"/>
    <s v="UCEmhBmKML16KTwTejRJ9ZpQ"/>
    <s v="Red"/>
    <n v="10"/>
    <m/>
    <n v="15"/>
    <m/>
    <m/>
    <m/>
    <m/>
    <s v="No"/>
    <n v="205"/>
    <m/>
    <m/>
    <s v="Replied Comment"/>
    <x v="1"/>
    <s v="@Petra Anderson i have to piss my pants"/>
    <s v="UCEmhBmKML16KTwTejRJ9ZpQ"/>
    <s v="Laryssa Olson"/>
    <s v="http://www.youtube.com/channel/UCEmhBmKML16KTwTejRJ9ZpQ"/>
    <s v="Ugxh1VAtkvbnDDzGmm94AaABAg"/>
    <s v="vpEAos0blyw"/>
    <s v="https://www.youtube.com/watch?v="/>
    <s v="none"/>
    <n v="0"/>
    <x v="202"/>
    <d v="2020-02-12T20:33:33.000"/>
    <m/>
    <m/>
    <s v=""/>
    <n v="7"/>
    <s v="4"/>
    <s v="4"/>
    <n v="0"/>
    <n v="0"/>
    <n v="0"/>
    <n v="0"/>
    <n v="0"/>
    <n v="0"/>
    <n v="8"/>
    <n v="100"/>
    <n v="8"/>
  </r>
  <r>
    <s v="UCEmhBmKML16KTwTejRJ9ZpQ"/>
    <s v="UCEmhBmKML16KTwTejRJ9ZpQ"/>
    <s v="Red"/>
    <n v="10"/>
    <m/>
    <n v="15"/>
    <m/>
    <m/>
    <m/>
    <m/>
    <s v="No"/>
    <n v="206"/>
    <m/>
    <m/>
    <s v="Replied Comment"/>
    <x v="1"/>
    <s v="hes unna say no lmao, i might acatully pee tho"/>
    <s v="UCEmhBmKML16KTwTejRJ9ZpQ"/>
    <s v="Laryssa Olson"/>
    <s v="http://www.youtube.com/channel/UCEmhBmKML16KTwTejRJ9ZpQ"/>
    <s v="Ugxh1VAtkvbnDDzGmm94AaABAg"/>
    <s v="vpEAos0blyw"/>
    <s v="https://www.youtube.com/watch?v="/>
    <s v="none"/>
    <n v="0"/>
    <x v="203"/>
    <d v="2020-02-12T20:35:15.000"/>
    <m/>
    <m/>
    <s v=""/>
    <n v="7"/>
    <s v="4"/>
    <s v="4"/>
    <n v="0"/>
    <n v="0"/>
    <n v="0"/>
    <n v="0"/>
    <n v="0"/>
    <n v="0"/>
    <n v="10"/>
    <n v="100"/>
    <n v="10"/>
  </r>
  <r>
    <s v="UCEmhBmKML16KTwTejRJ9ZpQ"/>
    <s v="UCEmhBmKML16KTwTejRJ9ZpQ"/>
    <s v="Red"/>
    <n v="10"/>
    <m/>
    <n v="15"/>
    <m/>
    <m/>
    <m/>
    <m/>
    <s v="No"/>
    <n v="207"/>
    <m/>
    <m/>
    <s v="Replied Comment"/>
    <x v="1"/>
    <s v="@Petra Anderson no ill do a &amp;quot;ra ta da da HAHAHAH"/>
    <s v="UCEmhBmKML16KTwTejRJ9ZpQ"/>
    <s v="Laryssa Olson"/>
    <s v="http://www.youtube.com/channel/UCEmhBmKML16KTwTejRJ9ZpQ"/>
    <s v="Ugxh1VAtkvbnDDzGmm94AaABAg"/>
    <s v="vpEAos0blyw"/>
    <s v="https://www.youtube.com/watch?v="/>
    <s v="none"/>
    <n v="0"/>
    <x v="204"/>
    <d v="2020-02-12T20:37:53.000"/>
    <m/>
    <m/>
    <s v=""/>
    <n v="7"/>
    <s v="4"/>
    <s v="4"/>
    <n v="0"/>
    <n v="0"/>
    <n v="0"/>
    <n v="0"/>
    <n v="0"/>
    <n v="0"/>
    <n v="12"/>
    <n v="100"/>
    <n v="12"/>
  </r>
  <r>
    <s v="UCEmhBmKML16KTwTejRJ9ZpQ"/>
    <s v="UCEmhBmKML16KTwTejRJ9ZpQ"/>
    <s v="Red"/>
    <n v="10"/>
    <m/>
    <n v="15"/>
    <m/>
    <m/>
    <m/>
    <m/>
    <s v="No"/>
    <n v="208"/>
    <m/>
    <m/>
    <s v="Replied Comment"/>
    <x v="1"/>
    <s v="@Petra Anderson i have cooties if u know what i mean"/>
    <s v="UCEmhBmKML16KTwTejRJ9ZpQ"/>
    <s v="Laryssa Olson"/>
    <s v="http://www.youtube.com/channel/UCEmhBmKML16KTwTejRJ9ZpQ"/>
    <s v="Ugxh1VAtkvbnDDzGmm94AaABAg"/>
    <s v="vpEAos0blyw"/>
    <s v="https://www.youtube.com/watch?v="/>
    <s v="none"/>
    <n v="0"/>
    <x v="205"/>
    <d v="2020-02-12T20:41:57.000"/>
    <m/>
    <m/>
    <s v=""/>
    <n v="7"/>
    <s v="4"/>
    <s v="4"/>
    <n v="0"/>
    <n v="0"/>
    <n v="0"/>
    <n v="0"/>
    <n v="0"/>
    <n v="0"/>
    <n v="11"/>
    <n v="100"/>
    <n v="11"/>
  </r>
  <r>
    <s v="UCEmhBmKML16KTwTejRJ9ZpQ"/>
    <s v="UCEmhBmKML16KTwTejRJ9ZpQ"/>
    <s v="Red"/>
    <n v="10"/>
    <m/>
    <n v="15"/>
    <m/>
    <m/>
    <m/>
    <m/>
    <s v="No"/>
    <n v="209"/>
    <m/>
    <m/>
    <s v="Replied Comment"/>
    <x v="1"/>
    <s v="@Petra Anderson NO I WANT COOTIES"/>
    <s v="UCEmhBmKML16KTwTejRJ9ZpQ"/>
    <s v="Laryssa Olson"/>
    <s v="http://www.youtube.com/channel/UCEmhBmKML16KTwTejRJ9ZpQ"/>
    <s v="Ugxh1VAtkvbnDDzGmm94AaABAg"/>
    <s v="vpEAos0blyw"/>
    <s v="https://www.youtube.com/watch?v="/>
    <s v="none"/>
    <n v="0"/>
    <x v="206"/>
    <d v="2020-02-12T20:44:09.000"/>
    <m/>
    <m/>
    <s v=""/>
    <n v="7"/>
    <s v="4"/>
    <s v="4"/>
    <n v="0"/>
    <n v="0"/>
    <n v="0"/>
    <n v="0"/>
    <n v="0"/>
    <n v="0"/>
    <n v="6"/>
    <n v="100"/>
    <n v="6"/>
  </r>
  <r>
    <s v="UCEmhBmKML16KTwTejRJ9ZpQ"/>
    <s v="UCEmhBmKML16KTwTejRJ9ZpQ"/>
    <s v="Red"/>
    <n v="10"/>
    <m/>
    <n v="15"/>
    <m/>
    <m/>
    <m/>
    <m/>
    <s v="No"/>
    <n v="210"/>
    <m/>
    <m/>
    <s v="Replied Comment"/>
    <x v="1"/>
    <s v="@Petra Anderson who is yo man atm????"/>
    <s v="UCEmhBmKML16KTwTejRJ9ZpQ"/>
    <s v="Laryssa Olson"/>
    <s v="http://www.youtube.com/channel/UCEmhBmKML16KTwTejRJ9ZpQ"/>
    <s v="Ugxh1VAtkvbnDDzGmm94AaABAg"/>
    <s v="vpEAos0blyw"/>
    <s v="https://www.youtube.com/watch?v="/>
    <s v="none"/>
    <n v="0"/>
    <x v="207"/>
    <d v="2020-02-12T20:46:37.000"/>
    <m/>
    <m/>
    <s v=""/>
    <n v="7"/>
    <s v="4"/>
    <s v="4"/>
    <n v="0"/>
    <n v="0"/>
    <n v="0"/>
    <n v="0"/>
    <n v="0"/>
    <n v="0"/>
    <n v="7"/>
    <n v="100"/>
    <n v="7"/>
  </r>
  <r>
    <s v="UCEmhBmKML16KTwTejRJ9ZpQ"/>
    <s v="UCEmhBmKML16KTwTejRJ9ZpQ"/>
    <s v="Red"/>
    <n v="10"/>
    <m/>
    <n v="15"/>
    <m/>
    <m/>
    <m/>
    <m/>
    <s v="No"/>
    <n v="211"/>
    <m/>
    <m/>
    <s v="Replied Comment"/>
    <x v="1"/>
    <s v="@Petra Anderson HHAHHAAHAH you nvr know"/>
    <s v="UCEmhBmKML16KTwTejRJ9ZpQ"/>
    <s v="Laryssa Olson"/>
    <s v="http://www.youtube.com/channel/UCEmhBmKML16KTwTejRJ9ZpQ"/>
    <s v="Ugxh1VAtkvbnDDzGmm94AaABAg"/>
    <s v="vpEAos0blyw"/>
    <s v="https://www.youtube.com/watch?v="/>
    <s v="none"/>
    <n v="0"/>
    <x v="208"/>
    <d v="2020-02-14T20:48:44.000"/>
    <m/>
    <m/>
    <s v=""/>
    <n v="7"/>
    <s v="4"/>
    <s v="4"/>
    <n v="0"/>
    <n v="0"/>
    <n v="0"/>
    <n v="0"/>
    <n v="0"/>
    <n v="0"/>
    <n v="6"/>
    <n v="100"/>
    <n v="6"/>
  </r>
  <r>
    <s v="UCEmhBmKML16KTwTejRJ9ZpQ"/>
    <s v="UCTl32ukBGG3FGRX7ZfZwVTw"/>
    <s v="192, 192, 192"/>
    <n v="3"/>
    <m/>
    <n v="40"/>
    <m/>
    <m/>
    <m/>
    <m/>
    <s v="No"/>
    <n v="212"/>
    <m/>
    <m/>
    <s v="Commented Video"/>
    <x v="0"/>
    <s v="petraaaaaaaa"/>
    <s v="UCEmhBmKML16KTwTejRJ9ZpQ"/>
    <s v="Laryssa Olson"/>
    <s v="http://www.youtube.com/channel/UCEmhBmKML16KTwTejRJ9ZpQ"/>
    <m/>
    <s v="vpEAos0blyw"/>
    <s v="https://www.youtube.com/watch?v=vpEAos0blyw"/>
    <s v="none"/>
    <n v="2"/>
    <x v="209"/>
    <d v="2020-02-12T20:29:36.000"/>
    <m/>
    <m/>
    <s v=""/>
    <n v="1"/>
    <s v="4"/>
    <s v="4"/>
    <n v="0"/>
    <n v="0"/>
    <n v="0"/>
    <n v="0"/>
    <n v="0"/>
    <n v="0"/>
    <n v="1"/>
    <n v="100"/>
    <n v="1"/>
  </r>
  <r>
    <s v="UCWc6Iu66HSngtF-8ylCZJSQ"/>
    <s v="UCxqv514twWSq0AK__OAPlBQ"/>
    <s v="192, 192, 192"/>
    <n v="3"/>
    <m/>
    <n v="40"/>
    <m/>
    <m/>
    <m/>
    <m/>
    <s v="No"/>
    <n v="213"/>
    <m/>
    <m/>
    <s v="Replied Comment"/>
    <x v="1"/>
    <s v="Me"/>
    <s v="UCWc6Iu66HSngtF-8ylCZJSQ"/>
    <s v="Astherid Dcom"/>
    <s v="http://www.youtube.com/channel/UCWc6Iu66HSngtF-8ylCZJSQ"/>
    <s v="Ugx2W5Im-8Yj22EtKzB4AaABAg"/>
    <s v="vpEAos0blyw"/>
    <s v="https://www.youtube.com/watch?v=vpEAos0blyw"/>
    <s v="none"/>
    <n v="0"/>
    <x v="210"/>
    <d v="2021-04-04T23:43:39.000"/>
    <m/>
    <m/>
    <s v=""/>
    <n v="1"/>
    <s v="4"/>
    <s v="4"/>
    <n v="0"/>
    <n v="0"/>
    <n v="0"/>
    <n v="0"/>
    <n v="0"/>
    <n v="0"/>
    <n v="1"/>
    <n v="100"/>
    <n v="1"/>
  </r>
  <r>
    <s v="UCxqv514twWSq0AK__OAPlBQ"/>
    <s v="UCTl32ukBGG3FGRX7ZfZwVTw"/>
    <s v="192, 192, 192"/>
    <n v="3"/>
    <m/>
    <n v="40"/>
    <m/>
    <m/>
    <m/>
    <m/>
    <s v="No"/>
    <n v="214"/>
    <m/>
    <m/>
    <s v="Commented Video"/>
    <x v="0"/>
    <s v="So who want to play roblox"/>
    <s v="UCxqv514twWSq0AK__OAPlBQ"/>
    <s v="Aalana Vargas"/>
    <s v="http://www.youtube.com/channel/UCxqv514twWSq0AK__OAPlBQ"/>
    <m/>
    <s v="vpEAos0blyw"/>
    <s v="https://www.youtube.com/watch?v=vpEAos0blyw"/>
    <s v="none"/>
    <n v="4"/>
    <x v="211"/>
    <d v="2020-03-17T20:15:43.000"/>
    <m/>
    <m/>
    <s v=""/>
    <n v="1"/>
    <s v="4"/>
    <s v="4"/>
    <n v="0"/>
    <n v="0"/>
    <n v="0"/>
    <n v="0"/>
    <n v="0"/>
    <n v="0"/>
    <n v="6"/>
    <n v="100"/>
    <n v="6"/>
  </r>
  <r>
    <s v="UCWVdzKevS3_H77zZgSJoHlA"/>
    <s v="UCpfWAL5jCTom1iIoRhQUg4w"/>
    <s v="192, 192, 192"/>
    <n v="3"/>
    <m/>
    <n v="40"/>
    <m/>
    <m/>
    <m/>
    <m/>
    <s v="No"/>
    <n v="215"/>
    <m/>
    <m/>
    <s v="Replied Comment"/>
    <x v="1"/>
    <s v=":("/>
    <s v="UCWVdzKevS3_H77zZgSJoHlA"/>
    <s v="Prowlheart"/>
    <s v="http://www.youtube.com/channel/UCWVdzKevS3_H77zZgSJoHlA"/>
    <s v="UgwKIorvZMM-27luBFl4AaABAg"/>
    <s v="vpEAos0blyw"/>
    <s v="https://www.youtube.com/watch?v=vpEAos0blyw"/>
    <s v="none"/>
    <n v="0"/>
    <x v="212"/>
    <d v="2020-07-12T20:03:18.000"/>
    <m/>
    <m/>
    <s v=""/>
    <n v="1"/>
    <s v="4"/>
    <s v="4"/>
    <n v="0"/>
    <n v="0"/>
    <n v="0"/>
    <n v="0"/>
    <n v="0"/>
    <n v="0"/>
    <n v="0"/>
    <n v="0"/>
    <n v="0"/>
  </r>
  <r>
    <s v="UCpfWAL5jCTom1iIoRhQUg4w"/>
    <s v="UCTl32ukBGG3FGRX7ZfZwVTw"/>
    <s v="192, 192, 192"/>
    <n v="3"/>
    <m/>
    <n v="40"/>
    <m/>
    <m/>
    <m/>
    <m/>
    <s v="No"/>
    <n v="216"/>
    <m/>
    <m/>
    <s v="Commented Video"/>
    <x v="0"/>
    <s v="And now there’s the COVID-19 Pandemic"/>
    <s v="UCpfWAL5jCTom1iIoRhQUg4w"/>
    <s v="Shinko Shi"/>
    <s v="http://www.youtube.com/channel/UCpfWAL5jCTom1iIoRhQUg4w"/>
    <m/>
    <s v="vpEAos0blyw"/>
    <s v="https://www.youtube.com/watch?v=vpEAos0blyw"/>
    <s v="none"/>
    <n v="6"/>
    <x v="213"/>
    <d v="2020-04-02T22:48:04.000"/>
    <m/>
    <m/>
    <s v=""/>
    <n v="1"/>
    <s v="4"/>
    <s v="4"/>
    <n v="0"/>
    <n v="0"/>
    <n v="0"/>
    <n v="0"/>
    <n v="0"/>
    <n v="0"/>
    <n v="8"/>
    <n v="100"/>
    <n v="8"/>
  </r>
  <r>
    <s v="UC50kqnAFV1i8YVdc4VGzKCw"/>
    <s v="UCu6wTkukAyVqunE0TaKrzWw"/>
    <s v="192, 192, 192"/>
    <n v="3"/>
    <m/>
    <n v="40"/>
    <m/>
    <m/>
    <m/>
    <m/>
    <s v="No"/>
    <n v="217"/>
    <m/>
    <m/>
    <s v="Replied Comment"/>
    <x v="1"/>
    <s v="@kai fite yes, did you see the virus picture that looked a little bit like corona virus?&lt;br&gt;creepy"/>
    <s v="UC50kqnAFV1i8YVdc4VGzKCw"/>
    <s v="SERENA SPENCER"/>
    <s v="http://www.youtube.com/channel/UC50kqnAFV1i8YVdc4VGzKCw"/>
    <s v="Ugzv6bKGONmlmAeRbJh4AaABAg"/>
    <s v="vpEAos0blyw"/>
    <s v="https://www.youtube.com/watch?v="/>
    <s v="none"/>
    <n v="1"/>
    <x v="214"/>
    <d v="2020-04-13T17:12:58.000"/>
    <m/>
    <m/>
    <s v=""/>
    <n v="1"/>
    <s v="4"/>
    <s v="4"/>
    <n v="1"/>
    <n v="5.2631578947368425"/>
    <n v="3"/>
    <n v="15.789473684210526"/>
    <n v="0"/>
    <n v="0"/>
    <n v="15"/>
    <n v="78.94736842105263"/>
    <n v="19"/>
  </r>
  <r>
    <s v="UCzECW1QYDLBlfE5KIA2WyLw"/>
    <s v="UCu6wTkukAyVqunE0TaKrzWw"/>
    <s v="192, 192, 192"/>
    <n v="3"/>
    <m/>
    <n v="40"/>
    <m/>
    <m/>
    <m/>
    <m/>
    <s v="No"/>
    <n v="218"/>
    <m/>
    <m/>
    <s v="Replied Comment"/>
    <x v="1"/>
    <s v="same lmao"/>
    <s v="UCzECW1QYDLBlfE5KIA2WyLw"/>
    <s v="Negan"/>
    <s v="http://www.youtube.com/channel/UCzECW1QYDLBlfE5KIA2WyLw"/>
    <s v="Ugzv6bKGONmlmAeRbJh4AaABAg"/>
    <s v="vpEAos0blyw"/>
    <s v="https://www.youtube.com/watch?v="/>
    <s v="none"/>
    <n v="2"/>
    <x v="215"/>
    <d v="2020-04-22T20:24:11.000"/>
    <m/>
    <m/>
    <s v=""/>
    <n v="1"/>
    <s v="4"/>
    <s v="4"/>
    <n v="0"/>
    <n v="0"/>
    <n v="0"/>
    <n v="0"/>
    <n v="0"/>
    <n v="0"/>
    <n v="2"/>
    <n v="100"/>
    <n v="2"/>
  </r>
  <r>
    <s v="UC6Ay0pZCXvOaPaPPYOy6s0A"/>
    <s v="UCu6wTkukAyVqunE0TaKrzWw"/>
    <s v="192, 192, 192"/>
    <n v="3"/>
    <m/>
    <n v="40"/>
    <m/>
    <m/>
    <m/>
    <m/>
    <s v="No"/>
    <n v="219"/>
    <m/>
    <m/>
    <s v="Replied Comment"/>
    <x v="1"/>
    <s v="same dude"/>
    <s v="UC6Ay0pZCXvOaPaPPYOy6s0A"/>
    <s v="Ringo The Fly"/>
    <s v="http://www.youtube.com/channel/UC6Ay0pZCXvOaPaPPYOy6s0A"/>
    <s v="Ugzv6bKGONmlmAeRbJh4AaABAg"/>
    <s v="vpEAos0blyw"/>
    <s v="https://www.youtube.com/watch?v="/>
    <s v="none"/>
    <n v="1"/>
    <x v="216"/>
    <d v="2020-05-18T15:01:23.000"/>
    <m/>
    <m/>
    <s v=""/>
    <n v="1"/>
    <s v="4"/>
    <s v="4"/>
    <n v="0"/>
    <n v="0"/>
    <n v="0"/>
    <n v="0"/>
    <n v="0"/>
    <n v="0"/>
    <n v="2"/>
    <n v="100"/>
    <n v="2"/>
  </r>
  <r>
    <s v="UC-YSMJTWUtL5hAeon8YDW4Q"/>
    <s v="UCu6wTkukAyVqunE0TaKrzWw"/>
    <s v="192, 192, 192"/>
    <n v="3"/>
    <m/>
    <n v="40"/>
    <m/>
    <m/>
    <m/>
    <m/>
    <s v="No"/>
    <n v="220"/>
    <m/>
    <m/>
    <s v="Replied Comment"/>
    <x v="1"/>
    <s v="Same it’s pissing me off"/>
    <s v="UC-YSMJTWUtL5hAeon8YDW4Q"/>
    <s v="SNIPER-SHADOWBOI YT"/>
    <s v="http://www.youtube.com/channel/UC-YSMJTWUtL5hAeon8YDW4Q"/>
    <s v="Ugzv6bKGONmlmAeRbJh4AaABAg"/>
    <s v="vpEAos0blyw"/>
    <s v="https://www.youtube.com/watch?v="/>
    <s v="none"/>
    <n v="3"/>
    <x v="217"/>
    <d v="2020-08-31T15:04:40.000"/>
    <m/>
    <m/>
    <s v=""/>
    <n v="1"/>
    <s v="4"/>
    <s v="4"/>
    <n v="0"/>
    <n v="0"/>
    <n v="0"/>
    <n v="0"/>
    <n v="0"/>
    <n v="0"/>
    <n v="6"/>
    <n v="100"/>
    <n v="6"/>
  </r>
  <r>
    <s v="UCdq_WSt0JCjBKXydTu1rgTQ"/>
    <s v="UCu6wTkukAyVqunE0TaKrzWw"/>
    <s v="192, 192, 192"/>
    <n v="3"/>
    <m/>
    <n v="40"/>
    <m/>
    <m/>
    <m/>
    <m/>
    <s v="No"/>
    <n v="221"/>
    <m/>
    <m/>
    <s v="Replied Comment"/>
    <x v="1"/>
    <s v="yeah me too this is boring"/>
    <s v="UCdq_WSt0JCjBKXydTu1rgTQ"/>
    <s v="Donna Torres"/>
    <s v="http://www.youtube.com/channel/UCdq_WSt0JCjBKXydTu1rgTQ"/>
    <s v="Ugzv6bKGONmlmAeRbJh4AaABAg"/>
    <s v="vpEAos0blyw"/>
    <s v="https://www.youtube.com/watch?v="/>
    <s v="none"/>
    <n v="0"/>
    <x v="218"/>
    <d v="2020-09-22T05:11:28.000"/>
    <m/>
    <m/>
    <s v=""/>
    <n v="1"/>
    <s v="4"/>
    <s v="4"/>
    <n v="0"/>
    <n v="0"/>
    <n v="1"/>
    <n v="16.666666666666668"/>
    <n v="0"/>
    <n v="0"/>
    <n v="5"/>
    <n v="83.33333333333333"/>
    <n v="6"/>
  </r>
  <r>
    <s v="UCrUysV9Hi3CdSQ--IqmXjVw"/>
    <s v="UCu6wTkukAyVqunE0TaKrzWw"/>
    <s v="192, 192, 192"/>
    <n v="3"/>
    <m/>
    <n v="40"/>
    <m/>
    <m/>
    <m/>
    <m/>
    <s v="No"/>
    <n v="222"/>
    <m/>
    <m/>
    <s v="Replied Comment"/>
    <x v="1"/>
    <s v="yep"/>
    <s v="UCrUysV9Hi3CdSQ--IqmXjVw"/>
    <s v="Burnt Butter"/>
    <s v="http://www.youtube.com/channel/UCrUysV9Hi3CdSQ--IqmXjVw"/>
    <s v="Ugzv6bKGONmlmAeRbJh4AaABAg"/>
    <s v="vpEAos0blyw"/>
    <s v="https://www.youtube.com/watch?v="/>
    <s v="none"/>
    <n v="0"/>
    <x v="219"/>
    <d v="2021-05-12T21:46:58.000"/>
    <m/>
    <m/>
    <s v=""/>
    <n v="1"/>
    <s v="4"/>
    <s v="4"/>
    <n v="0"/>
    <n v="0"/>
    <n v="0"/>
    <n v="0"/>
    <n v="0"/>
    <n v="0"/>
    <n v="1"/>
    <n v="100"/>
    <n v="1"/>
  </r>
  <r>
    <s v="UCcR3lvb6rzItuTw9H5_I2TQ"/>
    <s v="UCu6wTkukAyVqunE0TaKrzWw"/>
    <s v="192, 192, 192"/>
    <n v="3"/>
    <m/>
    <n v="40"/>
    <m/>
    <m/>
    <m/>
    <m/>
    <s v="No"/>
    <n v="223"/>
    <m/>
    <m/>
    <s v="Replied Comment"/>
    <x v="1"/>
    <s v="same bro it sucks"/>
    <s v="UCcR3lvb6rzItuTw9H5_I2TQ"/>
    <s v="kai fite"/>
    <s v="http://www.youtube.com/channel/UCcR3lvb6rzItuTw9H5_I2TQ"/>
    <s v="Ugzv6bKGONmlmAeRbJh4AaABAg"/>
    <s v="vpEAos0blyw"/>
    <s v="https://www.youtube.com/watch?v="/>
    <s v="none"/>
    <n v="4"/>
    <x v="220"/>
    <d v="2020-04-08T21:04:27.000"/>
    <m/>
    <m/>
    <s v=""/>
    <n v="1"/>
    <s v="4"/>
    <s v="4"/>
    <n v="0"/>
    <n v="0"/>
    <n v="1"/>
    <n v="25"/>
    <n v="0"/>
    <n v="0"/>
    <n v="3"/>
    <n v="75"/>
    <n v="4"/>
  </r>
  <r>
    <s v="UChIdhlau-9aLJ_ClYaiTwxQ"/>
    <s v="UCu6wTkukAyVqunE0TaKrzWw"/>
    <s v="Red"/>
    <n v="10"/>
    <m/>
    <n v="15"/>
    <m/>
    <m/>
    <m/>
    <m/>
    <s v="No"/>
    <n v="224"/>
    <m/>
    <m/>
    <s v="Replied Comment"/>
    <x v="1"/>
    <s v="Same here bro"/>
    <s v="UChIdhlau-9aLJ_ClYaiTwxQ"/>
    <s v="DrGnome / KJW"/>
    <s v="http://www.youtube.com/channel/UChIdhlau-9aLJ_ClYaiTwxQ"/>
    <s v="Ugzv6bKGONmlmAeRbJh4AaABAg"/>
    <s v="vpEAos0blyw"/>
    <s v="https://www.youtube.com/watch?v="/>
    <s v="none"/>
    <n v="1"/>
    <x v="221"/>
    <d v="2020-05-20T17:13:36.000"/>
    <m/>
    <m/>
    <s v=""/>
    <n v="2"/>
    <s v="4"/>
    <s v="4"/>
    <n v="0"/>
    <n v="0"/>
    <n v="0"/>
    <n v="0"/>
    <n v="0"/>
    <n v="0"/>
    <n v="3"/>
    <n v="100"/>
    <n v="3"/>
  </r>
  <r>
    <s v="UChIdhlau-9aLJ_ClYaiTwxQ"/>
    <s v="UCu6wTkukAyVqunE0TaKrzWw"/>
    <s v="Red"/>
    <n v="10"/>
    <m/>
    <n v="15"/>
    <m/>
    <m/>
    <m/>
    <m/>
    <s v="No"/>
    <n v="225"/>
    <m/>
    <m/>
    <s v="Replied Comment"/>
    <x v="1"/>
    <s v="@SERENA SPENCER Yeah, the Corona &lt;b&gt;&lt;i&gt;VIRUS&lt;/i&gt;&lt;/b&gt; looks like a &lt;b&gt;&lt;i&gt;VIRUS.&lt;/i&gt;&lt;/b&gt; Who would&amp;#39;ve thought."/>
    <s v="UChIdhlau-9aLJ_ClYaiTwxQ"/>
    <s v="DrGnome / KJW"/>
    <s v="http://www.youtube.com/channel/UChIdhlau-9aLJ_ClYaiTwxQ"/>
    <s v="Ugzv6bKGONmlmAeRbJh4AaABAg"/>
    <s v="vpEAos0blyw"/>
    <s v="https://www.youtube.com/watch?v="/>
    <s v="none"/>
    <n v="3"/>
    <x v="222"/>
    <d v="2020-05-20T17:15:00.000"/>
    <m/>
    <m/>
    <s v=""/>
    <n v="2"/>
    <s v="4"/>
    <s v="4"/>
    <n v="1"/>
    <n v="4.3478260869565215"/>
    <n v="2"/>
    <n v="8.695652173913043"/>
    <n v="0"/>
    <n v="0"/>
    <n v="20"/>
    <n v="86.95652173913044"/>
    <n v="23"/>
  </r>
  <r>
    <s v="UCWVdzKevS3_H77zZgSJoHlA"/>
    <s v="UCu6wTkukAyVqunE0TaKrzWw"/>
    <s v="192, 192, 192"/>
    <n v="3"/>
    <m/>
    <n v="40"/>
    <m/>
    <m/>
    <m/>
    <m/>
    <s v="No"/>
    <n v="226"/>
    <m/>
    <m/>
    <s v="Replied Comment"/>
    <x v="1"/>
    <s v="same! I&amp;#39;m glad that I was able to watch this halpful video :)  Did you guys come from Methodschools?"/>
    <s v="UCWVdzKevS3_H77zZgSJoHlA"/>
    <s v="Prowlheart"/>
    <s v="http://www.youtube.com/channel/UCWVdzKevS3_H77zZgSJoHlA"/>
    <s v="Ugzv6bKGONmlmAeRbJh4AaABAg"/>
    <s v="vpEAos0blyw"/>
    <s v="https://www.youtube.com/watch?v="/>
    <s v="none"/>
    <n v="0"/>
    <x v="223"/>
    <d v="2020-10-01T23:39:00.000"/>
    <m/>
    <m/>
    <s v=""/>
    <n v="1"/>
    <s v="4"/>
    <s v="4"/>
    <n v="1"/>
    <n v="5"/>
    <n v="0"/>
    <n v="0"/>
    <n v="0"/>
    <n v="0"/>
    <n v="19"/>
    <n v="95"/>
    <n v="20"/>
  </r>
  <r>
    <s v="UCu6wTkukAyVqunE0TaKrzWw"/>
    <s v="UCTl32ukBGG3FGRX7ZfZwVTw"/>
    <s v="192, 192, 192"/>
    <n v="3"/>
    <m/>
    <n v="40"/>
    <m/>
    <m/>
    <m/>
    <m/>
    <s v="No"/>
    <n v="227"/>
    <m/>
    <m/>
    <s v="Commented Video"/>
    <x v="0"/>
    <s v="Bro im just watching this because of online classes"/>
    <s v="UCu6wTkukAyVqunE0TaKrzWw"/>
    <s v="SammySavage"/>
    <s v="http://www.youtube.com/channel/UCu6wTkukAyVqunE0TaKrzWw"/>
    <m/>
    <s v="vpEAos0blyw"/>
    <s v="https://www.youtube.com/watch?v=vpEAos0blyw"/>
    <s v="none"/>
    <n v="83"/>
    <x v="224"/>
    <d v="2020-04-05T23:19:17.000"/>
    <m/>
    <m/>
    <s v=""/>
    <n v="1"/>
    <s v="4"/>
    <s v="4"/>
    <n v="0"/>
    <n v="0"/>
    <n v="0"/>
    <n v="0"/>
    <n v="0"/>
    <n v="0"/>
    <n v="9"/>
    <n v="100"/>
    <n v="9"/>
  </r>
  <r>
    <s v="UCe5vN9iYzWRu3MV8QdPaSoQ"/>
    <s v="UCkzFL--FtYlc5M3mnc7OGXg"/>
    <s v="192, 192, 192"/>
    <n v="3"/>
    <m/>
    <n v="40"/>
    <m/>
    <m/>
    <m/>
    <m/>
    <s v="No"/>
    <n v="228"/>
    <m/>
    <m/>
    <s v="Replied Comment"/>
    <x v="1"/>
    <s v="Me too"/>
    <s v="UCe5vN9iYzWRu3MV8QdPaSoQ"/>
    <s v="AAAAA30 minecraft"/>
    <s v="http://www.youtube.com/channel/UCe5vN9iYzWRu3MV8QdPaSoQ"/>
    <s v="UgwCm88VF6PYPIuXl2l4AaABAg"/>
    <s v="vpEAos0blyw"/>
    <s v="https://www.youtube.com/watch?v=vpEAos0blyw"/>
    <s v="none"/>
    <n v="0"/>
    <x v="225"/>
    <d v="2020-09-22T16:44:10.000"/>
    <m/>
    <m/>
    <s v=""/>
    <n v="1"/>
    <s v="4"/>
    <s v="4"/>
    <n v="0"/>
    <n v="0"/>
    <n v="0"/>
    <n v="0"/>
    <n v="0"/>
    <n v="0"/>
    <n v="2"/>
    <n v="100"/>
    <n v="2"/>
  </r>
  <r>
    <s v="UC-VTJt8mzfTG9fa7HIrL9Vw"/>
    <s v="UCkzFL--FtYlc5M3mnc7OGXg"/>
    <s v="192, 192, 192"/>
    <n v="3"/>
    <m/>
    <n v="40"/>
    <m/>
    <m/>
    <m/>
    <m/>
    <s v="No"/>
    <n v="229"/>
    <m/>
    <m/>
    <s v="Replied Comment"/>
    <x v="1"/>
    <s v="Ong this shit boring asf🤦🏽‍♂️😭"/>
    <s v="UC-VTJt8mzfTG9fa7HIrL9Vw"/>
    <s v="Fang 007"/>
    <s v="http://www.youtube.com/channel/UC-VTJt8mzfTG9fa7HIrL9Vw"/>
    <s v="UgwCm88VF6PYPIuXl2l4AaABAg"/>
    <s v="vpEAos0blyw"/>
    <s v="https://www.youtube.com/watch?v=vpEAos0blyw"/>
    <s v="none"/>
    <n v="0"/>
    <x v="226"/>
    <d v="2020-10-20T03:24:17.000"/>
    <m/>
    <m/>
    <s v=""/>
    <n v="1"/>
    <s v="4"/>
    <s v="4"/>
    <n v="0"/>
    <n v="0"/>
    <n v="2"/>
    <n v="40"/>
    <n v="0"/>
    <n v="0"/>
    <n v="3"/>
    <n v="60"/>
    <n v="5"/>
  </r>
  <r>
    <s v="UCkzFL--FtYlc5M3mnc7OGXg"/>
    <s v="UCTl32ukBGG3FGRX7ZfZwVTw"/>
    <s v="192, 192, 192"/>
    <n v="3"/>
    <m/>
    <n v="40"/>
    <m/>
    <m/>
    <m/>
    <m/>
    <s v="No"/>
    <n v="230"/>
    <m/>
    <m/>
    <s v="Commented Video"/>
    <x v="0"/>
    <s v="online classes sent me here like tf i dont wanna be hereeeee"/>
    <s v="UCkzFL--FtYlc5M3mnc7OGXg"/>
    <s v="Herve Charlemagne"/>
    <s v="http://www.youtube.com/channel/UCkzFL--FtYlc5M3mnc7OGXg"/>
    <m/>
    <s v="vpEAos0blyw"/>
    <s v="https://www.youtube.com/watch?v=vpEAos0blyw"/>
    <s v="none"/>
    <n v="11"/>
    <x v="227"/>
    <d v="2020-05-04T18:17:28.000"/>
    <m/>
    <m/>
    <s v=""/>
    <n v="1"/>
    <s v="4"/>
    <s v="4"/>
    <n v="1"/>
    <n v="8.333333333333334"/>
    <n v="0"/>
    <n v="0"/>
    <n v="0"/>
    <n v="0"/>
    <n v="11"/>
    <n v="91.66666666666667"/>
    <n v="12"/>
  </r>
  <r>
    <s v="UCvmQhoFmgW3rsTU4GyQCu1g"/>
    <s v="UCTl32ukBGG3FGRX7ZfZwVTw"/>
    <s v="192, 192, 192"/>
    <n v="3"/>
    <m/>
    <n v="40"/>
    <m/>
    <m/>
    <m/>
    <m/>
    <s v="No"/>
    <n v="231"/>
    <m/>
    <m/>
    <s v="Commented Video"/>
    <x v="0"/>
    <s v="Hi everyone from coach Thornton class💯"/>
    <s v="UCvmQhoFmgW3rsTU4GyQCu1g"/>
    <s v="Li Meechy"/>
    <s v="http://www.youtube.com/channel/UCvmQhoFmgW3rsTU4GyQCu1g"/>
    <m/>
    <s v="vpEAos0blyw"/>
    <s v="https://www.youtube.com/watch?v=vpEAos0blyw"/>
    <s v="none"/>
    <n v="8"/>
    <x v="228"/>
    <d v="2020-05-05T13:18:50.000"/>
    <m/>
    <m/>
    <s v=""/>
    <n v="1"/>
    <s v="4"/>
    <s v="4"/>
    <n v="0"/>
    <n v="0"/>
    <n v="0"/>
    <n v="0"/>
    <n v="0"/>
    <n v="0"/>
    <n v="6"/>
    <n v="100"/>
    <n v="6"/>
  </r>
  <r>
    <s v="UCTMw1rCPwuwDtqqcvLAteDA"/>
    <s v="UCTl32ukBGG3FGRX7ZfZwVTw"/>
    <s v="192, 192, 192"/>
    <n v="3"/>
    <m/>
    <n v="40"/>
    <m/>
    <m/>
    <m/>
    <m/>
    <s v="No"/>
    <n v="232"/>
    <m/>
    <m/>
    <s v="Commented Video"/>
    <x v="0"/>
    <s v="guinea worms are dead lets go &lt;a href=&quot;https://www.youtube.com/watch?v=8nOuAUfXjzQ&quot;&gt;https://www.youtube.com/watch?v=8nOuAUfXjzQ&lt;/a&gt;"/>
    <s v="UCTMw1rCPwuwDtqqcvLAteDA"/>
    <s v="Lord Pugzly"/>
    <s v="http://www.youtube.com/channel/UCTMw1rCPwuwDtqqcvLAteDA"/>
    <m/>
    <s v="vpEAos0blyw"/>
    <s v="https://www.youtube.com/watch?v=vpEAos0blyw"/>
    <s v="none"/>
    <n v="0"/>
    <x v="229"/>
    <d v="2020-05-07T17:26:10.000"/>
    <s v=" https://www.youtube.com/watch?v=8nOuAUfXjzQ https://www.youtube.com/watch?v=8nOuAUfXjzQ"/>
    <s v="youtube.com youtube.com"/>
    <s v=""/>
    <n v="1"/>
    <s v="4"/>
    <s v="4"/>
    <n v="0"/>
    <n v="0"/>
    <n v="1"/>
    <n v="4.3478260869565215"/>
    <n v="0"/>
    <n v="0"/>
    <n v="22"/>
    <n v="95.65217391304348"/>
    <n v="23"/>
  </r>
  <r>
    <s v="UC1Fn1d4s9_LnzWLvE46XEHg"/>
    <s v="UCTl32ukBGG3FGRX7ZfZwVTw"/>
    <s v="192, 192, 192"/>
    <n v="3"/>
    <m/>
    <n v="40"/>
    <m/>
    <m/>
    <m/>
    <m/>
    <s v="No"/>
    <n v="233"/>
    <m/>
    <m/>
    <s v="Commented Video"/>
    <x v="0"/>
    <s v="sup mr.k health class"/>
    <s v="UC1Fn1d4s9_LnzWLvE46XEHg"/>
    <s v="lokisucks"/>
    <s v="http://www.youtube.com/channel/UC1Fn1d4s9_LnzWLvE46XEHg"/>
    <m/>
    <s v="vpEAos0blyw"/>
    <s v="https://www.youtube.com/watch?v=vpEAos0blyw"/>
    <s v="none"/>
    <n v="3"/>
    <x v="230"/>
    <d v="2020-05-20T04:43:04.000"/>
    <m/>
    <m/>
    <s v=""/>
    <n v="1"/>
    <s v="4"/>
    <s v="4"/>
    <n v="0"/>
    <n v="0"/>
    <n v="0"/>
    <n v="0"/>
    <n v="0"/>
    <n v="0"/>
    <n v="5"/>
    <n v="100"/>
    <n v="5"/>
  </r>
  <r>
    <s v="UChIdhlau-9aLJ_ClYaiTwxQ"/>
    <s v="UCTl32ukBGG3FGRX7ZfZwVTw"/>
    <s v="192, 192, 192"/>
    <n v="3"/>
    <m/>
    <n v="40"/>
    <m/>
    <m/>
    <m/>
    <m/>
    <s v="No"/>
    <n v="234"/>
    <m/>
    <m/>
    <s v="Commented Video"/>
    <x v="0"/>
    <s v="Mr Copper anyone??"/>
    <s v="UChIdhlau-9aLJ_ClYaiTwxQ"/>
    <s v="DrGnome / KJW"/>
    <s v="http://www.youtube.com/channel/UChIdhlau-9aLJ_ClYaiTwxQ"/>
    <m/>
    <s v="vpEAos0blyw"/>
    <s v="https://www.youtube.com/watch?v=vpEAos0blyw"/>
    <s v="none"/>
    <n v="2"/>
    <x v="231"/>
    <d v="2020-05-20T17:15:46.000"/>
    <m/>
    <m/>
    <s v=""/>
    <n v="1"/>
    <s v="4"/>
    <s v="4"/>
    <n v="0"/>
    <n v="0"/>
    <n v="0"/>
    <n v="0"/>
    <n v="0"/>
    <n v="0"/>
    <n v="3"/>
    <n v="100"/>
    <n v="3"/>
  </r>
  <r>
    <s v="UCWVdzKevS3_H77zZgSJoHlA"/>
    <s v="UCTl32ukBGG3FGRX7ZfZwVTw"/>
    <s v="Red"/>
    <n v="10"/>
    <m/>
    <n v="15"/>
    <m/>
    <m/>
    <m/>
    <m/>
    <s v="No"/>
    <n v="235"/>
    <m/>
    <m/>
    <s v="Commented Video"/>
    <x v="0"/>
    <s v="&lt;a href=&quot;https://www.youtube.com/watch?v=vpEAos0blyw&amp;amp;t=12m33s&quot;&gt;12:33&lt;/a&gt; We&amp;#39;re experts on that already, unfortunatley."/>
    <s v="UCWVdzKevS3_H77zZgSJoHlA"/>
    <s v="Prowlheart"/>
    <s v="http://www.youtube.com/channel/UCWVdzKevS3_H77zZgSJoHlA"/>
    <m/>
    <s v="vpEAos0blyw"/>
    <s v="https://www.youtube.com/watch?v=vpEAos0blyw"/>
    <s v="none"/>
    <n v="4"/>
    <x v="232"/>
    <d v="2020-07-12T20:02:42.000"/>
    <s v=" https://www.youtube.com/watch?v=vpEAos0blyw&amp;amp;t=12m33s"/>
    <s v="youtube.com"/>
    <s v=""/>
    <n v="2"/>
    <s v="4"/>
    <s v="4"/>
    <n v="0"/>
    <n v="0"/>
    <n v="0"/>
    <n v="0"/>
    <n v="0"/>
    <n v="0"/>
    <n v="23"/>
    <n v="100"/>
    <n v="23"/>
  </r>
  <r>
    <s v="UCWVdzKevS3_H77zZgSJoHlA"/>
    <s v="UCTl32ukBGG3FGRX7ZfZwVTw"/>
    <s v="Red"/>
    <n v="10"/>
    <m/>
    <n v="15"/>
    <m/>
    <m/>
    <m/>
    <m/>
    <s v="No"/>
    <n v="236"/>
    <m/>
    <m/>
    <s v="Commented Video"/>
    <x v="0"/>
    <s v="Thank you for the helpful video!"/>
    <s v="UCWVdzKevS3_H77zZgSJoHlA"/>
    <s v="Prowlheart"/>
    <s v="http://www.youtube.com/channel/UCWVdzKevS3_H77zZgSJoHlA"/>
    <m/>
    <s v="vpEAos0blyw"/>
    <s v="https://www.youtube.com/watch?v=vpEAos0blyw"/>
    <s v="none"/>
    <n v="4"/>
    <x v="233"/>
    <d v="2020-07-12T20:03:30.000"/>
    <m/>
    <m/>
    <s v=""/>
    <n v="2"/>
    <s v="4"/>
    <s v="4"/>
    <n v="2"/>
    <n v="33.333333333333336"/>
    <n v="0"/>
    <n v="0"/>
    <n v="0"/>
    <n v="0"/>
    <n v="4"/>
    <n v="66.66666666666667"/>
    <n v="6"/>
  </r>
  <r>
    <s v="UCkq2IuGxraDeCE3kqw3djhw"/>
    <s v="UCTl32ukBGG3FGRX7ZfZwVTw"/>
    <s v="192, 192, 192"/>
    <n v="3"/>
    <m/>
    <n v="40"/>
    <m/>
    <m/>
    <m/>
    <m/>
    <s v="No"/>
    <n v="237"/>
    <m/>
    <m/>
    <s v="Commented Video"/>
    <x v="0"/>
    <s v="Is it just me or does her voice pierce your skull?"/>
    <s v="UCkq2IuGxraDeCE3kqw3djhw"/>
    <s v="Khelo Comrades"/>
    <s v="http://www.youtube.com/channel/UCkq2IuGxraDeCE3kqw3djhw"/>
    <m/>
    <s v="vpEAos0blyw"/>
    <s v="https://www.youtube.com/watch?v=vpEAos0blyw"/>
    <s v="none"/>
    <n v="20"/>
    <x v="234"/>
    <d v="2020-07-14T18:17:20.000"/>
    <m/>
    <m/>
    <s v=""/>
    <n v="1"/>
    <s v="4"/>
    <s v="4"/>
    <n v="0"/>
    <n v="0"/>
    <n v="0"/>
    <n v="0"/>
    <n v="0"/>
    <n v="0"/>
    <n v="11"/>
    <n v="100"/>
    <n v="11"/>
  </r>
  <r>
    <s v="UCGw3Q99dPOmo5iKTfOmjOfA"/>
    <s v="UCTl32ukBGG3FGRX7ZfZwVTw"/>
    <s v="192, 192, 192"/>
    <n v="3"/>
    <m/>
    <n v="40"/>
    <m/>
    <m/>
    <m/>
    <m/>
    <s v="No"/>
    <n v="238"/>
    <m/>
    <m/>
    <s v="Commented Video"/>
    <x v="0"/>
    <s v="anyone else doing method health last minute"/>
    <s v="UCGw3Q99dPOmo5iKTfOmjOfA"/>
    <s v="Ika Vukic"/>
    <s v="http://www.youtube.com/channel/UCGw3Q99dPOmo5iKTfOmjOfA"/>
    <m/>
    <s v="vpEAos0blyw"/>
    <s v="https://www.youtube.com/watch?v=vpEAos0blyw"/>
    <s v="none"/>
    <n v="12"/>
    <x v="235"/>
    <d v="2020-08-14T06:16:15.000"/>
    <m/>
    <m/>
    <s v=""/>
    <n v="1"/>
    <s v="4"/>
    <s v="4"/>
    <n v="0"/>
    <n v="0"/>
    <n v="0"/>
    <n v="0"/>
    <n v="0"/>
    <n v="0"/>
    <n v="7"/>
    <n v="100"/>
    <n v="7"/>
  </r>
  <r>
    <s v="UCsiXQ64RiLu_TWdbckHC5fw"/>
    <s v="UCTl32ukBGG3FGRX7ZfZwVTw"/>
    <s v="192, 192, 192"/>
    <n v="3"/>
    <m/>
    <n v="40"/>
    <m/>
    <m/>
    <m/>
    <m/>
    <s v="No"/>
    <n v="239"/>
    <m/>
    <m/>
    <s v="Commented Video"/>
    <x v="0"/>
    <s v="Oh so we all just here from online classes"/>
    <s v="UCsiXQ64RiLu_TWdbckHC5fw"/>
    <s v="Mxcha"/>
    <s v="http://www.youtube.com/channel/UCsiXQ64RiLu_TWdbckHC5fw"/>
    <m/>
    <s v="vpEAos0blyw"/>
    <s v="https://www.youtube.com/watch?v=vpEAos0blyw"/>
    <s v="none"/>
    <n v="28"/>
    <x v="236"/>
    <d v="2020-10-06T20:01:03.000"/>
    <m/>
    <m/>
    <s v=""/>
    <n v="1"/>
    <s v="4"/>
    <s v="4"/>
    <n v="0"/>
    <n v="0"/>
    <n v="0"/>
    <n v="0"/>
    <n v="0"/>
    <n v="0"/>
    <n v="9"/>
    <n v="100"/>
    <n v="9"/>
  </r>
  <r>
    <s v="UCMVjhNSQ0xPZhsCnClvDkcA"/>
    <s v="UCTl32ukBGG3FGRX7ZfZwVTw"/>
    <s v="192, 192, 192"/>
    <n v="3"/>
    <m/>
    <n v="40"/>
    <m/>
    <m/>
    <m/>
    <m/>
    <s v="No"/>
    <n v="240"/>
    <m/>
    <m/>
    <s v="Commented Video"/>
    <x v="0"/>
    <s v="you forgot a disease it is called COVID19"/>
    <s v="UCMVjhNSQ0xPZhsCnClvDkcA"/>
    <s v="Dragon King the first"/>
    <s v="http://www.youtube.com/channel/UCMVjhNSQ0xPZhsCnClvDkcA"/>
    <m/>
    <s v="vpEAos0blyw"/>
    <s v="https://www.youtube.com/watch?v=vpEAos0blyw"/>
    <s v="none"/>
    <n v="7"/>
    <x v="237"/>
    <d v="2020-10-07T19:45:45.000"/>
    <m/>
    <m/>
    <s v=""/>
    <n v="1"/>
    <s v="4"/>
    <s v="4"/>
    <n v="0"/>
    <n v="0"/>
    <n v="0"/>
    <n v="0"/>
    <n v="0"/>
    <n v="0"/>
    <n v="8"/>
    <n v="100"/>
    <n v="8"/>
  </r>
  <r>
    <s v="UCgRF6tj16DWwM-ZT_4cKXOw"/>
    <s v="UCTl32ukBGG3FGRX7ZfZwVTw"/>
    <s v="192, 192, 192"/>
    <n v="3"/>
    <m/>
    <n v="40"/>
    <m/>
    <m/>
    <m/>
    <m/>
    <s v="No"/>
    <n v="241"/>
    <m/>
    <m/>
    <s v="Commented Video"/>
    <x v="0"/>
    <s v="There is permanent cure for herpes virus medicine I got from Dr oseigba mercy, this man has great herbal supplement to treat hsv. 1&amp;amp;2.... Contact him via email..drharrymercy@&lt;a href=&quot;http://gmail.com/&quot;&gt;gmail.com&lt;/a&gt; or whatsap +2348141659546"/>
    <s v="UCgRF6tj16DWwM-ZT_4cKXOw"/>
    <s v="Come Another day"/>
    <s v="http://www.youtube.com/channel/UCgRF6tj16DWwM-ZT_4cKXOw"/>
    <m/>
    <s v="vpEAos0blyw"/>
    <s v="https://www.youtube.com/watch?v=vpEAos0blyw"/>
    <s v="none"/>
    <n v="0"/>
    <x v="238"/>
    <d v="2020-10-08T00:05:32.000"/>
    <s v=" http://gmail.com/"/>
    <s v="gmail.com"/>
    <s v=""/>
    <n v="1"/>
    <s v="4"/>
    <s v="4"/>
    <n v="3"/>
    <n v="7.142857142857143"/>
    <n v="1"/>
    <n v="2.380952380952381"/>
    <n v="0"/>
    <n v="0"/>
    <n v="38"/>
    <n v="90.47619047619048"/>
    <n v="42"/>
  </r>
  <r>
    <s v="UCfpDVjI-jTfsho8N61m84gw"/>
    <s v="UCTl32ukBGG3FGRX7ZfZwVTw"/>
    <s v="192, 192, 192"/>
    <n v="3"/>
    <m/>
    <n v="40"/>
    <m/>
    <m/>
    <m/>
    <m/>
    <s v="No"/>
    <n v="242"/>
    <m/>
    <m/>
    <s v="Commented Video"/>
    <x v="0"/>
    <s v="cool"/>
    <s v="UCfpDVjI-jTfsho8N61m84gw"/>
    <s v="LilGp08"/>
    <s v="http://www.youtube.com/channel/UCfpDVjI-jTfsho8N61m84gw"/>
    <m/>
    <s v="vpEAos0blyw"/>
    <s v="https://www.youtube.com/watch?v=vpEAos0blyw"/>
    <s v="none"/>
    <n v="1"/>
    <x v="239"/>
    <d v="2020-10-08T00:21:56.000"/>
    <m/>
    <m/>
    <s v=""/>
    <n v="1"/>
    <s v="4"/>
    <s v="4"/>
    <n v="1"/>
    <n v="100"/>
    <n v="0"/>
    <n v="0"/>
    <n v="0"/>
    <n v="0"/>
    <n v="0"/>
    <n v="0"/>
    <n v="1"/>
  </r>
  <r>
    <s v="UCkly-VZIpn72lNjXcuCWW9w"/>
    <s v="UCTl32ukBGG3FGRX7ZfZwVTw"/>
    <s v="192, 192, 192"/>
    <n v="3"/>
    <m/>
    <n v="40"/>
    <m/>
    <m/>
    <m/>
    <m/>
    <s v="No"/>
    <n v="243"/>
    <m/>
    <m/>
    <s v="Commented Video"/>
    <x v="0"/>
    <s v="😈"/>
    <s v="UCkly-VZIpn72lNjXcuCWW9w"/>
    <s v="slimeluv"/>
    <s v="http://www.youtube.com/channel/UCkly-VZIpn72lNjXcuCWW9w"/>
    <m/>
    <s v="vpEAos0blyw"/>
    <s v="https://www.youtube.com/watch?v=vpEAos0blyw"/>
    <s v="none"/>
    <n v="0"/>
    <x v="240"/>
    <d v="2020-10-28T12:44:26.000"/>
    <m/>
    <m/>
    <s v=""/>
    <n v="1"/>
    <s v="4"/>
    <s v="4"/>
    <n v="0"/>
    <n v="0"/>
    <n v="0"/>
    <n v="0"/>
    <n v="0"/>
    <n v="0"/>
    <n v="0"/>
    <n v="0"/>
    <n v="0"/>
  </r>
  <r>
    <s v="UCSRWGg0boBMbHebODEMU54Q"/>
    <s v="UCTl32ukBGG3FGRX7ZfZwVTw"/>
    <s v="192, 192, 192"/>
    <n v="3"/>
    <m/>
    <n v="40"/>
    <m/>
    <m/>
    <m/>
    <m/>
    <s v="No"/>
    <n v="244"/>
    <m/>
    <m/>
    <s v="Commented Video"/>
    <x v="0"/>
    <s v="&lt;a href=&quot;https://www.youtube.com/watch?v=vpEAos0blyw&amp;amp;t=5m18s&quot;&gt;5:18&lt;/a&gt; yo why she gotta say it like &amp;quot;fun-jie&amp;quot;"/>
    <s v="UCSRWGg0boBMbHebODEMU54Q"/>
    <s v="Ivy Hammett-Aron"/>
    <s v="http://www.youtube.com/channel/UCSRWGg0boBMbHebODEMU54Q"/>
    <m/>
    <s v="vpEAos0blyw"/>
    <s v="https://www.youtube.com/watch?v=vpEAos0blyw"/>
    <s v="none"/>
    <n v="4"/>
    <x v="241"/>
    <d v="2020-11-04T18:40:49.000"/>
    <s v=" https://www.youtube.com/watch?v=vpEAos0blyw&amp;amp;t=5m18s"/>
    <s v="youtube.com"/>
    <s v=""/>
    <n v="1"/>
    <s v="4"/>
    <s v="4"/>
    <n v="2"/>
    <n v="7.6923076923076925"/>
    <n v="0"/>
    <n v="0"/>
    <n v="0"/>
    <n v="0"/>
    <n v="24"/>
    <n v="92.3076923076923"/>
    <n v="26"/>
  </r>
  <r>
    <s v="UCNMtMMfBNi2ltGUrzpCSg9w"/>
    <s v="UCTl32ukBGG3FGRX7ZfZwVTw"/>
    <s v="192, 192, 192"/>
    <n v="3"/>
    <m/>
    <n v="40"/>
    <m/>
    <m/>
    <m/>
    <m/>
    <s v="No"/>
    <n v="245"/>
    <m/>
    <m/>
    <s v="Commented Video"/>
    <x v="0"/>
    <s v="Health class?"/>
    <s v="UCNMtMMfBNi2ltGUrzpCSg9w"/>
    <s v="Kritcz onbyu"/>
    <s v="http://www.youtube.com/channel/UCNMtMMfBNi2ltGUrzpCSg9w"/>
    <m/>
    <s v="vpEAos0blyw"/>
    <s v="https://www.youtube.com/watch?v=vpEAos0blyw"/>
    <s v="none"/>
    <n v="1"/>
    <x v="242"/>
    <d v="2020-11-13T19:25:05.000"/>
    <m/>
    <m/>
    <s v=""/>
    <n v="1"/>
    <s v="4"/>
    <s v="4"/>
    <n v="0"/>
    <n v="0"/>
    <n v="0"/>
    <n v="0"/>
    <n v="0"/>
    <n v="0"/>
    <n v="2"/>
    <n v="100"/>
    <n v="2"/>
  </r>
  <r>
    <s v="UCeqN6aYZ3_2yOtxMYSAIR5A"/>
    <s v="UCTl32ukBGG3FGRX7ZfZwVTw"/>
    <s v="192, 192, 192"/>
    <n v="3"/>
    <m/>
    <n v="40"/>
    <m/>
    <m/>
    <m/>
    <m/>
    <s v="No"/>
    <n v="246"/>
    <m/>
    <m/>
    <s v="Commented Video"/>
    <x v="0"/>
    <s v="I just read the comments because I want help to take notes then I realised that everyone needs help here"/>
    <s v="UCeqN6aYZ3_2yOtxMYSAIR5A"/>
    <s v="Felwah"/>
    <s v="http://www.youtube.com/channel/UCeqN6aYZ3_2yOtxMYSAIR5A"/>
    <m/>
    <s v="vpEAos0blyw"/>
    <s v="https://www.youtube.com/watch?v=vpEAos0blyw"/>
    <s v="none"/>
    <n v="3"/>
    <x v="243"/>
    <d v="2020-11-19T13:18:33.000"/>
    <m/>
    <m/>
    <s v=""/>
    <n v="1"/>
    <s v="4"/>
    <s v="4"/>
    <n v="0"/>
    <n v="0"/>
    <n v="0"/>
    <n v="0"/>
    <n v="0"/>
    <n v="0"/>
    <n v="20"/>
    <n v="100"/>
    <n v="20"/>
  </r>
  <r>
    <s v="UCq4Xqp4npGleWuOEfWLOsLw"/>
    <s v="UCTl32ukBGG3FGRX7ZfZwVTw"/>
    <s v="Red"/>
    <n v="10"/>
    <m/>
    <n v="15"/>
    <m/>
    <m/>
    <m/>
    <m/>
    <s v="No"/>
    <n v="247"/>
    <m/>
    <m/>
    <s v="Commented Video"/>
    <x v="0"/>
    <s v="&lt;a href=&quot;https://www.youtube.com/watch?v=vpEAos0blyw&amp;amp;t=5m24s&quot;&gt;5:24&lt;/a&gt; it is fungi not fun+jie"/>
    <s v="UCq4Xqp4npGleWuOEfWLOsLw"/>
    <s v="Firdaus"/>
    <s v="http://www.youtube.com/channel/UCq4Xqp4npGleWuOEfWLOsLw"/>
    <m/>
    <s v="vpEAos0blyw"/>
    <s v="https://www.youtube.com/watch?v=vpEAos0blyw"/>
    <s v="none"/>
    <n v="0"/>
    <x v="244"/>
    <d v="2021-01-05T05:33:33.000"/>
    <s v=" https://www.youtube.com/watch?v=vpEAos0blyw&amp;amp;t=5m24s"/>
    <s v="youtube.com"/>
    <s v=""/>
    <n v="2"/>
    <s v="4"/>
    <s v="4"/>
    <n v="1"/>
    <n v="4.761904761904762"/>
    <n v="0"/>
    <n v="0"/>
    <n v="0"/>
    <n v="0"/>
    <n v="20"/>
    <n v="95.23809523809524"/>
    <n v="21"/>
  </r>
  <r>
    <s v="UCq4Xqp4npGleWuOEfWLOsLw"/>
    <s v="UCTl32ukBGG3FGRX7ZfZwVTw"/>
    <s v="Red"/>
    <n v="10"/>
    <m/>
    <n v="15"/>
    <m/>
    <m/>
    <m/>
    <m/>
    <s v="No"/>
    <n v="248"/>
    <m/>
    <m/>
    <s v="Commented Video"/>
    <x v="0"/>
    <s v="Not happy"/>
    <s v="UCq4Xqp4npGleWuOEfWLOsLw"/>
    <s v="Firdaus"/>
    <s v="http://www.youtube.com/channel/UCq4Xqp4npGleWuOEfWLOsLw"/>
    <m/>
    <s v="vpEAos0blyw"/>
    <s v="https://www.youtube.com/watch?v=vpEAos0blyw"/>
    <s v="none"/>
    <n v="0"/>
    <x v="245"/>
    <d v="2021-01-05T05:33:50.000"/>
    <m/>
    <m/>
    <s v=""/>
    <n v="2"/>
    <s v="4"/>
    <s v="4"/>
    <n v="1"/>
    <n v="50"/>
    <n v="0"/>
    <n v="0"/>
    <n v="0"/>
    <n v="0"/>
    <n v="1"/>
    <n v="50"/>
    <n v="2"/>
  </r>
  <r>
    <s v="UCbpHmbOD5MTu7DzhZXZdzPg"/>
    <s v="UCTl32ukBGG3FGRX7ZfZwVTw"/>
    <s v="192, 192, 192"/>
    <n v="3"/>
    <m/>
    <n v="40"/>
    <m/>
    <m/>
    <m/>
    <m/>
    <s v="No"/>
    <n v="249"/>
    <m/>
    <m/>
    <s v="Commented Video"/>
    <x v="0"/>
    <s v="Covid xD"/>
    <s v="UCbpHmbOD5MTu7DzhZXZdzPg"/>
    <s v="BluePqtriot228"/>
    <s v="http://www.youtube.com/channel/UCbpHmbOD5MTu7DzhZXZdzPg"/>
    <m/>
    <s v="vpEAos0blyw"/>
    <s v="https://www.youtube.com/watch?v=vpEAos0blyw"/>
    <s v="none"/>
    <n v="0"/>
    <x v="246"/>
    <d v="2021-01-12T15:20:47.000"/>
    <m/>
    <m/>
    <s v=""/>
    <n v="1"/>
    <s v="4"/>
    <s v="4"/>
    <n v="0"/>
    <n v="0"/>
    <n v="0"/>
    <n v="0"/>
    <n v="0"/>
    <n v="0"/>
    <n v="2"/>
    <n v="100"/>
    <n v="2"/>
  </r>
  <r>
    <s v="UC3Qsj1mJvYnpN9eT3sN1buw"/>
    <s v="UCTl32ukBGG3FGRX7ZfZwVTw"/>
    <s v="192, 192, 192"/>
    <n v="3"/>
    <m/>
    <n v="40"/>
    <m/>
    <m/>
    <m/>
    <m/>
    <s v="No"/>
    <n v="250"/>
    <m/>
    <m/>
    <s v="Commented Video"/>
    <x v="0"/>
    <s v="im in the comments because i do not want visuals"/>
    <s v="UC3Qsj1mJvYnpN9eT3sN1buw"/>
    <s v="letterztou"/>
    <s v="http://www.youtube.com/channel/UC3Qsj1mJvYnpN9eT3sN1buw"/>
    <m/>
    <s v="vpEAos0blyw"/>
    <s v="https://www.youtube.com/watch?v=vpEAos0blyw"/>
    <s v="none"/>
    <n v="1"/>
    <x v="247"/>
    <d v="2021-01-13T15:05:44.000"/>
    <m/>
    <m/>
    <s v=""/>
    <n v="1"/>
    <s v="4"/>
    <s v="4"/>
    <n v="0"/>
    <n v="0"/>
    <n v="0"/>
    <n v="0"/>
    <n v="0"/>
    <n v="0"/>
    <n v="10"/>
    <n v="100"/>
    <n v="10"/>
  </r>
  <r>
    <s v="UCGo0zwvmGTyrPhIfxqzfV6A"/>
    <s v="UClVpvZXsBpevMFsvyo126Sg"/>
    <s v="192, 192, 192"/>
    <n v="3"/>
    <m/>
    <n v="40"/>
    <m/>
    <m/>
    <m/>
    <m/>
    <s v="No"/>
    <n v="251"/>
    <m/>
    <m/>
    <s v="Replied Comment"/>
    <x v="1"/>
    <s v="SAAAME"/>
    <s v="UCGo0zwvmGTyrPhIfxqzfV6A"/>
    <s v="Clementine_"/>
    <s v="http://www.youtube.com/channel/UCGo0zwvmGTyrPhIfxqzfV6A"/>
    <s v="Ugy90SJQG1LSBoAy4_14AaABAg"/>
    <s v="vpEAos0blyw"/>
    <s v="https://www.youtube.com/watch?v=vpEAos0blyw"/>
    <s v="none"/>
    <n v="0"/>
    <x v="248"/>
    <d v="2021-03-08T19:36:32.000"/>
    <m/>
    <m/>
    <s v=""/>
    <n v="1"/>
    <s v="4"/>
    <s v="4"/>
    <n v="0"/>
    <n v="0"/>
    <n v="0"/>
    <n v="0"/>
    <n v="0"/>
    <n v="0"/>
    <n v="1"/>
    <n v="100"/>
    <n v="1"/>
  </r>
  <r>
    <s v="UClVpvZXsBpevMFsvyo126Sg"/>
    <s v="UCTl32ukBGG3FGRX7ZfZwVTw"/>
    <s v="192, 192, 192"/>
    <n v="3"/>
    <m/>
    <n v="40"/>
    <m/>
    <m/>
    <m/>
    <m/>
    <s v="No"/>
    <n v="252"/>
    <m/>
    <m/>
    <s v="Commented Video"/>
    <x v="0"/>
    <s v="my health teacher sent me here."/>
    <s v="UClVpvZXsBpevMFsvyo126Sg"/>
    <s v="spellbooksss"/>
    <s v="http://www.youtube.com/channel/UClVpvZXsBpevMFsvyo126Sg"/>
    <m/>
    <s v="vpEAos0blyw"/>
    <s v="https://www.youtube.com/watch?v=vpEAos0blyw"/>
    <s v="none"/>
    <n v="3"/>
    <x v="249"/>
    <d v="2021-01-19T22:32:50.000"/>
    <m/>
    <m/>
    <s v=""/>
    <n v="1"/>
    <s v="4"/>
    <s v="4"/>
    <n v="0"/>
    <n v="0"/>
    <n v="0"/>
    <n v="0"/>
    <n v="0"/>
    <n v="0"/>
    <n v="6"/>
    <n v="100"/>
    <n v="6"/>
  </r>
  <r>
    <s v="UCNtS0FKXhokuCLCIRHUhpuQ"/>
    <s v="UCTl32ukBGG3FGRX7ZfZwVTw"/>
    <s v="192, 192, 192"/>
    <n v="3"/>
    <m/>
    <n v="40"/>
    <m/>
    <m/>
    <m/>
    <m/>
    <s v="No"/>
    <n v="253"/>
    <m/>
    <m/>
    <s v="Commented Video"/>
    <x v="0"/>
    <s v="Weiner"/>
    <s v="UCNtS0FKXhokuCLCIRHUhpuQ"/>
    <s v="Cole Newell"/>
    <s v="http://www.youtube.com/channel/UCNtS0FKXhokuCLCIRHUhpuQ"/>
    <m/>
    <s v="vpEAos0blyw"/>
    <s v="https://www.youtube.com/watch?v=vpEAos0blyw"/>
    <s v="none"/>
    <n v="1"/>
    <x v="250"/>
    <d v="2021-01-25T21:17:53.000"/>
    <m/>
    <m/>
    <s v=""/>
    <n v="1"/>
    <s v="4"/>
    <s v="4"/>
    <n v="0"/>
    <n v="0"/>
    <n v="0"/>
    <n v="0"/>
    <n v="0"/>
    <n v="0"/>
    <n v="1"/>
    <n v="100"/>
    <n v="1"/>
  </r>
  <r>
    <s v="UCKV1NkUh1xjX8Nm3j5nP-rQ"/>
    <s v="UCTl32ukBGG3FGRX7ZfZwVTw"/>
    <s v="192, 192, 192"/>
    <n v="3"/>
    <m/>
    <n v="40"/>
    <m/>
    <m/>
    <m/>
    <m/>
    <s v="No"/>
    <n v="254"/>
    <m/>
    <m/>
    <s v="Commented Video"/>
    <x v="0"/>
    <s v="&lt;a href=&quot;https://youtu.be/ar2UyGn27RU&quot;&gt;https://youtu.be/ar2UyGn27RU&lt;/a&gt;"/>
    <s v="UCKV1NkUh1xjX8Nm3j5nP-rQ"/>
    <s v="melody is happy"/>
    <s v="http://www.youtube.com/channel/UCKV1NkUh1xjX8Nm3j5nP-rQ"/>
    <m/>
    <s v="vpEAos0blyw"/>
    <s v="https://www.youtube.com/watch?v=vpEAos0blyw"/>
    <s v="none"/>
    <n v="0"/>
    <x v="251"/>
    <d v="2021-02-01T15:49:35.000"/>
    <s v=" https://youtu.be/ar2UyGn27RU https://youtu.be/ar2UyGn27RU"/>
    <s v="youtu.be youtu.be"/>
    <s v=""/>
    <n v="1"/>
    <s v="4"/>
    <s v="4"/>
    <n v="0"/>
    <n v="0"/>
    <n v="0"/>
    <n v="0"/>
    <n v="0"/>
    <n v="0"/>
    <n v="11"/>
    <n v="100"/>
    <n v="11"/>
  </r>
  <r>
    <s v="UC3OdxrcUKm7hxEjt_05vNAg"/>
    <s v="UCYPdADqT4AVkx1fZS9sIbpQ"/>
    <s v="192, 192, 192"/>
    <n v="3"/>
    <m/>
    <n v="40"/>
    <m/>
    <m/>
    <m/>
    <m/>
    <s v="No"/>
    <n v="255"/>
    <m/>
    <m/>
    <s v="Replied Comment"/>
    <x v="1"/>
    <s v="wow you actually did it  -Charles"/>
    <s v="UC3OdxrcUKm7hxEjt_05vNAg"/>
    <s v="xero"/>
    <s v="http://www.youtube.com/channel/UC3OdxrcUKm7hxEjt_05vNAg"/>
    <s v="UgwVot7mp0Bnq6Jyd-B4AaABAg"/>
    <s v="vpEAos0blyw"/>
    <s v="https://www.youtube.com/watch?v=vpEAos0blyw"/>
    <s v="none"/>
    <n v="1"/>
    <x v="252"/>
    <d v="2021-02-10T15:08:48.000"/>
    <m/>
    <m/>
    <s v=""/>
    <n v="1"/>
    <s v="4"/>
    <s v="4"/>
    <n v="1"/>
    <n v="16.666666666666668"/>
    <n v="0"/>
    <n v="0"/>
    <n v="0"/>
    <n v="0"/>
    <n v="5"/>
    <n v="83.33333333333333"/>
    <n v="6"/>
  </r>
  <r>
    <s v="UCYPdADqT4AVkx1fZS9sIbpQ"/>
    <s v="UCTl32ukBGG3FGRX7ZfZwVTw"/>
    <s v="192, 192, 192"/>
    <n v="3"/>
    <m/>
    <n v="40"/>
    <m/>
    <m/>
    <m/>
    <m/>
    <s v="No"/>
    <n v="256"/>
    <m/>
    <m/>
    <s v="Commented Video"/>
    <x v="0"/>
    <s v="hello, Mr. Workmans class, I know you are here."/>
    <s v="UCYPdADqT4AVkx1fZS9sIbpQ"/>
    <s v="milooo"/>
    <s v="http://www.youtube.com/channel/UCYPdADqT4AVkx1fZS9sIbpQ"/>
    <m/>
    <s v="vpEAos0blyw"/>
    <s v="https://www.youtube.com/watch?v=vpEAos0blyw"/>
    <s v="none"/>
    <n v="3"/>
    <x v="253"/>
    <d v="2021-02-10T15:05:51.000"/>
    <m/>
    <m/>
    <s v=""/>
    <n v="1"/>
    <s v="4"/>
    <s v="4"/>
    <n v="0"/>
    <n v="0"/>
    <n v="0"/>
    <n v="0"/>
    <n v="0"/>
    <n v="0"/>
    <n v="9"/>
    <n v="100"/>
    <n v="9"/>
  </r>
  <r>
    <s v="UCGo0zwvmGTyrPhIfxqzfV6A"/>
    <s v="UCTl32ukBGG3FGRX7ZfZwVTw"/>
    <s v="192, 192, 192"/>
    <n v="3"/>
    <m/>
    <n v="40"/>
    <m/>
    <m/>
    <m/>
    <m/>
    <s v="No"/>
    <n v="257"/>
    <m/>
    <m/>
    <s v="Commented Video"/>
    <x v="0"/>
    <s v="&amp;quot;Pandemic&amp;quot;&lt;br&gt;&lt;b&gt;Me living in 2020 and 2021&lt;/b&gt; : Don&amp;#39;t remind me-"/>
    <s v="UCGo0zwvmGTyrPhIfxqzfV6A"/>
    <s v="Clementine_"/>
    <s v="http://www.youtube.com/channel/UCGo0zwvmGTyrPhIfxqzfV6A"/>
    <m/>
    <s v="vpEAos0blyw"/>
    <s v="https://www.youtube.com/watch?v=vpEAos0blyw"/>
    <s v="none"/>
    <n v="4"/>
    <x v="254"/>
    <d v="2021-03-08T19:50:23.000"/>
    <m/>
    <m/>
    <s v=""/>
    <n v="1"/>
    <s v="4"/>
    <s v="4"/>
    <n v="0"/>
    <n v="0"/>
    <n v="0"/>
    <n v="0"/>
    <n v="0"/>
    <n v="0"/>
    <n v="17"/>
    <n v="100"/>
    <n v="17"/>
  </r>
  <r>
    <s v="UC_gk4RP_wHVZdqkFrZ8SMZQ"/>
    <s v="UCTl32ukBGG3FGRX7ZfZwVTw"/>
    <s v="192, 192, 192"/>
    <n v="3"/>
    <m/>
    <n v="40"/>
    <m/>
    <m/>
    <m/>
    <m/>
    <s v="No"/>
    <n v="258"/>
    <m/>
    <m/>
    <s v="Commented Video"/>
    <x v="0"/>
    <s v="Bro this is confusing ndndkdnndbsns you explained it well though"/>
    <s v="UC_gk4RP_wHVZdqkFrZ8SMZQ"/>
    <s v="Me_ Smileh"/>
    <s v="http://www.youtube.com/channel/UC_gk4RP_wHVZdqkFrZ8SMZQ"/>
    <m/>
    <s v="vpEAos0blyw"/>
    <s v="https://www.youtube.com/watch?v=vpEAos0blyw"/>
    <s v="none"/>
    <n v="0"/>
    <x v="255"/>
    <d v="2021-03-19T03:42:40.000"/>
    <m/>
    <m/>
    <s v=""/>
    <n v="1"/>
    <s v="4"/>
    <s v="4"/>
    <n v="1"/>
    <n v="10"/>
    <n v="1"/>
    <n v="10"/>
    <n v="0"/>
    <n v="0"/>
    <n v="8"/>
    <n v="80"/>
    <n v="10"/>
  </r>
  <r>
    <s v="UCL83fivuM6bm_DNu_caNzcA"/>
    <s v="UCTl32ukBGG3FGRX7ZfZwVTw"/>
    <s v="192, 192, 192"/>
    <n v="3"/>
    <m/>
    <n v="40"/>
    <m/>
    <m/>
    <m/>
    <m/>
    <s v="No"/>
    <n v="259"/>
    <m/>
    <m/>
    <s v="Commented Video"/>
    <x v="0"/>
    <s v="I’m here cos of online classes"/>
    <s v="UCL83fivuM6bm_DNu_caNzcA"/>
    <s v="Andreberth Mendes"/>
    <s v="http://www.youtube.com/channel/UCL83fivuM6bm_DNu_caNzcA"/>
    <m/>
    <s v="vpEAos0blyw"/>
    <s v="https://www.youtube.com/watch?v=vpEAos0blyw"/>
    <s v="none"/>
    <n v="2"/>
    <x v="256"/>
    <d v="2021-03-22T14:08:30.000"/>
    <m/>
    <m/>
    <s v=""/>
    <n v="1"/>
    <s v="4"/>
    <s v="4"/>
    <n v="0"/>
    <n v="0"/>
    <n v="0"/>
    <n v="0"/>
    <n v="0"/>
    <n v="0"/>
    <n v="7"/>
    <n v="100"/>
    <n v="7"/>
  </r>
  <r>
    <s v="UCs6LqhJ9r0BHGS04Bv85x-Q"/>
    <s v="UCTl32ukBGG3FGRX7ZfZwVTw"/>
    <s v="192, 192, 192"/>
    <n v="3"/>
    <m/>
    <n v="40"/>
    <m/>
    <m/>
    <m/>
    <m/>
    <s v="No"/>
    <n v="260"/>
    <m/>
    <m/>
    <s v="Commented Video"/>
    <x v="0"/>
    <s v="i&amp;#39;m only here because of online classes"/>
    <s v="UCs6LqhJ9r0BHGS04Bv85x-Q"/>
    <s v="1tsmqddy"/>
    <s v="http://www.youtube.com/channel/UCs6LqhJ9r0BHGS04Bv85x-Q"/>
    <m/>
    <s v="vpEAos0blyw"/>
    <s v="https://www.youtube.com/watch?v=vpEAos0blyw"/>
    <s v="none"/>
    <n v="3"/>
    <x v="257"/>
    <d v="2021-03-24T13:59:04.000"/>
    <m/>
    <m/>
    <s v=""/>
    <n v="1"/>
    <s v="4"/>
    <s v="4"/>
    <n v="0"/>
    <n v="0"/>
    <n v="0"/>
    <n v="0"/>
    <n v="0"/>
    <n v="0"/>
    <n v="9"/>
    <n v="100"/>
    <n v="9"/>
  </r>
  <r>
    <s v="UCLNTQyP2KodLEA0QHEDSWnA"/>
    <s v="UCTl32ukBGG3FGRX7ZfZwVTw"/>
    <s v="192, 192, 192"/>
    <n v="3"/>
    <m/>
    <n v="40"/>
    <m/>
    <m/>
    <m/>
    <m/>
    <s v="No"/>
    <n v="261"/>
    <m/>
    <m/>
    <s v="Commented Video"/>
    <x v="0"/>
    <s v="So I guess we are all here because of online school."/>
    <s v="UCLNTQyP2KodLEA0QHEDSWnA"/>
    <s v="Priscilla Ghartey"/>
    <s v="http://www.youtube.com/channel/UCLNTQyP2KodLEA0QHEDSWnA"/>
    <m/>
    <s v="vpEAos0blyw"/>
    <s v="https://www.youtube.com/watch?v=vpEAos0blyw"/>
    <s v="none"/>
    <n v="0"/>
    <x v="258"/>
    <d v="2021-05-12T01:16:37.000"/>
    <m/>
    <m/>
    <s v=""/>
    <n v="1"/>
    <s v="4"/>
    <s v="4"/>
    <n v="0"/>
    <n v="0"/>
    <n v="0"/>
    <n v="0"/>
    <n v="0"/>
    <n v="0"/>
    <n v="11"/>
    <n v="100"/>
    <n v="11"/>
  </r>
  <r>
    <s v="UCaiwUmql4DEAqsN-FWUgoLQ"/>
    <s v="UCTl32ukBGG3FGRX7ZfZwVTw"/>
    <s v="192, 192, 192"/>
    <n v="3"/>
    <m/>
    <n v="40"/>
    <m/>
    <m/>
    <m/>
    <m/>
    <s v="No"/>
    <n v="262"/>
    <m/>
    <m/>
    <s v="Commented Video"/>
    <x v="0"/>
    <s v="&lt;a href=&quot;https://www.youtube.com/watch?v=vpEAos0blyw&amp;amp;t=0m16s&quot;&gt;0:16&lt;/a&gt; what is that mans face"/>
    <s v="UCaiwUmql4DEAqsN-FWUgoLQ"/>
    <s v="MattsAttack"/>
    <s v="http://www.youtube.com/channel/UCaiwUmql4DEAqsN-FWUgoLQ"/>
    <m/>
    <s v="vpEAos0blyw"/>
    <s v="https://www.youtube.com/watch?v=vpEAos0blyw"/>
    <s v="none"/>
    <n v="0"/>
    <x v="259"/>
    <d v="2021-06-14T21:58:38.000"/>
    <s v=" https://www.youtube.com/watch?v=vpEAos0blyw&amp;amp;t=0m16s"/>
    <s v="youtube.com"/>
    <s v=""/>
    <n v="1"/>
    <s v="4"/>
    <s v="4"/>
    <n v="0"/>
    <n v="0"/>
    <n v="0"/>
    <n v="0"/>
    <n v="0"/>
    <n v="0"/>
    <n v="20"/>
    <n v="100"/>
    <n v="20"/>
  </r>
  <r>
    <s v="UCmkfwnFpXrrsHSxXmdgmCLg"/>
    <s v="UC07-dOwgza1IguKA86jqxNA"/>
    <s v="192, 192, 192"/>
    <n v="3"/>
    <m/>
    <n v="40"/>
    <m/>
    <m/>
    <m/>
    <m/>
    <s v="No"/>
    <n v="263"/>
    <m/>
    <m/>
    <s v="Commented Video"/>
    <x v="0"/>
    <s v="Herbal Medication is the Best solution to most health Issues , especially _x000d_&lt;br&gt;viral sickness ,, I know of a great Professional herbal Doctor who cured me _x000d_&lt;br&gt;from these same sickness ,, he specialised in Herbal medicines for any kind _x000d_&lt;br&gt;of Viruses And Disease&amp;#39;s . Why not give natural medicine a try today. by _x000d_&lt;br&gt;Contacting DR  ALAKA ON YOUTUBE."/>
    <s v="UCmkfwnFpXrrsHSxXmdgmCLg"/>
    <s v="Dr Alaka"/>
    <s v="http://www.youtube.com/channel/UCmkfwnFpXrrsHSxXmdgmCLg"/>
    <m/>
    <s v="mNWdLV2Cv0U"/>
    <s v="https://www.youtube.com/watch?v=mNWdLV2Cv0U"/>
    <s v="none"/>
    <n v="0"/>
    <x v="260"/>
    <d v="2021-05-16T01:43:37.000"/>
    <m/>
    <m/>
    <s v=""/>
    <n v="1"/>
    <s v="5"/>
    <s v="5"/>
    <n v="2"/>
    <n v="3.3333333333333335"/>
    <n v="3"/>
    <n v="5"/>
    <n v="0"/>
    <n v="0"/>
    <n v="55"/>
    <n v="91.66666666666667"/>
    <n v="60"/>
  </r>
  <r>
    <s v="UCfqvjDtJ56SzG8sWiIG4Txw"/>
    <s v="UC07-dOwgza1IguKA86jqxNA"/>
    <s v="192, 192, 192"/>
    <n v="3"/>
    <m/>
    <n v="40"/>
    <m/>
    <m/>
    <m/>
    <m/>
    <s v="No"/>
    <n v="264"/>
    <m/>
    <m/>
    <s v="Commented Video"/>
    <x v="0"/>
    <s v="I just Wana express my gratitude to Doctor Salami on his  contact him on Instagram salami_healing_herbs check that up on Instagram. for curing my Heart disease. All thanks to Dr.Salami."/>
    <s v="UCfqvjDtJ56SzG8sWiIG4Txw"/>
    <s v="Vivian Thomas"/>
    <s v="http://www.youtube.com/channel/UCfqvjDtJ56SzG8sWiIG4Txw"/>
    <m/>
    <s v="mNWdLV2Cv0U"/>
    <s v="https://www.youtube.com/watch?v=mNWdLV2Cv0U"/>
    <s v="none"/>
    <n v="0"/>
    <x v="261"/>
    <d v="2021-05-20T15:17:17.000"/>
    <m/>
    <m/>
    <s v=""/>
    <n v="1"/>
    <s v="5"/>
    <s v="5"/>
    <n v="1"/>
    <n v="3.225806451612903"/>
    <n v="0"/>
    <n v="0"/>
    <n v="0"/>
    <n v="0"/>
    <n v="30"/>
    <n v="96.7741935483871"/>
    <n v="31"/>
  </r>
  <r>
    <s v="UCq1q117t2Vk1Unor5hn5X7A"/>
    <s v="UC07-dOwgza1IguKA86jqxNA"/>
    <s v="192, 192, 192"/>
    <n v="3"/>
    <m/>
    <n v="40"/>
    <m/>
    <m/>
    <m/>
    <m/>
    <s v="No"/>
    <n v="265"/>
    <m/>
    <m/>
    <s v="Commented Video"/>
    <x v="0"/>
    <s v="The elites are releasing man made diseases  on the people of the Solomon islands facts smdh!"/>
    <s v="UCq1q117t2Vk1Unor5hn5X7A"/>
    <s v="Talmar Patterson"/>
    <s v="http://www.youtube.com/channel/UCq1q117t2Vk1Unor5hn5X7A"/>
    <m/>
    <s v="qr6waNqVjrw"/>
    <s v="https://www.youtube.com/watch?v=qr6waNqVjrw"/>
    <s v="none"/>
    <n v="1"/>
    <x v="262"/>
    <d v="2021-05-11T18:03:06.000"/>
    <m/>
    <m/>
    <s v=""/>
    <n v="1"/>
    <s v="5"/>
    <s v="5"/>
    <n v="0"/>
    <n v="0"/>
    <n v="0"/>
    <n v="0"/>
    <n v="0"/>
    <n v="0"/>
    <n v="16"/>
    <n v="100"/>
    <n v="16"/>
  </r>
  <r>
    <s v="UClqII0Yg_DO1VekNPD9hY6w"/>
    <s v="UC07-dOwgza1IguKA86jqxNA"/>
    <s v="192, 192, 192"/>
    <n v="3"/>
    <m/>
    <n v="40"/>
    <m/>
    <m/>
    <m/>
    <m/>
    <s v="No"/>
    <n v="266"/>
    <m/>
    <m/>
    <s v="Commented Video"/>
    <x v="0"/>
    <s v="Hope all people around the world healthy and get a heatlhcare"/>
    <s v="UClqII0Yg_DO1VekNPD9hY6w"/>
    <s v="Riky Candra"/>
    <s v="http://www.youtube.com/channel/UClqII0Yg_DO1VekNPD9hY6w"/>
    <m/>
    <s v="qr6waNqVjrw"/>
    <s v="https://www.youtube.com/watch?v=qr6waNqVjrw"/>
    <s v="none"/>
    <n v="1"/>
    <x v="263"/>
    <d v="2021-05-11T18:06:58.000"/>
    <m/>
    <m/>
    <s v=""/>
    <n v="1"/>
    <s v="5"/>
    <s v="5"/>
    <n v="1"/>
    <n v="9.090909090909092"/>
    <n v="0"/>
    <n v="0"/>
    <n v="0"/>
    <n v="0"/>
    <n v="10"/>
    <n v="90.9090909090909"/>
    <n v="11"/>
  </r>
  <r>
    <s v="UCMsjtkQjBJQTAHgen-aDNBA"/>
    <s v="UC07-dOwgza1IguKA86jqxNA"/>
    <s v="192, 192, 192"/>
    <n v="3"/>
    <m/>
    <n v="40"/>
    <m/>
    <m/>
    <m/>
    <m/>
    <s v="No"/>
    <n v="267"/>
    <m/>
    <m/>
    <s v="Commented Video"/>
    <x v="0"/>
    <s v="No World health organization &lt;br&gt;Yes China Health Organization"/>
    <s v="UCMsjtkQjBJQTAHgen-aDNBA"/>
    <s v="쇼통령문재인"/>
    <s v="http://www.youtube.com/channel/UCMsjtkQjBJQTAHgen-aDNBA"/>
    <m/>
    <s v="qr6waNqVjrw"/>
    <s v="https://www.youtube.com/watch?v=qr6waNqVjrw"/>
    <s v="none"/>
    <n v="2"/>
    <x v="264"/>
    <d v="2021-05-12T02:43:10.000"/>
    <m/>
    <m/>
    <s v=""/>
    <n v="1"/>
    <s v="5"/>
    <s v="5"/>
    <n v="0"/>
    <n v="0"/>
    <n v="0"/>
    <n v="0"/>
    <n v="0"/>
    <n v="0"/>
    <n v="9"/>
    <n v="100"/>
    <n v="9"/>
  </r>
  <r>
    <s v="UCiamsAfM2zYhgpZAV_X7H2g"/>
    <s v="UC07-dOwgza1IguKA86jqxNA"/>
    <s v="192, 192, 192"/>
    <n v="3"/>
    <m/>
    <n v="40"/>
    <m/>
    <m/>
    <m/>
    <m/>
    <s v="No"/>
    <n v="268"/>
    <m/>
    <m/>
    <s v="Commented Video"/>
    <x v="0"/>
    <s v="India is under covid attack now. 😇😇😇 Not only Covid-19 but also face with its consequences such as : trauma, PTSD, complicated grief, melancholic depression, stressors, suicidal thoughts , poverty, hopelessness, jobless , etc.&lt;br&gt;WPA should play the important roles to deal with it as soon as possible. &lt;br&gt;Public Mental health in India is at risk and under covid attack from day to day. 😇😇😇"/>
    <s v="UCiamsAfM2zYhgpZAV_X7H2g"/>
    <s v="សុខុមសទ្ធា កែវ"/>
    <s v="http://www.youtube.com/channel/UCiamsAfM2zYhgpZAV_X7H2g"/>
    <m/>
    <s v="qr6waNqVjrw"/>
    <s v="https://www.youtube.com/watch?v=qr6waNqVjrw"/>
    <s v="none"/>
    <n v="0"/>
    <x v="265"/>
    <d v="2021-05-12T03:26:36.000"/>
    <m/>
    <m/>
    <s v=""/>
    <n v="1"/>
    <s v="5"/>
    <s v="5"/>
    <n v="1"/>
    <n v="1.5873015873015872"/>
    <n v="11"/>
    <n v="17.46031746031746"/>
    <n v="0"/>
    <n v="0"/>
    <n v="51"/>
    <n v="80.95238095238095"/>
    <n v="63"/>
  </r>
  <r>
    <s v="UCh86aG9eDxMiQaISQdtv9zA"/>
    <s v="UC07-dOwgza1IguKA86jqxNA"/>
    <s v="192, 192, 192"/>
    <n v="3"/>
    <m/>
    <n v="40"/>
    <m/>
    <m/>
    <m/>
    <m/>
    <s v="No"/>
    <n v="269"/>
    <m/>
    <m/>
    <s v="Commented Video"/>
    <x v="0"/>
    <s v="चीन का चाटुकार डब्ल्यूएचओ"/>
    <s v="UCh86aG9eDxMiQaISQdtv9zA"/>
    <s v="Kaushal Kishor"/>
    <s v="http://www.youtube.com/channel/UCh86aG9eDxMiQaISQdtv9zA"/>
    <m/>
    <s v="qr6waNqVjrw"/>
    <s v="https://www.youtube.com/watch?v=qr6waNqVjrw"/>
    <s v="none"/>
    <n v="0"/>
    <x v="266"/>
    <d v="2021-05-12T08:00:04.000"/>
    <m/>
    <m/>
    <s v=""/>
    <n v="1"/>
    <s v="5"/>
    <s v="5"/>
    <n v="0"/>
    <n v="0"/>
    <n v="0"/>
    <n v="0"/>
    <n v="0"/>
    <n v="0"/>
    <n v="11"/>
    <n v="100"/>
    <n v="11"/>
  </r>
  <r>
    <s v="UCMnSie2ldazA13s1pbTiUYw"/>
    <s v="UC07-dOwgza1IguKA86jqxNA"/>
    <s v="192, 192, 192"/>
    <n v="3"/>
    <m/>
    <n v="40"/>
    <m/>
    <m/>
    <m/>
    <m/>
    <s v="No"/>
    <n v="270"/>
    <m/>
    <m/>
    <s v="Commented Video"/>
    <x v="0"/>
    <s v="WHO chinese puppet"/>
    <s v="UCMnSie2ldazA13s1pbTiUYw"/>
    <s v="Ranjit Jena"/>
    <s v="http://www.youtube.com/channel/UCMnSie2ldazA13s1pbTiUYw"/>
    <m/>
    <s v="qr6waNqVjrw"/>
    <s v="https://www.youtube.com/watch?v=qr6waNqVjrw"/>
    <s v="none"/>
    <n v="0"/>
    <x v="267"/>
    <d v="2021-05-12T09:57:28.000"/>
    <m/>
    <m/>
    <s v=""/>
    <n v="1"/>
    <s v="5"/>
    <s v="5"/>
    <n v="0"/>
    <n v="0"/>
    <n v="1"/>
    <n v="33.333333333333336"/>
    <n v="0"/>
    <n v="0"/>
    <n v="2"/>
    <n v="66.66666666666667"/>
    <n v="3"/>
  </r>
  <r>
    <s v="UCHIpOdCr-NFQRR_OQcwa4Sg"/>
    <s v="UC07-dOwgza1IguKA86jqxNA"/>
    <s v="192, 192, 192"/>
    <n v="3"/>
    <m/>
    <n v="40"/>
    <m/>
    <m/>
    <m/>
    <m/>
    <s v="No"/>
    <n v="271"/>
    <m/>
    <m/>
    <s v="Commented Video"/>
    <x v="0"/>
    <s v="keep up the good work, we need all the help we can hopefully everyone around the world gets the help they need for this pandemic and possibly other more dangerous illnesses after this one is under control one day around the entire world, and countries"/>
    <s v="UCHIpOdCr-NFQRR_OQcwa4Sg"/>
    <s v="SwaggyTJ Matthews"/>
    <s v="http://www.youtube.com/channel/UCHIpOdCr-NFQRR_OQcwa4Sg"/>
    <m/>
    <s v="qr6waNqVjrw"/>
    <s v="https://www.youtube.com/watch?v=qr6waNqVjrw"/>
    <s v="none"/>
    <n v="0"/>
    <x v="268"/>
    <d v="2021-05-15T19:19:34.000"/>
    <m/>
    <m/>
    <s v=""/>
    <n v="1"/>
    <s v="5"/>
    <s v="5"/>
    <n v="2"/>
    <n v="4.444444444444445"/>
    <n v="1"/>
    <n v="2.2222222222222223"/>
    <n v="0"/>
    <n v="0"/>
    <n v="42"/>
    <n v="93.33333333333333"/>
    <n v="45"/>
  </r>
  <r>
    <s v="UCwCF8Ic6Lgs32CrljeWydrw"/>
    <s v="UC07-dOwgza1IguKA86jqxNA"/>
    <s v="192, 192, 192"/>
    <n v="3"/>
    <m/>
    <n v="40"/>
    <m/>
    <m/>
    <m/>
    <m/>
    <s v="No"/>
    <n v="272"/>
    <m/>
    <m/>
    <s v="Commented Video"/>
    <x v="0"/>
    <s v="يعمرييييي يا جدتي😍😍"/>
    <s v="UCwCF8Ic6Lgs32CrljeWydrw"/>
    <s v="ُِ"/>
    <s v="http://www.youtube.com/channel/UCwCF8Ic6Lgs32CrljeWydrw"/>
    <m/>
    <s v="qoyPQNU9ypc"/>
    <s v="https://www.youtube.com/watch?v=qoyPQNU9ypc"/>
    <s v="none"/>
    <n v="1"/>
    <x v="269"/>
    <d v="2019-10-17T16:18:24.000"/>
    <m/>
    <m/>
    <s v=""/>
    <n v="1"/>
    <s v="5"/>
    <s v="5"/>
    <n v="0"/>
    <n v="0"/>
    <n v="0"/>
    <n v="0"/>
    <n v="0"/>
    <n v="0"/>
    <n v="3"/>
    <n v="100"/>
    <n v="3"/>
  </r>
  <r>
    <s v="UC4VHPTjnxvlkd8NrT8wDd8g"/>
    <s v="UC07-dOwgza1IguKA86jqxNA"/>
    <s v="192, 192, 192"/>
    <n v="3"/>
    <m/>
    <n v="40"/>
    <m/>
    <m/>
    <m/>
    <m/>
    <s v="No"/>
    <n v="273"/>
    <m/>
    <m/>
    <s v="Commented Video"/>
    <x v="0"/>
    <s v="."/>
    <s v="UC4VHPTjnxvlkd8NrT8wDd8g"/>
    <s v="GurARilla シ"/>
    <s v="http://www.youtube.com/channel/UC4VHPTjnxvlkd8NrT8wDd8g"/>
    <m/>
    <s v="PmNVhCoki_E"/>
    <s v="https://www.youtube.com/watch?v=PmNVhCoki_E"/>
    <s v="none"/>
    <n v="1"/>
    <x v="270"/>
    <d v="2020-04-21T07:59:58.000"/>
    <m/>
    <m/>
    <s v=""/>
    <n v="1"/>
    <s v="5"/>
    <s v="5"/>
    <n v="0"/>
    <n v="0"/>
    <n v="0"/>
    <n v="0"/>
    <n v="0"/>
    <n v="0"/>
    <n v="0"/>
    <n v="0"/>
    <n v="0"/>
  </r>
  <r>
    <s v="UCmoHhgVdE0VFusUvKRD2pKA"/>
    <s v="UC07-dOwgza1IguKA86jqxNA"/>
    <s v="192, 192, 192"/>
    <n v="3"/>
    <m/>
    <n v="40"/>
    <m/>
    <m/>
    <m/>
    <m/>
    <s v="No"/>
    <n v="274"/>
    <m/>
    <m/>
    <s v="Commented Video"/>
    <x v="0"/>
    <s v="nice"/>
    <s v="UCmoHhgVdE0VFusUvKRD2pKA"/>
    <s v="Nishie Nathanael R. Ortiz"/>
    <s v="http://www.youtube.com/channel/UCmoHhgVdE0VFusUvKRD2pKA"/>
    <m/>
    <s v="PmNVhCoki_E"/>
    <s v="https://www.youtube.com/watch?v=PmNVhCoki_E"/>
    <s v="none"/>
    <n v="1"/>
    <x v="271"/>
    <d v="2020-04-21T08:00:02.000"/>
    <m/>
    <m/>
    <s v=""/>
    <n v="1"/>
    <s v="5"/>
    <s v="5"/>
    <n v="1"/>
    <n v="100"/>
    <n v="0"/>
    <n v="0"/>
    <n v="0"/>
    <n v="0"/>
    <n v="0"/>
    <n v="0"/>
    <n v="1"/>
  </r>
  <r>
    <s v="UCe9hfK183Q1xmpYMTJgULKQ"/>
    <s v="UCcC4IZqNHmwGIYAC3e6Y-ng"/>
    <s v="192, 192, 192"/>
    <n v="3"/>
    <m/>
    <n v="40"/>
    <m/>
    <m/>
    <m/>
    <m/>
    <s v="No"/>
    <n v="275"/>
    <m/>
    <m/>
    <s v="Replied Comment"/>
    <x v="1"/>
    <s v="hi"/>
    <s v="UCe9hfK183Q1xmpYMTJgULKQ"/>
    <s v="Arkie Barkie"/>
    <s v="http://www.youtube.com/channel/UCe9hfK183Q1xmpYMTJgULKQ"/>
    <s v="UgzWUj4fdxoIgWjrUzl4AaABAg"/>
    <s v="PmNVhCoki_E"/>
    <s v="https://www.youtube.com/watch?v=PmNVhCoki_E"/>
    <s v="none"/>
    <n v="1"/>
    <x v="272"/>
    <d v="2020-04-21T08:05:42.000"/>
    <m/>
    <m/>
    <s v=""/>
    <n v="1"/>
    <s v="5"/>
    <s v="5"/>
    <n v="0"/>
    <n v="0"/>
    <n v="0"/>
    <n v="0"/>
    <n v="0"/>
    <n v="0"/>
    <n v="1"/>
    <n v="100"/>
    <n v="1"/>
  </r>
  <r>
    <s v="UCcC4IZqNHmwGIYAC3e6Y-ng"/>
    <s v="UC07-dOwgza1IguKA86jqxNA"/>
    <s v="192, 192, 192"/>
    <n v="3"/>
    <m/>
    <n v="40"/>
    <m/>
    <m/>
    <m/>
    <m/>
    <s v="No"/>
    <n v="276"/>
    <m/>
    <m/>
    <s v="Commented Video"/>
    <x v="0"/>
    <s v="watching this for skewl :&amp;gt;"/>
    <s v="UCcC4IZqNHmwGIYAC3e6Y-ng"/>
    <s v="Ronin Ijah Maireen D. Perez"/>
    <s v="http://www.youtube.com/channel/UCcC4IZqNHmwGIYAC3e6Y-ng"/>
    <m/>
    <s v="PmNVhCoki_E"/>
    <s v="https://www.youtube.com/watch?v=PmNVhCoki_E"/>
    <s v="none"/>
    <n v="1"/>
    <x v="273"/>
    <d v="2020-04-21T08:00:20.000"/>
    <m/>
    <m/>
    <s v=""/>
    <n v="1"/>
    <s v="5"/>
    <s v="5"/>
    <n v="0"/>
    <n v="0"/>
    <n v="0"/>
    <n v="0"/>
    <n v="0"/>
    <n v="0"/>
    <n v="5"/>
    <n v="100"/>
    <n v="5"/>
  </r>
  <r>
    <s v="UCe9hfK183Q1xmpYMTJgULKQ"/>
    <s v="UCxhbi6OhggzKnO7bUeXbliw"/>
    <s v="192, 192, 192"/>
    <n v="3"/>
    <m/>
    <n v="40"/>
    <m/>
    <m/>
    <m/>
    <m/>
    <s v="No"/>
    <n v="277"/>
    <m/>
    <m/>
    <s v="Replied Comment"/>
    <x v="1"/>
    <s v="hi"/>
    <s v="UCe9hfK183Q1xmpYMTJgULKQ"/>
    <s v="Arkie Barkie"/>
    <s v="http://www.youtube.com/channel/UCe9hfK183Q1xmpYMTJgULKQ"/>
    <s v="Ugxp2SAe4D1vTXUemex4AaABAg"/>
    <s v="PmNVhCoki_E"/>
    <s v="https://www.youtube.com/watch?v=PmNVhCoki_E"/>
    <s v="none"/>
    <n v="0"/>
    <x v="274"/>
    <d v="2020-04-21T08:05:50.000"/>
    <m/>
    <m/>
    <s v=""/>
    <n v="1"/>
    <s v="5"/>
    <s v="5"/>
    <n v="0"/>
    <n v="0"/>
    <n v="0"/>
    <n v="0"/>
    <n v="0"/>
    <n v="0"/>
    <n v="1"/>
    <n v="100"/>
    <n v="1"/>
  </r>
  <r>
    <s v="UCxhbi6OhggzKnO7bUeXbliw"/>
    <s v="UC07-dOwgza1IguKA86jqxNA"/>
    <s v="192, 192, 192"/>
    <n v="3"/>
    <m/>
    <n v="40"/>
    <m/>
    <m/>
    <m/>
    <m/>
    <s v="No"/>
    <n v="278"/>
    <m/>
    <m/>
    <s v="Commented Video"/>
    <x v="0"/>
    <s v="chicken"/>
    <s v="UCxhbi6OhggzKnO7bUeXbliw"/>
    <s v="xd IamNoobAtFort"/>
    <s v="http://www.youtube.com/channel/UCxhbi6OhggzKnO7bUeXbliw"/>
    <m/>
    <s v="PmNVhCoki_E"/>
    <s v="https://www.youtube.com/watch?v=PmNVhCoki_E"/>
    <s v="none"/>
    <n v="0"/>
    <x v="275"/>
    <d v="2020-04-21T08:03:59.000"/>
    <m/>
    <m/>
    <s v=""/>
    <n v="1"/>
    <s v="5"/>
    <s v="5"/>
    <n v="0"/>
    <n v="0"/>
    <n v="0"/>
    <n v="0"/>
    <n v="0"/>
    <n v="0"/>
    <n v="1"/>
    <n v="100"/>
    <n v="1"/>
  </r>
  <r>
    <s v="UCe9hfK183Q1xmpYMTJgULKQ"/>
    <s v="UC07-dOwgza1IguKA86jqxNA"/>
    <s v="192, 192, 192"/>
    <n v="3"/>
    <m/>
    <n v="40"/>
    <m/>
    <m/>
    <m/>
    <m/>
    <s v="No"/>
    <n v="279"/>
    <m/>
    <m/>
    <s v="Commented Video"/>
    <x v="0"/>
    <s v="woah online school"/>
    <s v="UCe9hfK183Q1xmpYMTJgULKQ"/>
    <s v="Arkie Barkie"/>
    <s v="http://www.youtube.com/channel/UCe9hfK183Q1xmpYMTJgULKQ"/>
    <m/>
    <s v="PmNVhCoki_E"/>
    <s v="https://www.youtube.com/watch?v=PmNVhCoki_E"/>
    <s v="none"/>
    <n v="1"/>
    <x v="276"/>
    <d v="2020-04-21T08:05:26.000"/>
    <m/>
    <m/>
    <s v=""/>
    <n v="1"/>
    <s v="5"/>
    <s v="5"/>
    <n v="0"/>
    <n v="0"/>
    <n v="0"/>
    <n v="0"/>
    <n v="0"/>
    <n v="0"/>
    <n v="3"/>
    <n v="100"/>
    <n v="3"/>
  </r>
  <r>
    <s v="UCQmnCtBS2LgVNb7hVmDsvEQ"/>
    <s v="UCSxjlinkH_dpcqvI4gaOIqg"/>
    <s v="Red"/>
    <n v="10"/>
    <m/>
    <n v="15"/>
    <m/>
    <m/>
    <m/>
    <m/>
    <s v="No"/>
    <n v="280"/>
    <m/>
    <m/>
    <s v="Replied Comment"/>
    <x v="1"/>
    <s v="yvanna Pulido beb~"/>
    <s v="UCQmnCtBS2LgVNb7hVmDsvEQ"/>
    <s v="Samantha Dela Pena"/>
    <s v="http://www.youtube.com/channel/UCQmnCtBS2LgVNb7hVmDsvEQ"/>
    <s v="UgzaGgZq7bvMP1Nhkih4AaABAg"/>
    <s v="PmNVhCoki_E"/>
    <s v="https://www.youtube.com/watch?v=PmNVhCoki_E"/>
    <s v="none"/>
    <n v="1"/>
    <x v="277"/>
    <d v="2020-04-21T08:13:23.000"/>
    <m/>
    <m/>
    <s v=""/>
    <n v="2"/>
    <s v="5"/>
    <s v="5"/>
    <n v="0"/>
    <n v="0"/>
    <n v="0"/>
    <n v="0"/>
    <n v="0"/>
    <n v="0"/>
    <n v="3"/>
    <n v="100"/>
    <n v="3"/>
  </r>
  <r>
    <s v="UCQmnCtBS2LgVNb7hVmDsvEQ"/>
    <s v="UCSxjlinkH_dpcqvI4gaOIqg"/>
    <s v="Red"/>
    <n v="10"/>
    <m/>
    <n v="15"/>
    <m/>
    <m/>
    <m/>
    <m/>
    <s v="No"/>
    <n v="281"/>
    <m/>
    <m/>
    <s v="Replied Comment"/>
    <x v="1"/>
    <s v="yvanna Pulido yayyayay"/>
    <s v="UCQmnCtBS2LgVNb7hVmDsvEQ"/>
    <s v="Samantha Dela Pena"/>
    <s v="http://www.youtube.com/channel/UCQmnCtBS2LgVNb7hVmDsvEQ"/>
    <s v="UgzaGgZq7bvMP1Nhkih4AaABAg"/>
    <s v="PmNVhCoki_E"/>
    <s v="https://www.youtube.com/watch?v=PmNVhCoki_E"/>
    <s v="none"/>
    <n v="1"/>
    <x v="278"/>
    <d v="2020-04-21T09:06:21.000"/>
    <m/>
    <m/>
    <s v=""/>
    <n v="2"/>
    <s v="5"/>
    <s v="5"/>
    <n v="0"/>
    <n v="0"/>
    <n v="0"/>
    <n v="0"/>
    <n v="0"/>
    <n v="0"/>
    <n v="3"/>
    <n v="100"/>
    <n v="3"/>
  </r>
  <r>
    <s v="UCSxjlinkH_dpcqvI4gaOIqg"/>
    <s v="UCSxjlinkH_dpcqvI4gaOIqg"/>
    <s v="192, 192, 192"/>
    <n v="3"/>
    <m/>
    <n v="40"/>
    <m/>
    <m/>
    <m/>
    <m/>
    <s v="No"/>
    <n v="282"/>
    <m/>
    <m/>
    <s v="Replied Comment"/>
    <x v="1"/>
    <s v="@Samantha Dela Pena sammy"/>
    <s v="UCSxjlinkH_dpcqvI4gaOIqg"/>
    <s v="Yvanna Angeli D. Pulido"/>
    <s v="http://www.youtube.com/channel/UCSxjlinkH_dpcqvI4gaOIqg"/>
    <s v="UgzaGgZq7bvMP1Nhkih4AaABAg"/>
    <s v="PmNVhCoki_E"/>
    <s v="https://www.youtube.com/watch?v=PmNVhCoki_E"/>
    <s v="none"/>
    <n v="1"/>
    <x v="279"/>
    <d v="2020-04-21T08:54:52.000"/>
    <m/>
    <m/>
    <s v=""/>
    <n v="1"/>
    <s v="5"/>
    <s v="5"/>
    <n v="0"/>
    <n v="0"/>
    <n v="0"/>
    <n v="0"/>
    <n v="0"/>
    <n v="0"/>
    <n v="4"/>
    <n v="100"/>
    <n v="4"/>
  </r>
  <r>
    <s v="UCSxjlinkH_dpcqvI4gaOIqg"/>
    <s v="UC07-dOwgza1IguKA86jqxNA"/>
    <s v="192, 192, 192"/>
    <n v="3"/>
    <m/>
    <n v="40"/>
    <m/>
    <m/>
    <m/>
    <m/>
    <s v="No"/>
    <n v="283"/>
    <m/>
    <m/>
    <s v="Commented Video"/>
    <x v="0"/>
    <s v="yyaayaayaayayaya"/>
    <s v="UCSxjlinkH_dpcqvI4gaOIqg"/>
    <s v="Yvanna Angeli D. Pulido"/>
    <s v="http://www.youtube.com/channel/UCSxjlinkH_dpcqvI4gaOIqg"/>
    <m/>
    <s v="PmNVhCoki_E"/>
    <s v="https://www.youtube.com/watch?v=PmNVhCoki_E"/>
    <s v="none"/>
    <n v="1"/>
    <x v="280"/>
    <d v="2020-04-21T08:09:42.000"/>
    <m/>
    <m/>
    <s v=""/>
    <n v="1"/>
    <s v="5"/>
    <s v="5"/>
    <n v="0"/>
    <n v="0"/>
    <n v="0"/>
    <n v="0"/>
    <n v="0"/>
    <n v="0"/>
    <n v="1"/>
    <n v="100"/>
    <n v="1"/>
  </r>
  <r>
    <s v="UCSxjlinkH_dpcqvI4gaOIqg"/>
    <s v="UCEGWyDisp2t9CSLMhOCUjcg"/>
    <s v="Red"/>
    <n v="10"/>
    <m/>
    <n v="15"/>
    <m/>
    <m/>
    <m/>
    <m/>
    <s v="No"/>
    <n v="284"/>
    <m/>
    <m/>
    <s v="Replied Comment"/>
    <x v="1"/>
    <s v="ayaayayaaayyayayayya"/>
    <s v="UCSxjlinkH_dpcqvI4gaOIqg"/>
    <s v="Yvanna Angeli D. Pulido"/>
    <s v="http://www.youtube.com/channel/UCSxjlinkH_dpcqvI4gaOIqg"/>
    <s v="Ugw9Hdy7KHFQIF4PnXB4AaABAg"/>
    <s v="PmNVhCoki_E"/>
    <s v="https://www.youtube.com/watch?v=PmNVhCoki_E"/>
    <s v="none"/>
    <n v="0"/>
    <x v="281"/>
    <d v="2020-04-21T08:13:00.000"/>
    <m/>
    <m/>
    <s v=""/>
    <n v="2"/>
    <s v="5"/>
    <s v="5"/>
    <n v="0"/>
    <n v="0"/>
    <n v="0"/>
    <n v="0"/>
    <n v="0"/>
    <n v="0"/>
    <n v="1"/>
    <n v="100"/>
    <n v="1"/>
  </r>
  <r>
    <s v="UCSxjlinkH_dpcqvI4gaOIqg"/>
    <s v="UCEGWyDisp2t9CSLMhOCUjcg"/>
    <s v="Red"/>
    <n v="10"/>
    <m/>
    <n v="15"/>
    <m/>
    <m/>
    <m/>
    <m/>
    <s v="No"/>
    <n v="285"/>
    <m/>
    <m/>
    <s v="Replied Comment"/>
    <x v="1"/>
    <s v="nezuko chaaaaaaaaaaaaaaaaaaaannnnnn"/>
    <s v="UCSxjlinkH_dpcqvI4gaOIqg"/>
    <s v="Yvanna Angeli D. Pulido"/>
    <s v="http://www.youtube.com/channel/UCSxjlinkH_dpcqvI4gaOIqg"/>
    <s v="Ugw9Hdy7KHFQIF4PnXB4AaABAg"/>
    <s v="PmNVhCoki_E"/>
    <s v="https://www.youtube.com/watch?v=PmNVhCoki_E"/>
    <s v="none"/>
    <n v="0"/>
    <x v="282"/>
    <d v="2020-04-21T08:13:30.000"/>
    <m/>
    <m/>
    <s v=""/>
    <n v="2"/>
    <s v="5"/>
    <s v="5"/>
    <n v="0"/>
    <n v="0"/>
    <n v="0"/>
    <n v="0"/>
    <n v="0"/>
    <n v="0"/>
    <n v="2"/>
    <n v="100"/>
    <n v="2"/>
  </r>
  <r>
    <s v="UCEGWyDisp2t9CSLMhOCUjcg"/>
    <s v="UC07-dOwgza1IguKA86jqxNA"/>
    <s v="192, 192, 192"/>
    <n v="3"/>
    <m/>
    <n v="40"/>
    <m/>
    <m/>
    <m/>
    <m/>
    <s v="No"/>
    <n v="286"/>
    <m/>
    <m/>
    <s v="Commented Video"/>
    <x v="0"/>
    <s v="Wew"/>
    <s v="UCEGWyDisp2t9CSLMhOCUjcg"/>
    <s v="suckmyass 69"/>
    <s v="http://www.youtube.com/channel/UCEGWyDisp2t9CSLMhOCUjcg"/>
    <m/>
    <s v="PmNVhCoki_E"/>
    <s v="https://www.youtube.com/watch?v=PmNVhCoki_E"/>
    <s v="none"/>
    <n v="0"/>
    <x v="283"/>
    <d v="2020-04-21T08:11:48.000"/>
    <m/>
    <m/>
    <s v=""/>
    <n v="1"/>
    <s v="5"/>
    <s v="5"/>
    <n v="0"/>
    <n v="0"/>
    <n v="0"/>
    <n v="0"/>
    <n v="0"/>
    <n v="0"/>
    <n v="1"/>
    <n v="100"/>
    <n v="1"/>
  </r>
  <r>
    <s v="UCVPA_jZSz-I4Au3RCo9LHTg"/>
    <s v="UC07-dOwgza1IguKA86jqxNA"/>
    <s v="192, 192, 192"/>
    <n v="3"/>
    <m/>
    <n v="40"/>
    <m/>
    <m/>
    <m/>
    <m/>
    <s v="No"/>
    <n v="287"/>
    <m/>
    <m/>
    <s v="Commented Video"/>
    <x v="0"/>
    <s v="cool"/>
    <s v="UCVPA_jZSz-I4Au3RCo9LHTg"/>
    <s v="operativka otel"/>
    <s v="http://www.youtube.com/channel/UCVPA_jZSz-I4Au3RCo9LHTg"/>
    <m/>
    <s v="PmNVhCoki_E"/>
    <s v="https://www.youtube.com/watch?v=PmNVhCoki_E"/>
    <s v="none"/>
    <n v="0"/>
    <x v="284"/>
    <d v="2020-12-03T21:11:23.000"/>
    <m/>
    <m/>
    <s v=""/>
    <n v="1"/>
    <s v="5"/>
    <s v="5"/>
    <n v="1"/>
    <n v="100"/>
    <n v="0"/>
    <n v="0"/>
    <n v="0"/>
    <n v="0"/>
    <n v="0"/>
    <n v="0"/>
    <n v="1"/>
  </r>
  <r>
    <s v="UC8Y45KtVOj8uJg3cnNzI_-Q"/>
    <s v="UCFA76NhvEp8Fck7qolxM5nQ"/>
    <s v="192, 192, 192"/>
    <n v="3"/>
    <m/>
    <n v="40"/>
    <m/>
    <m/>
    <m/>
    <m/>
    <s v="No"/>
    <n v="288"/>
    <m/>
    <m/>
    <s v="Replied Comment"/>
    <x v="1"/>
    <s v="I love you mam plz ggive me ur number"/>
    <s v="UC8Y45KtVOj8uJg3cnNzI_-Q"/>
    <s v="cartoon vibes"/>
    <s v="http://www.youtube.com/channel/UC8Y45KtVOj8uJg3cnNzI_-Q"/>
    <s v="Ugz-hHhzaOClh3K9D6V4AaABAg"/>
    <s v="niztAhOnXpQ"/>
    <s v="https://www.youtube.com/watch?v=niztAhOnXpQ"/>
    <s v="none"/>
    <n v="0"/>
    <x v="285"/>
    <d v="2021-05-03T21:23:41.000"/>
    <m/>
    <m/>
    <s v=""/>
    <n v="1"/>
    <s v="20"/>
    <s v="20"/>
    <n v="1"/>
    <n v="11.11111111111111"/>
    <n v="0"/>
    <n v="0"/>
    <n v="0"/>
    <n v="0"/>
    <n v="8"/>
    <n v="88.88888888888889"/>
    <n v="9"/>
  </r>
  <r>
    <s v="UCwCK4I1ApV4gDpWxv3EvPAg"/>
    <s v="UCFA76NhvEp8Fck7qolxM5nQ"/>
    <s v="192, 192, 192"/>
    <n v="3"/>
    <m/>
    <n v="40"/>
    <m/>
    <m/>
    <m/>
    <m/>
    <s v="Yes"/>
    <n v="289"/>
    <m/>
    <m/>
    <s v="Replied Comment"/>
    <x v="1"/>
    <s v="It&amp;#39;s my pleasure.... Please Subscribe To Our Channel - &lt;a href=&quot;https://bit.ly/32j1Zq1&quot;&gt;https://bit.ly/32j1Zq1&lt;/a&gt;"/>
    <s v="UCwCK4I1ApV4gDpWxv3EvPAg"/>
    <s v="Pharmacy Infoline"/>
    <s v="http://www.youtube.com/channel/UCwCK4I1ApV4gDpWxv3EvPAg"/>
    <s v="Ugz-hHhzaOClh3K9D6V4AaABAg"/>
    <s v="niztAhOnXpQ"/>
    <s v="https://www.youtube.com/watch?v=niztAhOnXpQ"/>
    <s v="none"/>
    <n v="0"/>
    <x v="286"/>
    <d v="2021-04-19T17:31:04.000"/>
    <s v=" https://bit.ly/32j1Zq1 https://bit.ly/32j1Zq1"/>
    <s v="bit.ly bit.ly"/>
    <s v=""/>
    <n v="1"/>
    <s v="20"/>
    <s v="20"/>
    <n v="1"/>
    <n v="4.761904761904762"/>
    <n v="0"/>
    <n v="0"/>
    <n v="0"/>
    <n v="0"/>
    <n v="20"/>
    <n v="95.23809523809524"/>
    <n v="21"/>
  </r>
  <r>
    <s v="UCFA76NhvEp8Fck7qolxM5nQ"/>
    <s v="UCwCK4I1ApV4gDpWxv3EvPAg"/>
    <s v="192, 192, 192"/>
    <n v="3"/>
    <m/>
    <n v="40"/>
    <m/>
    <m/>
    <m/>
    <m/>
    <s v="Yes"/>
    <n v="290"/>
    <m/>
    <m/>
    <s v="Commented Video"/>
    <x v="0"/>
    <s v="Thanks for making such a good Knowledge Video."/>
    <s v="UCFA76NhvEp8Fck7qolxM5nQ"/>
    <s v="IRFAN SHAIKH"/>
    <s v="http://www.youtube.com/channel/UCFA76NhvEp8Fck7qolxM5nQ"/>
    <m/>
    <s v="niztAhOnXpQ"/>
    <s v="https://www.youtube.com/watch?v=niztAhOnXpQ"/>
    <s v="none"/>
    <n v="1"/>
    <x v="287"/>
    <d v="2021-04-03T05:48:18.000"/>
    <m/>
    <m/>
    <s v=""/>
    <n v="1"/>
    <s v="20"/>
    <s v="20"/>
    <n v="1"/>
    <n v="12.5"/>
    <n v="0"/>
    <n v="0"/>
    <n v="0"/>
    <n v="0"/>
    <n v="7"/>
    <n v="87.5"/>
    <n v="8"/>
  </r>
  <r>
    <s v="UCwCK4I1ApV4gDpWxv3EvPAg"/>
    <s v="UC41RPWl3MoEeDf9pNzNbOzw"/>
    <s v="192, 192, 192"/>
    <n v="3"/>
    <m/>
    <n v="40"/>
    <m/>
    <m/>
    <m/>
    <m/>
    <s v="Yes"/>
    <n v="291"/>
    <m/>
    <m/>
    <s v="Replied Comment"/>
    <x v="1"/>
    <s v="Most welcome....We will be thankful if you can share the same with your friends and colleagues"/>
    <s v="UCwCK4I1ApV4gDpWxv3EvPAg"/>
    <s v="Pharmacy Infoline"/>
    <s v="http://www.youtube.com/channel/UCwCK4I1ApV4gDpWxv3EvPAg"/>
    <s v="UgwDUNnKTRrefjC2Czl4AaABAg"/>
    <s v="niztAhOnXpQ"/>
    <s v="https://www.youtube.com/watch?v=niztAhOnXpQ"/>
    <s v="none"/>
    <n v="0"/>
    <x v="288"/>
    <d v="2021-06-14T14:30:40.000"/>
    <m/>
    <m/>
    <s v=""/>
    <n v="1"/>
    <s v="20"/>
    <s v="20"/>
    <n v="2"/>
    <n v="11.764705882352942"/>
    <n v="0"/>
    <n v="0"/>
    <n v="0"/>
    <n v="0"/>
    <n v="15"/>
    <n v="88.23529411764706"/>
    <n v="17"/>
  </r>
  <r>
    <s v="UC41RPWl3MoEeDf9pNzNbOzw"/>
    <s v="UCwCK4I1ApV4gDpWxv3EvPAg"/>
    <s v="192, 192, 192"/>
    <n v="3"/>
    <m/>
    <n v="40"/>
    <m/>
    <m/>
    <m/>
    <m/>
    <s v="Yes"/>
    <n v="292"/>
    <m/>
    <m/>
    <s v="Commented Video"/>
    <x v="0"/>
    <s v="Thank you nice vedio"/>
    <s v="UC41RPWl3MoEeDf9pNzNbOzw"/>
    <s v="Tanvi Nimkar"/>
    <s v="http://www.youtube.com/channel/UC41RPWl3MoEeDf9pNzNbOzw"/>
    <m/>
    <s v="niztAhOnXpQ"/>
    <s v="https://www.youtube.com/watch?v=niztAhOnXpQ"/>
    <s v="none"/>
    <n v="1"/>
    <x v="289"/>
    <d v="2021-06-11T18:47:11.000"/>
    <m/>
    <m/>
    <s v=""/>
    <n v="1"/>
    <s v="20"/>
    <s v="20"/>
    <n v="2"/>
    <n v="50"/>
    <n v="0"/>
    <n v="0"/>
    <n v="0"/>
    <n v="0"/>
    <n v="2"/>
    <n v="50"/>
    <n v="4"/>
  </r>
  <r>
    <s v="UCGygswvJxod6i7MCGCBlKIg"/>
    <s v="UCIujpQDjxt8TLzSMzuXAjjw"/>
    <s v="192, 192, 192"/>
    <n v="3"/>
    <m/>
    <n v="40"/>
    <m/>
    <m/>
    <m/>
    <m/>
    <s v="No"/>
    <n v="293"/>
    <m/>
    <m/>
    <s v="Commented Video"/>
    <x v="0"/>
    <s v="Thenk you sir 💞"/>
    <s v="UCGygswvJxod6i7MCGCBlKIg"/>
    <s v="amjad ansari"/>
    <s v="http://www.youtube.com/channel/UCGygswvJxod6i7MCGCBlKIg"/>
    <m/>
    <s v="4gDOjS0xRAQ"/>
    <s v="https://www.youtube.com/watch?v=4gDOjS0xRAQ"/>
    <s v="none"/>
    <n v="1"/>
    <x v="290"/>
    <d v="2020-04-11T12:11:49.000"/>
    <m/>
    <m/>
    <s v=""/>
    <n v="1"/>
    <s v="7"/>
    <s v="7"/>
    <n v="0"/>
    <n v="0"/>
    <n v="0"/>
    <n v="0"/>
    <n v="0"/>
    <n v="0"/>
    <n v="3"/>
    <n v="100"/>
    <n v="3"/>
  </r>
  <r>
    <s v="UCuS9KW_UfhJhTv1vI1kAH8Q"/>
    <s v="UCIujpQDjxt8TLzSMzuXAjjw"/>
    <s v="192, 192, 192"/>
    <n v="3"/>
    <m/>
    <n v="40"/>
    <m/>
    <m/>
    <m/>
    <m/>
    <s v="No"/>
    <n v="294"/>
    <m/>
    <m/>
    <s v="Commented Video"/>
    <x v="0"/>
    <s v="Thanks sir"/>
    <s v="UCuS9KW_UfhJhTv1vI1kAH8Q"/>
    <s v="Ankur rajput"/>
    <s v="http://www.youtube.com/channel/UCuS9KW_UfhJhTv1vI1kAH8Q"/>
    <m/>
    <s v="4gDOjS0xRAQ"/>
    <s v="https://www.youtube.com/watch?v=4gDOjS0xRAQ"/>
    <s v="none"/>
    <n v="1"/>
    <x v="291"/>
    <d v="2020-04-11T12:12:58.000"/>
    <m/>
    <m/>
    <s v=""/>
    <n v="1"/>
    <s v="7"/>
    <s v="7"/>
    <n v="0"/>
    <n v="0"/>
    <n v="0"/>
    <n v="0"/>
    <n v="0"/>
    <n v="0"/>
    <n v="2"/>
    <n v="100"/>
    <n v="2"/>
  </r>
  <r>
    <s v="UCaM4QVw7iINFe5FN4o6_BZw"/>
    <s v="UCAVnoqUAcRIbdq0972CYydw"/>
    <s v="192, 192, 192"/>
    <n v="3"/>
    <m/>
    <n v="40"/>
    <m/>
    <m/>
    <m/>
    <m/>
    <s v="No"/>
    <n v="295"/>
    <m/>
    <m/>
    <s v="Replied Comment"/>
    <x v="1"/>
    <s v="Ys sir p ceutical aur hap dono"/>
    <s v="UCaM4QVw7iINFe5FN4o6_BZw"/>
    <s v="Hariom upadhyay"/>
    <s v="http://www.youtube.com/channel/UCaM4QVw7iINFe5FN4o6_BZw"/>
    <s v="UgyZ5scNLatW64FGLvl4AaABAg"/>
    <s v="4gDOjS0xRAQ"/>
    <s v="https://www.youtube.com/watch?v=4gDOjS0xRAQ"/>
    <s v="none"/>
    <n v="1"/>
    <x v="292"/>
    <d v="2020-04-11T17:05:56.000"/>
    <m/>
    <m/>
    <s v=""/>
    <n v="1"/>
    <s v="7"/>
    <s v="7"/>
    <n v="0"/>
    <n v="0"/>
    <n v="0"/>
    <n v="0"/>
    <n v="0"/>
    <n v="0"/>
    <n v="7"/>
    <n v="100"/>
    <n v="7"/>
  </r>
  <r>
    <s v="UCAVnoqUAcRIbdq0972CYydw"/>
    <s v="UCIujpQDjxt8TLzSMzuXAjjw"/>
    <s v="192, 192, 192"/>
    <n v="3"/>
    <m/>
    <n v="40"/>
    <m/>
    <m/>
    <m/>
    <m/>
    <s v="No"/>
    <n v="296"/>
    <m/>
    <m/>
    <s v="Commented Video"/>
    <x v="0"/>
    <s v="Sir ji pharmacuetical chemistry or pada do.."/>
    <s v="UCAVnoqUAcRIbdq0972CYydw"/>
    <s v="Arsh Pal"/>
    <s v="http://www.youtube.com/channel/UCAVnoqUAcRIbdq0972CYydw"/>
    <m/>
    <s v="4gDOjS0xRAQ"/>
    <s v="https://www.youtube.com/watch?v=4gDOjS0xRAQ"/>
    <s v="none"/>
    <n v="2"/>
    <x v="293"/>
    <d v="2020-04-11T12:15:52.000"/>
    <m/>
    <m/>
    <s v=""/>
    <n v="1"/>
    <s v="7"/>
    <s v="7"/>
    <n v="0"/>
    <n v="0"/>
    <n v="0"/>
    <n v="0"/>
    <n v="0"/>
    <n v="0"/>
    <n v="7"/>
    <n v="100"/>
    <n v="7"/>
  </r>
  <r>
    <s v="UCp7UdmlpZZ_S1QhablUDVIA"/>
    <s v="UCIujpQDjxt8TLzSMzuXAjjw"/>
    <s v="192, 192, 192"/>
    <n v="3"/>
    <m/>
    <n v="40"/>
    <m/>
    <m/>
    <m/>
    <m/>
    <s v="No"/>
    <n v="297"/>
    <m/>
    <m/>
    <s v="Commented Video"/>
    <x v="0"/>
    <s v="Sir .compatative basis kuch batao ..plz"/>
    <s v="UCp7UdmlpZZ_S1QhablUDVIA"/>
    <s v="Mahesh Gupta"/>
    <s v="http://www.youtube.com/channel/UCp7UdmlpZZ_S1QhablUDVIA"/>
    <m/>
    <s v="4gDOjS0xRAQ"/>
    <s v="https://www.youtube.com/watch?v=4gDOjS0xRAQ"/>
    <s v="none"/>
    <n v="1"/>
    <x v="294"/>
    <d v="2020-04-11T12:16:58.000"/>
    <m/>
    <m/>
    <s v=""/>
    <n v="1"/>
    <s v="7"/>
    <s v="7"/>
    <n v="0"/>
    <n v="0"/>
    <n v="0"/>
    <n v="0"/>
    <n v="0"/>
    <n v="0"/>
    <n v="6"/>
    <n v="100"/>
    <n v="6"/>
  </r>
  <r>
    <s v="UC7Dg-uPxILqD_10CuPzQyCw"/>
    <s v="UCIujpQDjxt8TLzSMzuXAjjw"/>
    <s v="Red"/>
    <n v="10"/>
    <m/>
    <n v="15"/>
    <m/>
    <m/>
    <m/>
    <m/>
    <s v="No"/>
    <n v="298"/>
    <m/>
    <m/>
    <s v="Commented Video"/>
    <x v="0"/>
    <s v="Thanks sir"/>
    <s v="UC7Dg-uPxILqD_10CuPzQyCw"/>
    <s v="Abdul Khalik Khan"/>
    <s v="http://www.youtube.com/channel/UC7Dg-uPxILqD_10CuPzQyCw"/>
    <m/>
    <s v="4gDOjS0xRAQ"/>
    <s v="https://www.youtube.com/watch?v=4gDOjS0xRAQ"/>
    <s v="none"/>
    <n v="1"/>
    <x v="295"/>
    <d v="2020-04-11T12:15:18.000"/>
    <m/>
    <m/>
    <s v=""/>
    <n v="2"/>
    <s v="7"/>
    <s v="7"/>
    <n v="0"/>
    <n v="0"/>
    <n v="0"/>
    <n v="0"/>
    <n v="0"/>
    <n v="0"/>
    <n v="2"/>
    <n v="100"/>
    <n v="2"/>
  </r>
  <r>
    <s v="UC7Dg-uPxILqD_10CuPzQyCw"/>
    <s v="UCIujpQDjxt8TLzSMzuXAjjw"/>
    <s v="Red"/>
    <n v="10"/>
    <m/>
    <n v="15"/>
    <m/>
    <m/>
    <m/>
    <m/>
    <s v="No"/>
    <n v="299"/>
    <m/>
    <m/>
    <s v="Commented Video"/>
    <x v="0"/>
    <s v="Sir plesase teach Hap 1 chapter Brain and spinal coard mean CNS"/>
    <s v="UC7Dg-uPxILqD_10CuPzQyCw"/>
    <s v="Abdul Khalik Khan"/>
    <s v="http://www.youtube.com/channel/UC7Dg-uPxILqD_10CuPzQyCw"/>
    <m/>
    <s v="4gDOjS0xRAQ"/>
    <s v="https://www.youtube.com/watch?v=4gDOjS0xRAQ"/>
    <s v="none"/>
    <n v="2"/>
    <x v="296"/>
    <d v="2020-04-11T12:21:08.000"/>
    <m/>
    <m/>
    <s v=""/>
    <n v="2"/>
    <s v="7"/>
    <s v="7"/>
    <n v="0"/>
    <n v="0"/>
    <n v="0"/>
    <n v="0"/>
    <n v="0"/>
    <n v="0"/>
    <n v="12"/>
    <n v="100"/>
    <n v="12"/>
  </r>
  <r>
    <s v="UCK7RRG51B5BR-oMcsoIVtJQ"/>
    <s v="UC4IiAFu3l6cfMMeJIU2TjzQ"/>
    <s v="192, 192, 192"/>
    <n v="3"/>
    <m/>
    <n v="40"/>
    <m/>
    <m/>
    <m/>
    <m/>
    <s v="No"/>
    <n v="300"/>
    <m/>
    <m/>
    <s v="Replied Comment"/>
    <x v="1"/>
    <s v="Plz sir 🙏🙏🙏🙏🙏"/>
    <s v="UCK7RRG51B5BR-oMcsoIVtJQ"/>
    <s v="unlimited song and new videos"/>
    <s v="http://www.youtube.com/channel/UCK7RRG51B5BR-oMcsoIVtJQ"/>
    <s v="Ugxf03Uz-c6TzPTz9BB4AaABAg"/>
    <s v="4gDOjS0xRAQ"/>
    <s v="https://www.youtube.com/watch?v=4gDOjS0xRAQ"/>
    <s v="none"/>
    <n v="0"/>
    <x v="297"/>
    <d v="2020-04-11T13:50:30.000"/>
    <m/>
    <m/>
    <s v=""/>
    <n v="1"/>
    <s v="7"/>
    <s v="7"/>
    <n v="0"/>
    <n v="0"/>
    <n v="0"/>
    <n v="0"/>
    <n v="0"/>
    <n v="0"/>
    <n v="2"/>
    <n v="100"/>
    <n v="2"/>
  </r>
  <r>
    <s v="UCIujpQDjxt8TLzSMzuXAjjw"/>
    <s v="UC4IiAFu3l6cfMMeJIU2TjzQ"/>
    <s v="192, 192, 192"/>
    <n v="3"/>
    <m/>
    <n v="40"/>
    <m/>
    <m/>
    <m/>
    <m/>
    <s v="Yes"/>
    <n v="301"/>
    <m/>
    <m/>
    <s v="Replied Comment"/>
    <x v="1"/>
    <s v="Dear student !&lt;br&gt;Now you can easily download the pdf notes based on Anurag sir lectures from our website.&lt;br&gt;&lt;br&gt;&lt;a href=&quot;http://www.kclpharmacy.com/&quot;&gt;www.kclpharmacy.com&lt;/a&gt;&lt;br&gt;&lt;br&gt;If there is any difficulty in downloading notes then watch this video how to download....&lt;br&gt;&lt;br&gt;&lt;a href=&quot;https://youtu.be/sWTtD-aE-q8&quot;&gt;https://youtu.be/sWTtD-aE-q8&lt;/a&gt;&lt;br&gt;&lt;br&gt;For latest updates stay connected with us join our page.&lt;br&gt;&lt;br&gt;&lt;a href=&quot;https://www.facebook.com/kclpharmacy/&quot;&gt;https://www.facebook.com/kclpharmacy/&lt;/a&gt;&lt;br&gt;&lt;br&gt;Thank you&lt;br&gt;🙏🙏🙏😊"/>
    <s v="UCIujpQDjxt8TLzSMzuXAjjw"/>
    <s v="Kcl Tutorials"/>
    <s v="http://www.youtube.com/channel/UCIujpQDjxt8TLzSMzuXAjjw"/>
    <s v="Ugxf03Uz-c6TzPTz9BB4AaABAg"/>
    <s v="4gDOjS0xRAQ"/>
    <s v="https://www.youtube.com/watch?v=4gDOjS0xRAQ"/>
    <s v="none"/>
    <n v="0"/>
    <x v="298"/>
    <d v="2020-04-11T21:30:06.000"/>
    <s v=" http://www.kclpharmacy.com/ https://youtu.be/sWTtD-aE-q8 https://youtu.be/sWTtD-aE-q8 https://www.facebook.com/kclpharmacy/ https://www.facebook.com/kclpharmacy/"/>
    <s v="kclpharmacy.com youtu.be youtu.be facebook.com facebook.com"/>
    <s v=""/>
    <n v="1"/>
    <s v="7"/>
    <s v="7"/>
    <n v="1"/>
    <n v="1.0309278350515463"/>
    <n v="1"/>
    <n v="1.0309278350515463"/>
    <n v="0"/>
    <n v="0"/>
    <n v="95"/>
    <n v="97.9381443298969"/>
    <n v="97"/>
  </r>
  <r>
    <s v="UC4IiAFu3l6cfMMeJIU2TjzQ"/>
    <s v="UCIujpQDjxt8TLzSMzuXAjjw"/>
    <s v="192, 192, 192"/>
    <n v="3"/>
    <m/>
    <n v="40"/>
    <m/>
    <m/>
    <m/>
    <m/>
    <s v="Yes"/>
    <n v="302"/>
    <m/>
    <m/>
    <s v="Commented Video"/>
    <x v="0"/>
    <s v="Sir please send me the D.Pharm 1st Year HECP- Epidemiology notes"/>
    <s v="UC4IiAFu3l6cfMMeJIU2TjzQ"/>
    <s v="maneesh singh"/>
    <s v="http://www.youtube.com/channel/UC4IiAFu3l6cfMMeJIU2TjzQ"/>
    <m/>
    <s v="4gDOjS0xRAQ"/>
    <s v="https://www.youtube.com/watch?v=4gDOjS0xRAQ"/>
    <s v="none"/>
    <n v="2"/>
    <x v="299"/>
    <d v="2020-04-11T12:33:26.000"/>
    <m/>
    <m/>
    <s v=""/>
    <n v="1"/>
    <s v="7"/>
    <s v="7"/>
    <n v="0"/>
    <n v="0"/>
    <n v="0"/>
    <n v="0"/>
    <n v="0"/>
    <n v="0"/>
    <n v="12"/>
    <n v="100"/>
    <n v="12"/>
  </r>
  <r>
    <s v="UCVS6ZFwdDcrSBNkpaTw8sYw"/>
    <s v="UCIujpQDjxt8TLzSMzuXAjjw"/>
    <s v="192, 192, 192"/>
    <n v="3"/>
    <m/>
    <n v="40"/>
    <m/>
    <m/>
    <m/>
    <m/>
    <s v="No"/>
    <n v="303"/>
    <m/>
    <m/>
    <s v="Commented Video"/>
    <x v="0"/>
    <s v="tnx.ser"/>
    <s v="UCVS6ZFwdDcrSBNkpaTw8sYw"/>
    <s v="Devendra Kumar"/>
    <s v="http://www.youtube.com/channel/UCVS6ZFwdDcrSBNkpaTw8sYw"/>
    <m/>
    <s v="4gDOjS0xRAQ"/>
    <s v="https://www.youtube.com/watch?v=4gDOjS0xRAQ"/>
    <s v="none"/>
    <n v="1"/>
    <x v="300"/>
    <d v="2020-04-11T13:20:43.000"/>
    <m/>
    <m/>
    <s v=""/>
    <n v="1"/>
    <s v="7"/>
    <s v="7"/>
    <n v="0"/>
    <n v="0"/>
    <n v="0"/>
    <n v="0"/>
    <n v="0"/>
    <n v="0"/>
    <n v="2"/>
    <n v="100"/>
    <n v="2"/>
  </r>
  <r>
    <s v="UC7gf4_Jvu_tlYUwoQHXHJjA"/>
    <s v="UCIujpQDjxt8TLzSMzuXAjjw"/>
    <s v="192, 192, 192"/>
    <n v="3"/>
    <m/>
    <n v="40"/>
    <m/>
    <m/>
    <m/>
    <m/>
    <s v="No"/>
    <n v="304"/>
    <m/>
    <m/>
    <s v="Commented Video"/>
    <x v="0"/>
    <s v="Thanks sir"/>
    <s v="UC7gf4_Jvu_tlYUwoQHXHJjA"/>
    <s v="Pharmacy Dost"/>
    <s v="http://www.youtube.com/channel/UC7gf4_Jvu_tlYUwoQHXHJjA"/>
    <m/>
    <s v="4gDOjS0xRAQ"/>
    <s v="https://www.youtube.com/watch?v=4gDOjS0xRAQ"/>
    <s v="none"/>
    <n v="1"/>
    <x v="301"/>
    <d v="2020-04-11T13:21:09.000"/>
    <m/>
    <m/>
    <s v=""/>
    <n v="1"/>
    <s v="7"/>
    <s v="7"/>
    <n v="0"/>
    <n v="0"/>
    <n v="0"/>
    <n v="0"/>
    <n v="0"/>
    <n v="0"/>
    <n v="2"/>
    <n v="100"/>
    <n v="2"/>
  </r>
  <r>
    <s v="UCqiBrHNTtizRMCUevmvfouw"/>
    <s v="UCIujpQDjxt8TLzSMzuXAjjw"/>
    <s v="192, 192, 192"/>
    <n v="3"/>
    <m/>
    <n v="40"/>
    <m/>
    <m/>
    <m/>
    <m/>
    <s v="No"/>
    <n v="305"/>
    <m/>
    <m/>
    <s v="Commented Video"/>
    <x v="0"/>
    <s v="Sir 4th sem. Cognosy ka video bnaiye"/>
    <s v="UCqiBrHNTtizRMCUevmvfouw"/>
    <s v="Deepak Sahu"/>
    <s v="http://www.youtube.com/channel/UCqiBrHNTtizRMCUevmvfouw"/>
    <m/>
    <s v="4gDOjS0xRAQ"/>
    <s v="https://www.youtube.com/watch?v=4gDOjS0xRAQ"/>
    <s v="none"/>
    <n v="1"/>
    <x v="302"/>
    <d v="2020-04-11T13:21:54.000"/>
    <m/>
    <m/>
    <s v=""/>
    <n v="1"/>
    <s v="7"/>
    <s v="7"/>
    <n v="0"/>
    <n v="0"/>
    <n v="0"/>
    <n v="0"/>
    <n v="0"/>
    <n v="0"/>
    <n v="7"/>
    <n v="100"/>
    <n v="7"/>
  </r>
  <r>
    <s v="UCAlZ6G359QGDKenPlmFZMXg"/>
    <s v="UCIujpQDjxt8TLzSMzuXAjjw"/>
    <s v="192, 192, 192"/>
    <n v="3"/>
    <m/>
    <n v="40"/>
    <m/>
    <m/>
    <m/>
    <m/>
    <s v="No"/>
    <n v="306"/>
    <m/>
    <m/>
    <s v="Commented Video"/>
    <x v="0"/>
    <s v="Bahut bahut sukriya sir ji"/>
    <s v="UCAlZ6G359QGDKenPlmFZMXg"/>
    <s v="Subhash"/>
    <s v="http://www.youtube.com/channel/UCAlZ6G359QGDKenPlmFZMXg"/>
    <m/>
    <s v="4gDOjS0xRAQ"/>
    <s v="https://www.youtube.com/watch?v=4gDOjS0xRAQ"/>
    <s v="none"/>
    <n v="1"/>
    <x v="303"/>
    <d v="2020-04-11T18:07:19.000"/>
    <m/>
    <m/>
    <s v=""/>
    <n v="1"/>
    <s v="7"/>
    <s v="7"/>
    <n v="0"/>
    <n v="0"/>
    <n v="0"/>
    <n v="0"/>
    <n v="0"/>
    <n v="0"/>
    <n v="5"/>
    <n v="100"/>
    <n v="5"/>
  </r>
  <r>
    <s v="UCIujpQDjxt8TLzSMzuXAjjw"/>
    <s v="UC6akKqRI4KiNYpwFdOMa2lg"/>
    <s v="192, 192, 192"/>
    <n v="3"/>
    <m/>
    <n v="40"/>
    <m/>
    <m/>
    <m/>
    <m/>
    <s v="Yes"/>
    <n v="307"/>
    <m/>
    <m/>
    <s v="Replied Comment"/>
    <x v="1"/>
    <s v="Treatment h&lt;br&gt;Usse cure nhi hota&lt;br&gt;Wo bhi jb 1st stage me h to"/>
    <s v="UCIujpQDjxt8TLzSMzuXAjjw"/>
    <s v="Kcl Tutorials"/>
    <s v="http://www.youtube.com/channel/UCIujpQDjxt8TLzSMzuXAjjw"/>
    <s v="UgwIDAHkamKdBEmOVEh4AaABAg"/>
    <s v="4gDOjS0xRAQ"/>
    <s v="https://www.youtube.com/watch?v=4gDOjS0xRAQ"/>
    <s v="none"/>
    <n v="0"/>
    <x v="304"/>
    <d v="2020-04-11T21:22:58.000"/>
    <m/>
    <m/>
    <s v=""/>
    <n v="1"/>
    <s v="7"/>
    <s v="7"/>
    <n v="1"/>
    <n v="6.25"/>
    <n v="0"/>
    <n v="0"/>
    <n v="0"/>
    <n v="0"/>
    <n v="15"/>
    <n v="93.75"/>
    <n v="16"/>
  </r>
  <r>
    <s v="UC6akKqRI4KiNYpwFdOMa2lg"/>
    <s v="UCIujpQDjxt8TLzSMzuXAjjw"/>
    <s v="192, 192, 192"/>
    <n v="3"/>
    <m/>
    <n v="40"/>
    <m/>
    <m/>
    <m/>
    <m/>
    <s v="Yes"/>
    <n v="308"/>
    <m/>
    <m/>
    <s v="Commented Video"/>
    <x v="0"/>
    <s v="Sir cancer lielez bimari h to phir antineoplastic drug ka use ku kia jata h"/>
    <s v="UC6akKqRI4KiNYpwFdOMa2lg"/>
    <s v="Abhishek Chaudhary"/>
    <s v="http://www.youtube.com/channel/UC6akKqRI4KiNYpwFdOMa2lg"/>
    <m/>
    <s v="4gDOjS0xRAQ"/>
    <s v="https://www.youtube.com/watch?v=4gDOjS0xRAQ"/>
    <s v="none"/>
    <n v="1"/>
    <x v="305"/>
    <d v="2020-04-11T15:46:26.000"/>
    <m/>
    <m/>
    <s v=""/>
    <n v="1"/>
    <s v="7"/>
    <s v="7"/>
    <n v="0"/>
    <n v="0"/>
    <n v="1"/>
    <n v="6.666666666666667"/>
    <n v="0"/>
    <n v="0"/>
    <n v="14"/>
    <n v="93.33333333333333"/>
    <n v="15"/>
  </r>
  <r>
    <s v="UCIujpQDjxt8TLzSMzuXAjjw"/>
    <s v="UC4YZR11kdjGyGDHhEkXptmQ"/>
    <s v="Red"/>
    <n v="10"/>
    <m/>
    <n v="15"/>
    <m/>
    <m/>
    <m/>
    <m/>
    <s v="Yes"/>
    <n v="309"/>
    <m/>
    <m/>
    <s v="Replied Comment"/>
    <x v="1"/>
    <s v="Ab kaise kre"/>
    <s v="UCIujpQDjxt8TLzSMzuXAjjw"/>
    <s v="Kcl Tutorials"/>
    <s v="http://www.youtube.com/channel/UCIujpQDjxt8TLzSMzuXAjjw"/>
    <s v="UgwTY9F_Z6HkhOYKD9l4AaABAg"/>
    <s v="4gDOjS0xRAQ"/>
    <s v="https://www.youtube.com/watch?v=4gDOjS0xRAQ"/>
    <s v="none"/>
    <n v="0"/>
    <x v="306"/>
    <d v="2020-04-11T21:20:19.000"/>
    <m/>
    <m/>
    <s v=""/>
    <n v="2"/>
    <s v="7"/>
    <s v="7"/>
    <n v="0"/>
    <n v="0"/>
    <n v="0"/>
    <n v="0"/>
    <n v="0"/>
    <n v="0"/>
    <n v="3"/>
    <n v="100"/>
    <n v="3"/>
  </r>
  <r>
    <s v="UC4YZR11kdjGyGDHhEkXptmQ"/>
    <s v="UC4YZR11kdjGyGDHhEkXptmQ"/>
    <s v="Red"/>
    <n v="10"/>
    <m/>
    <n v="15"/>
    <m/>
    <m/>
    <m/>
    <m/>
    <s v="No"/>
    <n v="310"/>
    <m/>
    <m/>
    <s v="Replied Comment"/>
    <x v="1"/>
    <s v="@Kcl Tutorials plz sir plz kr do only organic aur biochemistry k k kr do ya important topic kr do sir"/>
    <s v="UC4YZR11kdjGyGDHhEkXptmQ"/>
    <s v="Way"/>
    <s v="http://www.youtube.com/channel/UC4YZR11kdjGyGDHhEkXptmQ"/>
    <s v="UgwTY9F_Z6HkhOYKD9l4AaABAg"/>
    <s v="4gDOjS0xRAQ"/>
    <s v="https://www.youtube.com/watch?v=4gDOjS0xRAQ"/>
    <s v="none"/>
    <n v="0"/>
    <x v="307"/>
    <d v="2020-04-11T21:37:05.000"/>
    <m/>
    <m/>
    <s v=""/>
    <n v="2"/>
    <s v="7"/>
    <s v="7"/>
    <n v="1"/>
    <n v="4.761904761904762"/>
    <n v="0"/>
    <n v="0"/>
    <n v="0"/>
    <n v="0"/>
    <n v="20"/>
    <n v="95.23809523809524"/>
    <n v="21"/>
  </r>
  <r>
    <s v="UCIujpQDjxt8TLzSMzuXAjjw"/>
    <s v="UC4YZR11kdjGyGDHhEkXptmQ"/>
    <s v="Red"/>
    <n v="10"/>
    <m/>
    <n v="15"/>
    <m/>
    <m/>
    <m/>
    <m/>
    <s v="Yes"/>
    <n v="311"/>
    <m/>
    <m/>
    <s v="Replied Comment"/>
    <x v="1"/>
    <s v="Are malik uploaded h"/>
    <s v="UCIujpQDjxt8TLzSMzuXAjjw"/>
    <s v="Kcl Tutorials"/>
    <s v="http://www.youtube.com/channel/UCIujpQDjxt8TLzSMzuXAjjw"/>
    <s v="UgwTY9F_Z6HkhOYKD9l4AaABAg"/>
    <s v="4gDOjS0xRAQ"/>
    <s v="https://www.youtube.com/watch?v=4gDOjS0xRAQ"/>
    <s v="none"/>
    <n v="0"/>
    <x v="308"/>
    <d v="2020-04-11T21:45:41.000"/>
    <m/>
    <m/>
    <s v=""/>
    <n v="2"/>
    <s v="7"/>
    <s v="7"/>
    <n v="0"/>
    <n v="0"/>
    <n v="0"/>
    <n v="0"/>
    <n v="0"/>
    <n v="0"/>
    <n v="4"/>
    <n v="100"/>
    <n v="4"/>
  </r>
  <r>
    <s v="UC4YZR11kdjGyGDHhEkXptmQ"/>
    <s v="UC4YZR11kdjGyGDHhEkXptmQ"/>
    <s v="Red"/>
    <n v="10"/>
    <m/>
    <n v="15"/>
    <m/>
    <m/>
    <m/>
    <m/>
    <s v="No"/>
    <n v="312"/>
    <m/>
    <m/>
    <s v="Replied Comment"/>
    <x v="1"/>
    <s v="Sir 4 aur 5unit k nhi hai"/>
    <s v="UC4YZR11kdjGyGDHhEkXptmQ"/>
    <s v="Way"/>
    <s v="http://www.youtube.com/channel/UC4YZR11kdjGyGDHhEkXptmQ"/>
    <s v="UgwTY9F_Z6HkhOYKD9l4AaABAg"/>
    <s v="4gDOjS0xRAQ"/>
    <s v="https://www.youtube.com/watch?v=4gDOjS0xRAQ"/>
    <s v="none"/>
    <n v="0"/>
    <x v="309"/>
    <d v="2020-04-11T22:48:46.000"/>
    <m/>
    <m/>
    <s v=""/>
    <n v="2"/>
    <s v="7"/>
    <s v="7"/>
    <n v="0"/>
    <n v="0"/>
    <n v="0"/>
    <n v="0"/>
    <n v="0"/>
    <n v="0"/>
    <n v="7"/>
    <n v="100"/>
    <n v="7"/>
  </r>
  <r>
    <s v="UC4YZR11kdjGyGDHhEkXptmQ"/>
    <s v="UCIujpQDjxt8TLzSMzuXAjjw"/>
    <s v="192, 192, 192"/>
    <n v="3"/>
    <m/>
    <n v="40"/>
    <m/>
    <m/>
    <m/>
    <m/>
    <s v="Yes"/>
    <n v="313"/>
    <m/>
    <m/>
    <s v="Commented Video"/>
    <x v="0"/>
    <s v="Sir 2nd sem ki vedio upload kr do b pharma ki"/>
    <s v="UC4YZR11kdjGyGDHhEkXptmQ"/>
    <s v="Way"/>
    <s v="http://www.youtube.com/channel/UC4YZR11kdjGyGDHhEkXptmQ"/>
    <m/>
    <s v="4gDOjS0xRAQ"/>
    <s v="https://www.youtube.com/watch?v=4gDOjS0xRAQ"/>
    <s v="none"/>
    <n v="1"/>
    <x v="310"/>
    <d v="2020-04-11T16:28:40.000"/>
    <m/>
    <m/>
    <s v=""/>
    <n v="1"/>
    <s v="7"/>
    <s v="7"/>
    <n v="0"/>
    <n v="0"/>
    <n v="0"/>
    <n v="0"/>
    <n v="0"/>
    <n v="0"/>
    <n v="11"/>
    <n v="100"/>
    <n v="11"/>
  </r>
  <r>
    <s v="UCrmQ6-MSQwoB-yglmWm4OFA"/>
    <s v="UCIujpQDjxt8TLzSMzuXAjjw"/>
    <s v="192, 192, 192"/>
    <n v="3"/>
    <m/>
    <n v="40"/>
    <m/>
    <m/>
    <m/>
    <m/>
    <s v="No"/>
    <n v="314"/>
    <m/>
    <m/>
    <s v="Commented Video"/>
    <x v="0"/>
    <s v="Jai Ho prabhu"/>
    <s v="UCrmQ6-MSQwoB-yglmWm4OFA"/>
    <s v="Satya Ganga Prayagraj"/>
    <s v="http://www.youtube.com/channel/UCrmQ6-MSQwoB-yglmWm4OFA"/>
    <m/>
    <s v="4gDOjS0xRAQ"/>
    <s v="https://www.youtube.com/watch?v=4gDOjS0xRAQ"/>
    <s v="none"/>
    <n v="1"/>
    <x v="311"/>
    <d v="2020-04-11T17:45:49.000"/>
    <m/>
    <m/>
    <s v=""/>
    <n v="1"/>
    <s v="7"/>
    <s v="7"/>
    <n v="0"/>
    <n v="0"/>
    <n v="0"/>
    <n v="0"/>
    <n v="0"/>
    <n v="0"/>
    <n v="3"/>
    <n v="100"/>
    <n v="3"/>
  </r>
  <r>
    <s v="UCGEym27HkmD-2LaPugtHCig"/>
    <s v="UCIujpQDjxt8TLzSMzuXAjjw"/>
    <s v="192, 192, 192"/>
    <n v="3"/>
    <m/>
    <n v="40"/>
    <m/>
    <m/>
    <m/>
    <m/>
    <s v="No"/>
    <n v="315"/>
    <m/>
    <m/>
    <s v="Commented Video"/>
    <x v="0"/>
    <s v="Thank you sir"/>
    <s v="UCGEym27HkmD-2LaPugtHCig"/>
    <s v="Syedwalidahmad Syedwalidahmad"/>
    <s v="http://www.youtube.com/channel/UCGEym27HkmD-2LaPugtHCig"/>
    <m/>
    <s v="4gDOjS0xRAQ"/>
    <s v="https://www.youtube.com/watch?v=4gDOjS0xRAQ"/>
    <s v="none"/>
    <n v="2"/>
    <x v="312"/>
    <d v="2020-04-11T20:39:21.000"/>
    <m/>
    <m/>
    <s v=""/>
    <n v="1"/>
    <s v="7"/>
    <s v="7"/>
    <n v="1"/>
    <n v="33.333333333333336"/>
    <n v="0"/>
    <n v="0"/>
    <n v="0"/>
    <n v="0"/>
    <n v="2"/>
    <n v="66.66666666666667"/>
    <n v="3"/>
  </r>
  <r>
    <s v="UCb230vB4eVv_L-0M53yNGxQ"/>
    <s v="UCIujpQDjxt8TLzSMzuXAjjw"/>
    <s v="192, 192, 192"/>
    <n v="3"/>
    <m/>
    <n v="40"/>
    <m/>
    <m/>
    <m/>
    <m/>
    <s v="No"/>
    <n v="316"/>
    <m/>
    <m/>
    <s v="Commented Video"/>
    <x v="0"/>
    <s v="Love you so much bhai 😘"/>
    <s v="UCb230vB4eVv_L-0M53yNGxQ"/>
    <s v="Dinesh Kumar gupta"/>
    <s v="http://www.youtube.com/channel/UCb230vB4eVv_L-0M53yNGxQ"/>
    <m/>
    <s v="4gDOjS0xRAQ"/>
    <s v="https://www.youtube.com/watch?v=4gDOjS0xRAQ"/>
    <s v="none"/>
    <n v="1"/>
    <x v="313"/>
    <d v="2020-04-11T21:22:14.000"/>
    <m/>
    <m/>
    <s v=""/>
    <n v="1"/>
    <s v="7"/>
    <s v="7"/>
    <n v="1"/>
    <n v="20"/>
    <n v="0"/>
    <n v="0"/>
    <n v="0"/>
    <n v="0"/>
    <n v="4"/>
    <n v="80"/>
    <n v="5"/>
  </r>
  <r>
    <s v="UCIujpQDjxt8TLzSMzuXAjjw"/>
    <s v="UCraN_8sc6GDjLQeDT22OAFw"/>
    <s v="192, 192, 192"/>
    <n v="3"/>
    <m/>
    <n v="40"/>
    <m/>
    <m/>
    <m/>
    <m/>
    <s v="Yes"/>
    <n v="317"/>
    <m/>
    <m/>
    <s v="Replied Comment"/>
    <x v="1"/>
    <s v="June"/>
    <s v="UCIujpQDjxt8TLzSMzuXAjjw"/>
    <s v="Kcl Tutorials"/>
    <s v="http://www.youtube.com/channel/UCIujpQDjxt8TLzSMzuXAjjw"/>
    <s v="UgxnRVRIRbCfiG-OE214AaABAg"/>
    <s v="4gDOjS0xRAQ"/>
    <s v="https://www.youtube.com/watch?v=4gDOjS0xRAQ"/>
    <s v="none"/>
    <n v="0"/>
    <x v="314"/>
    <d v="2020-04-12T09:36:20.000"/>
    <m/>
    <m/>
    <s v=""/>
    <n v="1"/>
    <s v="7"/>
    <s v="7"/>
    <n v="0"/>
    <n v="0"/>
    <n v="0"/>
    <n v="0"/>
    <n v="0"/>
    <n v="0"/>
    <n v="1"/>
    <n v="100"/>
    <n v="1"/>
  </r>
  <r>
    <s v="UCraN_8sc6GDjLQeDT22OAFw"/>
    <s v="UCraN_8sc6GDjLQeDT22OAFw"/>
    <s v="192, 192, 192"/>
    <n v="3"/>
    <m/>
    <n v="40"/>
    <m/>
    <m/>
    <m/>
    <m/>
    <s v="No"/>
    <n v="318"/>
    <m/>
    <m/>
    <s v="Replied Comment"/>
    <x v="1"/>
    <s v="@Kcl Tutorials thanks sir"/>
    <s v="UCraN_8sc6GDjLQeDT22OAFw"/>
    <s v="Kundan Kumar"/>
    <s v="http://www.youtube.com/channel/UCraN_8sc6GDjLQeDT22OAFw"/>
    <s v="UgxnRVRIRbCfiG-OE214AaABAg"/>
    <s v="4gDOjS0xRAQ"/>
    <s v="https://www.youtube.com/watch?v=4gDOjS0xRAQ"/>
    <s v="none"/>
    <n v="0"/>
    <x v="315"/>
    <d v="2020-04-12T09:53:37.000"/>
    <m/>
    <m/>
    <s v=""/>
    <n v="1"/>
    <s v="7"/>
    <s v="7"/>
    <n v="0"/>
    <n v="0"/>
    <n v="0"/>
    <n v="0"/>
    <n v="0"/>
    <n v="0"/>
    <n v="4"/>
    <n v="100"/>
    <n v="4"/>
  </r>
  <r>
    <s v="UCraN_8sc6GDjLQeDT22OAFw"/>
    <s v="UCIujpQDjxt8TLzSMzuXAjjw"/>
    <s v="192, 192, 192"/>
    <n v="3"/>
    <m/>
    <n v="40"/>
    <m/>
    <m/>
    <m/>
    <m/>
    <s v="Yes"/>
    <n v="319"/>
    <m/>
    <m/>
    <s v="Commented Video"/>
    <x v="0"/>
    <s v="Sir d. Pharma 1st year xam (up) ka kb ho skta h"/>
    <s v="UCraN_8sc6GDjLQeDT22OAFw"/>
    <s v="Kundan Kumar"/>
    <s v="http://www.youtube.com/channel/UCraN_8sc6GDjLQeDT22OAFw"/>
    <m/>
    <s v="4gDOjS0xRAQ"/>
    <s v="https://www.youtube.com/watch?v=4gDOjS0xRAQ"/>
    <s v="none"/>
    <n v="1"/>
    <x v="316"/>
    <d v="2020-04-12T03:14:13.000"/>
    <m/>
    <m/>
    <s v=""/>
    <n v="1"/>
    <s v="7"/>
    <s v="7"/>
    <n v="0"/>
    <n v="0"/>
    <n v="0"/>
    <n v="0"/>
    <n v="0"/>
    <n v="0"/>
    <n v="12"/>
    <n v="100"/>
    <n v="12"/>
  </r>
  <r>
    <s v="UCYn8uPJhCUl9uolI0hLM2Qg"/>
    <s v="UCIujpQDjxt8TLzSMzuXAjjw"/>
    <s v="192, 192, 192"/>
    <n v="3"/>
    <m/>
    <n v="40"/>
    <m/>
    <m/>
    <m/>
    <m/>
    <s v="No"/>
    <n v="320"/>
    <m/>
    <m/>
    <s v="Commented Video"/>
    <x v="0"/>
    <s v="Thanks sir&lt;br&gt;&lt;br&gt;Sir pharmacognosy ke marphology and microscopy pada digiye"/>
    <s v="UCYn8uPJhCUl9uolI0hLM2Qg"/>
    <s v="DRx Shivam Kumar"/>
    <s v="http://www.youtube.com/channel/UCYn8uPJhCUl9uolI0hLM2Qg"/>
    <m/>
    <s v="4gDOjS0xRAQ"/>
    <s v="https://www.youtube.com/watch?v=4gDOjS0xRAQ"/>
    <s v="none"/>
    <n v="2"/>
    <x v="317"/>
    <d v="2020-04-12T03:52:23.000"/>
    <m/>
    <m/>
    <s v=""/>
    <n v="1"/>
    <s v="7"/>
    <s v="7"/>
    <n v="0"/>
    <n v="0"/>
    <n v="0"/>
    <n v="0"/>
    <n v="0"/>
    <n v="0"/>
    <n v="12"/>
    <n v="100"/>
    <n v="12"/>
  </r>
  <r>
    <s v="UCapJ7xVlHB20PKPeJFFCeOQ"/>
    <s v="UCIujpQDjxt8TLzSMzuXAjjw"/>
    <s v="192, 192, 192"/>
    <n v="3"/>
    <m/>
    <n v="40"/>
    <m/>
    <m/>
    <m/>
    <m/>
    <s v="No"/>
    <n v="321"/>
    <m/>
    <m/>
    <s v="Commented Video"/>
    <x v="0"/>
    <s v="धन्यवाद सर"/>
    <s v="UCapJ7xVlHB20PKPeJFFCeOQ"/>
    <s v="Shrawan Gupta"/>
    <s v="http://www.youtube.com/channel/UCapJ7xVlHB20PKPeJFFCeOQ"/>
    <m/>
    <s v="4gDOjS0xRAQ"/>
    <s v="https://www.youtube.com/watch?v=4gDOjS0xRAQ"/>
    <s v="none"/>
    <n v="1"/>
    <x v="318"/>
    <d v="2020-04-12T09:02:57.000"/>
    <m/>
    <m/>
    <s v=""/>
    <n v="1"/>
    <s v="7"/>
    <s v="7"/>
    <n v="0"/>
    <n v="0"/>
    <n v="0"/>
    <n v="0"/>
    <n v="0"/>
    <n v="0"/>
    <n v="4"/>
    <n v="100"/>
    <n v="4"/>
  </r>
  <r>
    <s v="UCBL7PZewOdecU9J_-LkUefg"/>
    <s v="UCIujpQDjxt8TLzSMzuXAjjw"/>
    <s v="192, 192, 192"/>
    <n v="3"/>
    <m/>
    <n v="40"/>
    <m/>
    <m/>
    <m/>
    <m/>
    <s v="No"/>
    <n v="322"/>
    <m/>
    <m/>
    <s v="Commented Video"/>
    <x v="0"/>
    <s v="Thank you sir"/>
    <s v="UCBL7PZewOdecU9J_-LkUefg"/>
    <s v="Mohammad khalid Ansari"/>
    <s v="http://www.youtube.com/channel/UCBL7PZewOdecU9J_-LkUefg"/>
    <m/>
    <s v="4gDOjS0xRAQ"/>
    <s v="https://www.youtube.com/watch?v=4gDOjS0xRAQ"/>
    <s v="none"/>
    <n v="1"/>
    <x v="319"/>
    <d v="2020-04-12T13:59:09.000"/>
    <m/>
    <m/>
    <s v=""/>
    <n v="1"/>
    <s v="7"/>
    <s v="7"/>
    <n v="1"/>
    <n v="33.333333333333336"/>
    <n v="0"/>
    <n v="0"/>
    <n v="0"/>
    <n v="0"/>
    <n v="2"/>
    <n v="66.66666666666667"/>
    <n v="3"/>
  </r>
  <r>
    <s v="UC2J5M9P0rhxNR7GHdQMBKmw"/>
    <s v="UCIujpQDjxt8TLzSMzuXAjjw"/>
    <s v="192, 192, 192"/>
    <n v="3"/>
    <m/>
    <n v="40"/>
    <m/>
    <m/>
    <m/>
    <m/>
    <s v="No"/>
    <n v="323"/>
    <m/>
    <m/>
    <s v="Commented Video"/>
    <x v="0"/>
    <s v="Sir, chapter epidemiology ka Video upload kar dijiyega"/>
    <s v="UC2J5M9P0rhxNR7GHdQMBKmw"/>
    <s v="Sp Singh"/>
    <s v="http://www.youtube.com/channel/UC2J5M9P0rhxNR7GHdQMBKmw"/>
    <m/>
    <s v="4gDOjS0xRAQ"/>
    <s v="https://www.youtube.com/watch?v=4gDOjS0xRAQ"/>
    <s v="none"/>
    <n v="1"/>
    <x v="320"/>
    <d v="2020-04-13T13:56:50.000"/>
    <m/>
    <m/>
    <s v=""/>
    <n v="1"/>
    <s v="7"/>
    <s v="7"/>
    <n v="0"/>
    <n v="0"/>
    <n v="0"/>
    <n v="0"/>
    <n v="0"/>
    <n v="0"/>
    <n v="8"/>
    <n v="100"/>
    <n v="8"/>
  </r>
  <r>
    <s v="UCIujpQDjxt8TLzSMzuXAjjw"/>
    <s v="UCpp0iU7fUjHMhJutFJ5hqwQ"/>
    <s v="192, 192, 192"/>
    <n v="3"/>
    <m/>
    <n v="40"/>
    <m/>
    <m/>
    <m/>
    <m/>
    <s v="Yes"/>
    <n v="324"/>
    <m/>
    <m/>
    <s v="Replied Comment"/>
    <x v="1"/>
    <s v="آسف عزيزي في الواقع الآن أيام نحن الشعوب مشغولون للغاية في المستشفيات بسبب الهالة"/>
    <s v="UCIujpQDjxt8TLzSMzuXAjjw"/>
    <s v="Kcl Tutorials"/>
    <s v="http://www.youtube.com/channel/UCIujpQDjxt8TLzSMzuXAjjw"/>
    <s v="UgykEx_nxU6dC6Xxc5B4AaABAg"/>
    <s v="4gDOjS0xRAQ"/>
    <s v="https://www.youtube.com/watch?v=4gDOjS0xRAQ"/>
    <s v="none"/>
    <n v="1"/>
    <x v="321"/>
    <d v="2020-04-14T19:31:41.000"/>
    <m/>
    <m/>
    <s v=""/>
    <n v="1"/>
    <s v="7"/>
    <s v="7"/>
    <n v="0"/>
    <n v="0"/>
    <n v="0"/>
    <n v="0"/>
    <n v="0"/>
    <n v="0"/>
    <n v="14"/>
    <n v="100"/>
    <n v="14"/>
  </r>
  <r>
    <s v="UCpp0iU7fUjHMhJutFJ5hqwQ"/>
    <s v="UCIujpQDjxt8TLzSMzuXAjjw"/>
    <s v="192, 192, 192"/>
    <n v="3"/>
    <m/>
    <n v="40"/>
    <m/>
    <m/>
    <m/>
    <m/>
    <s v="Yes"/>
    <n v="325"/>
    <m/>
    <m/>
    <s v="Commented Video"/>
    <x v="0"/>
    <s v="Sir plz epidemiology or demography k uper video Bana dijiye"/>
    <s v="UCpp0iU7fUjHMhJutFJ5hqwQ"/>
    <s v="Ruksar khatun"/>
    <s v="http://www.youtube.com/channel/UCpp0iU7fUjHMhJutFJ5hqwQ"/>
    <m/>
    <s v="4gDOjS0xRAQ"/>
    <s v="https://www.youtube.com/watch?v=4gDOjS0xRAQ"/>
    <s v="none"/>
    <n v="1"/>
    <x v="322"/>
    <d v="2020-04-14T16:48:24.000"/>
    <m/>
    <m/>
    <s v=""/>
    <n v="1"/>
    <s v="7"/>
    <s v="7"/>
    <n v="0"/>
    <n v="0"/>
    <n v="0"/>
    <n v="0"/>
    <n v="0"/>
    <n v="0"/>
    <n v="10"/>
    <n v="100"/>
    <n v="10"/>
  </r>
  <r>
    <s v="UCIujpQDjxt8TLzSMzuXAjjw"/>
    <s v="UCkgiLQlD4U6Hz6srDd_ULHQ"/>
    <s v="192, 192, 192"/>
    <n v="3"/>
    <m/>
    <n v="40"/>
    <m/>
    <m/>
    <m/>
    <m/>
    <s v="Yes"/>
    <n v="326"/>
    <m/>
    <m/>
    <s v="Replied Comment"/>
    <x v="1"/>
    <s v="Man laga kar"/>
    <s v="UCIujpQDjxt8TLzSMzuXAjjw"/>
    <s v="Kcl Tutorials"/>
    <s v="http://www.youtube.com/channel/UCIujpQDjxt8TLzSMzuXAjjw"/>
    <s v="UgwvPadWCeAiNnbJU-l4AaABAg"/>
    <s v="4gDOjS0xRAQ"/>
    <s v="https://www.youtube.com/watch?v=4gDOjS0xRAQ"/>
    <s v="none"/>
    <n v="1"/>
    <x v="323"/>
    <d v="2020-04-23T08:09:44.000"/>
    <m/>
    <m/>
    <s v=""/>
    <n v="1"/>
    <s v="7"/>
    <s v="7"/>
    <n v="0"/>
    <n v="0"/>
    <n v="0"/>
    <n v="0"/>
    <n v="0"/>
    <n v="0"/>
    <n v="3"/>
    <n v="100"/>
    <n v="3"/>
  </r>
  <r>
    <s v="UCkgiLQlD4U6Hz6srDd_ULHQ"/>
    <s v="UCIujpQDjxt8TLzSMzuXAjjw"/>
    <s v="192, 192, 192"/>
    <n v="3"/>
    <m/>
    <n v="40"/>
    <m/>
    <m/>
    <m/>
    <m/>
    <s v="Yes"/>
    <n v="327"/>
    <m/>
    <m/>
    <s v="Commented Video"/>
    <x v="0"/>
    <s v="Sir Aiims (Pharmacist) ka kaise taiyari kre , please btaye"/>
    <s v="UCkgiLQlD4U6Hz6srDd_ULHQ"/>
    <s v="All in one solutions"/>
    <s v="http://www.youtube.com/channel/UCkgiLQlD4U6Hz6srDd_ULHQ"/>
    <m/>
    <s v="4gDOjS0xRAQ"/>
    <s v="https://www.youtube.com/watch?v=4gDOjS0xRAQ"/>
    <s v="none"/>
    <n v="1"/>
    <x v="324"/>
    <d v="2020-04-23T06:31:30.000"/>
    <m/>
    <m/>
    <s v=""/>
    <n v="1"/>
    <s v="7"/>
    <s v="7"/>
    <n v="0"/>
    <n v="0"/>
    <n v="0"/>
    <n v="0"/>
    <n v="0"/>
    <n v="0"/>
    <n v="9"/>
    <n v="100"/>
    <n v="9"/>
  </r>
  <r>
    <s v="UCosx9YdqYSNwk9N7QU_jTaA"/>
    <s v="UCIujpQDjxt8TLzSMzuXAjjw"/>
    <s v="Red"/>
    <n v="10"/>
    <m/>
    <n v="15"/>
    <m/>
    <m/>
    <m/>
    <m/>
    <s v="Yes"/>
    <n v="328"/>
    <m/>
    <m/>
    <s v="Commented Video"/>
    <x v="0"/>
    <s v="Thankyou sir"/>
    <s v="UCosx9YdqYSNwk9N7QU_jTaA"/>
    <s v="Srivastava Pharmacy"/>
    <s v="http://www.youtube.com/channel/UCosx9YdqYSNwk9N7QU_jTaA"/>
    <m/>
    <s v="4gDOjS0xRAQ"/>
    <s v="https://www.youtube.com/watch?v=4gDOjS0xRAQ"/>
    <s v="none"/>
    <n v="1"/>
    <x v="325"/>
    <d v="2020-04-26T17:20:05.000"/>
    <m/>
    <m/>
    <s v=""/>
    <n v="2"/>
    <s v="7"/>
    <s v="7"/>
    <n v="0"/>
    <n v="0"/>
    <n v="0"/>
    <n v="0"/>
    <n v="0"/>
    <n v="0"/>
    <n v="2"/>
    <n v="100"/>
    <n v="2"/>
  </r>
  <r>
    <s v="UCIujpQDjxt8TLzSMzuXAjjw"/>
    <s v="UCosx9YdqYSNwk9N7QU_jTaA"/>
    <s v="192, 192, 192"/>
    <n v="3"/>
    <m/>
    <n v="40"/>
    <m/>
    <m/>
    <m/>
    <m/>
    <s v="Yes"/>
    <n v="329"/>
    <m/>
    <m/>
    <s v="Replied Comment"/>
    <x v="1"/>
    <s v="Han"/>
    <s v="UCIujpQDjxt8TLzSMzuXAjjw"/>
    <s v="Kcl Tutorials"/>
    <s v="http://www.youtube.com/channel/UCIujpQDjxt8TLzSMzuXAjjw"/>
    <s v="Ugz7UyvudZLyV71RNa14AaABAg"/>
    <s v="4gDOjS0xRAQ"/>
    <s v="https://www.youtube.com/watch?v=4gDOjS0xRAQ"/>
    <s v="none"/>
    <n v="0"/>
    <x v="326"/>
    <d v="2020-04-26T19:54:07.000"/>
    <m/>
    <m/>
    <s v=""/>
    <n v="1"/>
    <s v="7"/>
    <s v="7"/>
    <n v="0"/>
    <n v="0"/>
    <n v="0"/>
    <n v="0"/>
    <n v="0"/>
    <n v="0"/>
    <n v="1"/>
    <n v="100"/>
    <n v="1"/>
  </r>
  <r>
    <s v="UCosx9YdqYSNwk9N7QU_jTaA"/>
    <s v="UCosx9YdqYSNwk9N7QU_jTaA"/>
    <s v="192, 192, 192"/>
    <n v="3"/>
    <m/>
    <n v="40"/>
    <m/>
    <m/>
    <m/>
    <m/>
    <s v="No"/>
    <n v="330"/>
    <m/>
    <m/>
    <s v="Replied Comment"/>
    <x v="1"/>
    <s v="@Kcl Tutorials ok sir"/>
    <s v="UCosx9YdqYSNwk9N7QU_jTaA"/>
    <s v="Srivastava Pharmacy"/>
    <s v="http://www.youtube.com/channel/UCosx9YdqYSNwk9N7QU_jTaA"/>
    <s v="Ugz7UyvudZLyV71RNa14AaABAg"/>
    <s v="4gDOjS0xRAQ"/>
    <s v="https://www.youtube.com/watch?v=4gDOjS0xRAQ"/>
    <s v="none"/>
    <n v="0"/>
    <x v="327"/>
    <d v="2020-04-26T19:56:51.000"/>
    <m/>
    <m/>
    <s v=""/>
    <n v="1"/>
    <s v="7"/>
    <s v="7"/>
    <n v="0"/>
    <n v="0"/>
    <n v="0"/>
    <n v="0"/>
    <n v="0"/>
    <n v="0"/>
    <n v="4"/>
    <n v="100"/>
    <n v="4"/>
  </r>
  <r>
    <s v="UCosx9YdqYSNwk9N7QU_jTaA"/>
    <s v="UCIujpQDjxt8TLzSMzuXAjjw"/>
    <s v="Red"/>
    <n v="10"/>
    <m/>
    <n v="15"/>
    <m/>
    <m/>
    <m/>
    <m/>
    <s v="Yes"/>
    <n v="331"/>
    <m/>
    <m/>
    <s v="Commented Video"/>
    <x v="0"/>
    <s v="Sir kya ap ne jo description me links diya hai o links, D,phorma. 1st year sallybush me  important h"/>
    <s v="UCosx9YdqYSNwk9N7QU_jTaA"/>
    <s v="Srivastava Pharmacy"/>
    <s v="http://www.youtube.com/channel/UCosx9YdqYSNwk9N7QU_jTaA"/>
    <m/>
    <s v="4gDOjS0xRAQ"/>
    <s v="https://www.youtube.com/watch?v=4gDOjS0xRAQ"/>
    <s v="none"/>
    <n v="1"/>
    <x v="328"/>
    <d v="2020-04-26T17:49:29.000"/>
    <m/>
    <m/>
    <s v=""/>
    <n v="2"/>
    <s v="7"/>
    <s v="7"/>
    <n v="1"/>
    <n v="5"/>
    <n v="0"/>
    <n v="0"/>
    <n v="0"/>
    <n v="0"/>
    <n v="19"/>
    <n v="95"/>
    <n v="20"/>
  </r>
  <r>
    <s v="UC-jkgnXBbcyl-ltsL2wQvFQ"/>
    <s v="UCIujpQDjxt8TLzSMzuXAjjw"/>
    <s v="192, 192, 192"/>
    <n v="3"/>
    <m/>
    <n v="40"/>
    <m/>
    <m/>
    <m/>
    <m/>
    <s v="No"/>
    <n v="332"/>
    <m/>
    <m/>
    <s v="Commented Video"/>
    <x v="0"/>
    <s v="HECP pure syllabus par mcqs chahiye pharmacist exam preparation ke liye"/>
    <s v="UC-jkgnXBbcyl-ltsL2wQvFQ"/>
    <s v="sima lamture"/>
    <s v="http://www.youtube.com/channel/UC-jkgnXBbcyl-ltsL2wQvFQ"/>
    <m/>
    <s v="4gDOjS0xRAQ"/>
    <s v="https://www.youtube.com/watch?v=4gDOjS0xRAQ"/>
    <s v="none"/>
    <n v="2"/>
    <x v="329"/>
    <d v="2020-04-29T09:13:34.000"/>
    <m/>
    <m/>
    <s v=""/>
    <n v="1"/>
    <s v="7"/>
    <s v="7"/>
    <n v="1"/>
    <n v="9.090909090909092"/>
    <n v="0"/>
    <n v="0"/>
    <n v="0"/>
    <n v="0"/>
    <n v="10"/>
    <n v="90.9090909090909"/>
    <n v="11"/>
  </r>
  <r>
    <s v="UCIujpQDjxt8TLzSMzuXAjjw"/>
    <s v="UC4b5UQmRxkVpw80Pvt5G46w"/>
    <s v="192, 192, 192"/>
    <n v="3"/>
    <m/>
    <n v="40"/>
    <m/>
    <m/>
    <m/>
    <m/>
    <s v="Yes"/>
    <n v="333"/>
    <m/>
    <m/>
    <s v="Replied Comment"/>
    <x v="1"/>
    <s v="Ji upload kr rha hu&lt;br&gt;Ek part hua"/>
    <s v="UCIujpQDjxt8TLzSMzuXAjjw"/>
    <s v="Kcl Tutorials"/>
    <s v="http://www.youtube.com/channel/UCIujpQDjxt8TLzSMzuXAjjw"/>
    <s v="UgzOVzgo7bT5ZisAZEp4AaABAg"/>
    <s v="4gDOjS0xRAQ"/>
    <s v="https://www.youtube.com/watch?v=4gDOjS0xRAQ"/>
    <s v="none"/>
    <n v="0"/>
    <x v="330"/>
    <d v="2020-04-30T20:45:54.000"/>
    <m/>
    <m/>
    <s v=""/>
    <n v="1"/>
    <s v="7"/>
    <s v="7"/>
    <n v="0"/>
    <n v="0"/>
    <n v="0"/>
    <n v="0"/>
    <n v="0"/>
    <n v="0"/>
    <n v="9"/>
    <n v="100"/>
    <n v="9"/>
  </r>
  <r>
    <s v="UC4b5UQmRxkVpw80Pvt5G46w"/>
    <s v="UCIujpQDjxt8TLzSMzuXAjjw"/>
    <s v="192, 192, 192"/>
    <n v="3"/>
    <m/>
    <n v="40"/>
    <m/>
    <m/>
    <m/>
    <m/>
    <s v="Yes"/>
    <n v="334"/>
    <m/>
    <m/>
    <s v="Commented Video"/>
    <x v="0"/>
    <s v="Sir epidemiology par vedio banaiye sir"/>
    <s v="UC4b5UQmRxkVpw80Pvt5G46w"/>
    <s v="Rekha Rajvanshi"/>
    <s v="http://www.youtube.com/channel/UC4b5UQmRxkVpw80Pvt5G46w"/>
    <m/>
    <s v="4gDOjS0xRAQ"/>
    <s v="https://www.youtube.com/watch?v=4gDOjS0xRAQ"/>
    <s v="none"/>
    <n v="1"/>
    <x v="331"/>
    <d v="2020-04-30T17:56:26.000"/>
    <m/>
    <m/>
    <s v=""/>
    <n v="1"/>
    <s v="7"/>
    <s v="7"/>
    <n v="0"/>
    <n v="0"/>
    <n v="0"/>
    <n v="0"/>
    <n v="0"/>
    <n v="0"/>
    <n v="6"/>
    <n v="100"/>
    <n v="6"/>
  </r>
  <r>
    <s v="UC8Dzjd3fPgqbSNyL4U9nqoQ"/>
    <s v="UCIujpQDjxt8TLzSMzuXAjjw"/>
    <s v="192, 192, 192"/>
    <n v="3"/>
    <m/>
    <n v="40"/>
    <m/>
    <m/>
    <m/>
    <m/>
    <s v="No"/>
    <n v="335"/>
    <m/>
    <m/>
    <s v="Commented Video"/>
    <x v="0"/>
    <s v="Sir mujhe B.pharm ke notes chahiye.."/>
    <s v="UC8Dzjd3fPgqbSNyL4U9nqoQ"/>
    <s v="akash maddhesia"/>
    <s v="http://www.youtube.com/channel/UC8Dzjd3fPgqbSNyL4U9nqoQ"/>
    <m/>
    <s v="4gDOjS0xRAQ"/>
    <s v="https://www.youtube.com/watch?v=4gDOjS0xRAQ"/>
    <s v="none"/>
    <n v="1"/>
    <x v="332"/>
    <d v="2020-06-12T07:33:58.000"/>
    <m/>
    <m/>
    <s v=""/>
    <n v="1"/>
    <s v="7"/>
    <s v="7"/>
    <n v="0"/>
    <n v="0"/>
    <n v="0"/>
    <n v="0"/>
    <n v="0"/>
    <n v="0"/>
    <n v="7"/>
    <n v="100"/>
    <n v="7"/>
  </r>
  <r>
    <s v="UCB2VhTqhEoxcgWBy4mXQCwA"/>
    <s v="UCIujpQDjxt8TLzSMzuXAjjw"/>
    <s v="192, 192, 192"/>
    <n v="3"/>
    <m/>
    <n v="40"/>
    <m/>
    <m/>
    <m/>
    <m/>
    <s v="No"/>
    <n v="336"/>
    <m/>
    <m/>
    <s v="Commented Video"/>
    <x v="0"/>
    <s v="Good"/>
    <s v="UCB2VhTqhEoxcgWBy4mXQCwA"/>
    <s v="Ppj pharmacy"/>
    <s v="http://www.youtube.com/channel/UCB2VhTqhEoxcgWBy4mXQCwA"/>
    <m/>
    <s v="4gDOjS0xRAQ"/>
    <s v="https://www.youtube.com/watch?v=4gDOjS0xRAQ"/>
    <s v="none"/>
    <n v="1"/>
    <x v="333"/>
    <d v="2020-07-02T11:09:41.000"/>
    <m/>
    <m/>
    <s v=""/>
    <n v="1"/>
    <s v="7"/>
    <s v="7"/>
    <n v="1"/>
    <n v="100"/>
    <n v="0"/>
    <n v="0"/>
    <n v="0"/>
    <n v="0"/>
    <n v="0"/>
    <n v="0"/>
    <n v="1"/>
  </r>
  <r>
    <s v="UCIujpQDjxt8TLzSMzuXAjjw"/>
    <s v="UCLFvswvwPxHnO35giE2ez0w"/>
    <s v="192, 192, 192"/>
    <n v="3"/>
    <m/>
    <n v="40"/>
    <m/>
    <m/>
    <m/>
    <m/>
    <s v="Yes"/>
    <n v="337"/>
    <m/>
    <m/>
    <s v="Replied Comment"/>
    <x v="1"/>
    <s v="Sbse phle google me ha ik uska pci list me nam dekh lena"/>
    <s v="UCIujpQDjxt8TLzSMzuXAjjw"/>
    <s v="Kcl Tutorials"/>
    <s v="http://www.youtube.com/channel/UCIujpQDjxt8TLzSMzuXAjjw"/>
    <s v="UgxHMNvJLb2ezUHxM5B4AaABAg"/>
    <s v="4gDOjS0xRAQ"/>
    <s v="https://www.youtube.com/watch?v=4gDOjS0xRAQ"/>
    <s v="none"/>
    <n v="1"/>
    <x v="334"/>
    <d v="2020-07-04T15:41:50.000"/>
    <m/>
    <m/>
    <s v=""/>
    <n v="1"/>
    <s v="7"/>
    <s v="7"/>
    <n v="0"/>
    <n v="0"/>
    <n v="0"/>
    <n v="0"/>
    <n v="0"/>
    <n v="0"/>
    <n v="13"/>
    <n v="100"/>
    <n v="13"/>
  </r>
  <r>
    <s v="UCLFvswvwPxHnO35giE2ez0w"/>
    <s v="UCIujpQDjxt8TLzSMzuXAjjw"/>
    <s v="192, 192, 192"/>
    <n v="3"/>
    <m/>
    <n v="40"/>
    <m/>
    <m/>
    <m/>
    <m/>
    <s v="Yes"/>
    <n v="338"/>
    <m/>
    <m/>
    <s v="Commented Video"/>
    <x v="0"/>
    <s v="Sir d pharma me admission lena hai kase pta kare ki college froud nhi hai kyoki mere ek friend frod college me fas gya PLZZ help sir"/>
    <s v="UCLFvswvwPxHnO35giE2ez0w"/>
    <s v="Sachin Yadav"/>
    <s v="http://www.youtube.com/channel/UCLFvswvwPxHnO35giE2ez0w"/>
    <m/>
    <s v="4gDOjS0xRAQ"/>
    <s v="https://www.youtube.com/watch?v=4gDOjS0xRAQ"/>
    <s v="none"/>
    <n v="1"/>
    <x v="335"/>
    <d v="2020-07-03T05:31:49.000"/>
    <m/>
    <m/>
    <s v=""/>
    <n v="1"/>
    <s v="7"/>
    <s v="7"/>
    <n v="0"/>
    <n v="0"/>
    <n v="0"/>
    <n v="0"/>
    <n v="0"/>
    <n v="0"/>
    <n v="27"/>
    <n v="100"/>
    <n v="27"/>
  </r>
  <r>
    <s v="UCcclz3LfM5N7tD6YClELfvw"/>
    <s v="UCIujpQDjxt8TLzSMzuXAjjw"/>
    <s v="192, 192, 192"/>
    <n v="3"/>
    <m/>
    <n v="40"/>
    <m/>
    <m/>
    <m/>
    <m/>
    <s v="No"/>
    <n v="339"/>
    <m/>
    <m/>
    <s v="Commented Video"/>
    <x v="0"/>
    <s v="sir chaptet 10 kaha hai"/>
    <s v="UCcclz3LfM5N7tD6YClELfvw"/>
    <s v="GUNJAN PANDEY lonavala"/>
    <s v="http://www.youtube.com/channel/UCcclz3LfM5N7tD6YClELfvw"/>
    <m/>
    <s v="4gDOjS0xRAQ"/>
    <s v="https://www.youtube.com/watch?v=4gDOjS0xRAQ"/>
    <s v="none"/>
    <n v="0"/>
    <x v="336"/>
    <d v="2021-04-07T20:07:44.000"/>
    <m/>
    <m/>
    <s v=""/>
    <n v="1"/>
    <s v="7"/>
    <s v="7"/>
    <n v="0"/>
    <n v="0"/>
    <n v="0"/>
    <n v="0"/>
    <n v="0"/>
    <n v="0"/>
    <n v="5"/>
    <n v="100"/>
    <n v="5"/>
  </r>
  <r>
    <s v="UCemdRq8VR5OiophHxaKdFfA"/>
    <s v="UCTl32ukBGG3FGRX7ZfZwVTw"/>
    <s v="192, 192, 192"/>
    <n v="3"/>
    <m/>
    <n v="40"/>
    <m/>
    <m/>
    <m/>
    <m/>
    <s v="No"/>
    <n v="340"/>
    <m/>
    <m/>
    <s v="Commented Video"/>
    <x v="0"/>
    <s v="Thank you, for the explanation. This video is very useful"/>
    <s v="UCemdRq8VR5OiophHxaKdFfA"/>
    <s v="rekamega Sari"/>
    <s v="http://www.youtube.com/channel/UCemdRq8VR5OiophHxaKdFfA"/>
    <m/>
    <s v="lruYVSGcxHs"/>
    <s v="https://www.youtube.com/watch?v=lruYVSGcxHs"/>
    <s v="none"/>
    <n v="0"/>
    <x v="337"/>
    <d v="2019-04-09T13:32:30.000"/>
    <m/>
    <m/>
    <s v=""/>
    <n v="1"/>
    <s v="4"/>
    <s v="4"/>
    <n v="2"/>
    <n v="20"/>
    <n v="0"/>
    <n v="0"/>
    <n v="0"/>
    <n v="0"/>
    <n v="8"/>
    <n v="80"/>
    <n v="10"/>
  </r>
  <r>
    <s v="UChq4mVpPVEDxRxXtT-rBX1w"/>
    <s v="UCTl32ukBGG3FGRX7ZfZwVTw"/>
    <s v="192, 192, 192"/>
    <n v="3"/>
    <m/>
    <n v="40"/>
    <m/>
    <m/>
    <m/>
    <m/>
    <s v="No"/>
    <n v="341"/>
    <m/>
    <m/>
    <s v="Commented Video"/>
    <x v="0"/>
    <s v="Thanks"/>
    <s v="UChq4mVpPVEDxRxXtT-rBX1w"/>
    <s v="Piera Phiri"/>
    <s v="http://www.youtube.com/channel/UChq4mVpPVEDxRxXtT-rBX1w"/>
    <m/>
    <s v="lruYVSGcxHs"/>
    <s v="https://www.youtube.com/watch?v=lruYVSGcxHs"/>
    <s v="none"/>
    <n v="0"/>
    <x v="338"/>
    <d v="2019-06-16T14:38:20.000"/>
    <m/>
    <m/>
    <s v=""/>
    <n v="1"/>
    <s v="4"/>
    <s v="4"/>
    <n v="0"/>
    <n v="0"/>
    <n v="0"/>
    <n v="0"/>
    <n v="0"/>
    <n v="0"/>
    <n v="1"/>
    <n v="100"/>
    <n v="1"/>
  </r>
  <r>
    <s v="UCQ2Lgfym1M6v50JEm5P7uJw"/>
    <s v="UCTl32ukBGG3FGRX7ZfZwVTw"/>
    <s v="192, 192, 192"/>
    <n v="3"/>
    <m/>
    <n v="40"/>
    <m/>
    <m/>
    <m/>
    <m/>
    <s v="No"/>
    <n v="342"/>
    <m/>
    <m/>
    <s v="Commented Video"/>
    <x v="0"/>
    <s v="This is awesome , great work."/>
    <s v="UCQ2Lgfym1M6v50JEm5P7uJw"/>
    <s v="NORBERT DUKUZE"/>
    <s v="http://www.youtube.com/channel/UCQ2Lgfym1M6v50JEm5P7uJw"/>
    <m/>
    <s v="lruYVSGcxHs"/>
    <s v="https://www.youtube.com/watch?v=lruYVSGcxHs"/>
    <s v="none"/>
    <n v="0"/>
    <x v="339"/>
    <d v="2019-12-06T16:04:35.000"/>
    <m/>
    <m/>
    <s v=""/>
    <n v="1"/>
    <s v="4"/>
    <s v="4"/>
    <n v="3"/>
    <n v="60"/>
    <n v="0"/>
    <n v="0"/>
    <n v="0"/>
    <n v="0"/>
    <n v="2"/>
    <n v="40"/>
    <n v="5"/>
  </r>
  <r>
    <s v="UCS0bq3n9kirVOTorva8UKJg"/>
    <s v="UCTl32ukBGG3FGRX7ZfZwVTw"/>
    <s v="192, 192, 192"/>
    <n v="3"/>
    <m/>
    <n v="40"/>
    <m/>
    <m/>
    <m/>
    <m/>
    <s v="No"/>
    <n v="343"/>
    <m/>
    <m/>
    <s v="Commented Video"/>
    <x v="0"/>
    <s v="Hello"/>
    <s v="UCS0bq3n9kirVOTorva8UKJg"/>
    <s v="Red Malabanan"/>
    <s v="http://www.youtube.com/channel/UCS0bq3n9kirVOTorva8UKJg"/>
    <m/>
    <s v="lruYVSGcxHs"/>
    <s v="https://www.youtube.com/watch?v=lruYVSGcxHs"/>
    <s v="none"/>
    <n v="0"/>
    <x v="340"/>
    <d v="2021-04-28T04:01:40.000"/>
    <m/>
    <m/>
    <s v=""/>
    <n v="1"/>
    <s v="4"/>
    <s v="4"/>
    <n v="0"/>
    <n v="0"/>
    <n v="0"/>
    <n v="0"/>
    <n v="0"/>
    <n v="0"/>
    <n v="1"/>
    <n v="100"/>
    <n v="1"/>
  </r>
  <r>
    <s v="UC4JxCdHEY3pnZFueFf7Irug"/>
    <s v="UCJqYJTdXhhFqLbJii990qQA"/>
    <s v="192, 192, 192"/>
    <n v="3"/>
    <m/>
    <n v="40"/>
    <m/>
    <m/>
    <m/>
    <m/>
    <s v="No"/>
    <n v="344"/>
    <m/>
    <m/>
    <s v="Commented Video"/>
    <x v="0"/>
    <s v="nice"/>
    <s v="UC4JxCdHEY3pnZFueFf7Irug"/>
    <s v="XtermKent"/>
    <s v="http://www.youtube.com/channel/UC4JxCdHEY3pnZFueFf7Irug"/>
    <m/>
    <s v="CjLTpEupuf8"/>
    <s v="https://www.youtube.com/watch?v=CjLTpEupuf8"/>
    <s v="none"/>
    <n v="1"/>
    <x v="341"/>
    <d v="2021-04-14T05:30:35.000"/>
    <m/>
    <m/>
    <s v=""/>
    <n v="1"/>
    <s v="23"/>
    <s v="23"/>
    <n v="1"/>
    <n v="100"/>
    <n v="0"/>
    <n v="0"/>
    <n v="0"/>
    <n v="0"/>
    <n v="0"/>
    <n v="0"/>
    <n v="1"/>
  </r>
  <r>
    <s v="UCABafRXyzThI13jVSDdTMBA"/>
    <s v="UCsT0YIqwnpJCM-mx7-gSA4Q"/>
    <s v="192, 192, 192"/>
    <n v="3"/>
    <m/>
    <n v="40"/>
    <m/>
    <m/>
    <m/>
    <m/>
    <s v="No"/>
    <n v="345"/>
    <m/>
    <m/>
    <s v="Commented Video"/>
    <x v="0"/>
    <s v="Vinaka vakalevu.....God bless you as you continuously spred the word for good health."/>
    <s v="UCABafRXyzThI13jVSDdTMBA"/>
    <s v="joe levu"/>
    <s v="http://www.youtube.com/channel/UCABafRXyzThI13jVSDdTMBA"/>
    <m/>
    <s v="xS_txj05aTQ"/>
    <s v="https://www.youtube.com/watch?v=xS_txj05aTQ"/>
    <s v="none"/>
    <n v="0"/>
    <x v="342"/>
    <d v="2016-06-02T01:26:10.000"/>
    <m/>
    <m/>
    <s v=""/>
    <n v="1"/>
    <s v="10"/>
    <s v="10"/>
    <n v="2"/>
    <n v="14.285714285714286"/>
    <n v="0"/>
    <n v="0"/>
    <n v="0"/>
    <n v="0"/>
    <n v="12"/>
    <n v="85.71428571428571"/>
    <n v="14"/>
  </r>
  <r>
    <s v="UCbwAbzjiQXy7VMT5cCINu2w"/>
    <s v="UCQC4_qoaL5N9-AzVgjC_5-A"/>
    <s v="192, 192, 192"/>
    <n v="3"/>
    <m/>
    <n v="40"/>
    <m/>
    <m/>
    <m/>
    <m/>
    <s v="No"/>
    <n v="346"/>
    <m/>
    <m/>
    <s v="Replied Comment"/>
    <x v="1"/>
    <s v="agreed. Stop growing the Sugar cane the Brits wanted you to farm, and go back to growing local indigenous herbs. Reclaim your medical traditions! It will serve Fiji well, and it can be very fun and rewarding to reclaim your culture and values. Holistic medicine is the way forward. Get the population to tend towards the Keto diet or at least the paleo diet. Decrease carbs and increase good fats like coconut oil."/>
    <s v="UCbwAbzjiQXy7VMT5cCINu2w"/>
    <s v="Clint Pot"/>
    <s v="http://www.youtube.com/channel/UCbwAbzjiQXy7VMT5cCINu2w"/>
    <s v="UgjwNMMzVcsuangCoAEC"/>
    <s v="xS_txj05aTQ"/>
    <s v="https://www.youtube.com/watch?v=xS_txj05aTQ"/>
    <s v="none"/>
    <n v="1"/>
    <x v="343"/>
    <d v="2019-04-28T16:02:03.000"/>
    <m/>
    <m/>
    <s v=""/>
    <n v="1"/>
    <s v="10"/>
    <s v="10"/>
    <n v="7"/>
    <n v="9.58904109589041"/>
    <n v="0"/>
    <n v="0"/>
    <n v="0"/>
    <n v="0"/>
    <n v="66"/>
    <n v="90.41095890410959"/>
    <n v="73"/>
  </r>
  <r>
    <s v="UCQC4_qoaL5N9-AzVgjC_5-A"/>
    <s v="UCsT0YIqwnpJCM-mx7-gSA4Q"/>
    <s v="192, 192, 192"/>
    <n v="3"/>
    <m/>
    <n v="40"/>
    <m/>
    <m/>
    <m/>
    <m/>
    <s v="No"/>
    <n v="347"/>
    <m/>
    <m/>
    <s v="Commented Video"/>
    <x v="0"/>
    <s v="Pacific people are eating wrong foods - Must eat home grown....."/>
    <s v="UCQC4_qoaL5N9-AzVgjC_5-A"/>
    <s v="Pakoa Loui Marikika"/>
    <s v="http://www.youtube.com/channel/UCQC4_qoaL5N9-AzVgjC_5-A"/>
    <m/>
    <s v="xS_txj05aTQ"/>
    <s v="https://www.youtube.com/watch?v=xS_txj05aTQ"/>
    <s v="none"/>
    <n v="6"/>
    <x v="344"/>
    <d v="2016-06-03T06:36:24.000"/>
    <m/>
    <m/>
    <s v=""/>
    <n v="1"/>
    <s v="10"/>
    <s v="10"/>
    <n v="0"/>
    <n v="0"/>
    <n v="1"/>
    <n v="10"/>
    <n v="0"/>
    <n v="0"/>
    <n v="9"/>
    <n v="90"/>
    <n v="10"/>
  </r>
  <r>
    <s v="UCSzS5KSQvkpkPNiF8hmr0zw"/>
    <s v="UCsT0YIqwnpJCM-mx7-gSA4Q"/>
    <s v="192, 192, 192"/>
    <n v="3"/>
    <m/>
    <n v="40"/>
    <m/>
    <m/>
    <m/>
    <m/>
    <s v="No"/>
    <n v="348"/>
    <m/>
    <m/>
    <s v="Commented Video"/>
    <x v="0"/>
    <s v="I thoroughly enjoyed your talk,it is very informative and enlightening.&lt;br&gt;The statistics is shocking,though.&lt;br&gt;I would like to know if there are any programmes in Fiji,that is addressing or educating our people,to introduce a different lifestyle change which is healthier holistically.&lt;br&gt;I do hope that something is being initiated and implimented,because it sounds like that there is an urgent need."/>
    <s v="UCSzS5KSQvkpkPNiF8hmr0zw"/>
    <s v="Alisha Martin"/>
    <s v="http://www.youtube.com/channel/UCSzS5KSQvkpkPNiF8hmr0zw"/>
    <m/>
    <s v="xS_txj05aTQ"/>
    <s v="https://www.youtube.com/watch?v=xS_txj05aTQ"/>
    <s v="none"/>
    <n v="1"/>
    <x v="345"/>
    <d v="2016-06-05T00:14:28.000"/>
    <m/>
    <m/>
    <s v=""/>
    <n v="1"/>
    <s v="10"/>
    <s v="10"/>
    <n v="3"/>
    <n v="4.411764705882353"/>
    <n v="2"/>
    <n v="2.9411764705882355"/>
    <n v="0"/>
    <n v="0"/>
    <n v="63"/>
    <n v="92.6470588235294"/>
    <n v="68"/>
  </r>
  <r>
    <s v="UCzur-Z2eeJUb_J3ELxWqO4w"/>
    <s v="UCsT0YIqwnpJCM-mx7-gSA4Q"/>
    <s v="192, 192, 192"/>
    <n v="3"/>
    <m/>
    <n v="40"/>
    <m/>
    <m/>
    <m/>
    <m/>
    <s v="No"/>
    <n v="349"/>
    <m/>
    <m/>
    <s v="Commented Video"/>
    <x v="0"/>
    <s v="Thank you for raising this important issue Dr Jone. Totally in support of the holistic wellness approach and wish we saw this incorporated in our health education curriculum in schools from Year 1 to 13!"/>
    <s v="UCzur-Z2eeJUb_J3ELxWqO4w"/>
    <s v="Cresantia F. Koya"/>
    <s v="http://www.youtube.com/channel/UCzur-Z2eeJUb_J3ELxWqO4w"/>
    <m/>
    <s v="xS_txj05aTQ"/>
    <s v="https://www.youtube.com/watch?v=xS_txj05aTQ"/>
    <s v="none"/>
    <n v="3"/>
    <x v="346"/>
    <d v="2016-06-09T09:52:20.000"/>
    <m/>
    <m/>
    <s v=""/>
    <n v="1"/>
    <s v="10"/>
    <s v="10"/>
    <n v="3"/>
    <n v="8.571428571428571"/>
    <n v="1"/>
    <n v="2.857142857142857"/>
    <n v="0"/>
    <n v="0"/>
    <n v="31"/>
    <n v="88.57142857142857"/>
    <n v="35"/>
  </r>
  <r>
    <s v="UCqpfqBGy1f6H9b4WVeFAa9w"/>
    <s v="UCKXwB75VUB7r9f9UfdNF7QQ"/>
    <s v="192, 192, 192"/>
    <n v="3"/>
    <m/>
    <n v="40"/>
    <m/>
    <m/>
    <m/>
    <m/>
    <s v="No"/>
    <n v="350"/>
    <m/>
    <m/>
    <s v="Replied Comment"/>
    <x v="1"/>
    <s v="Easy on him &amp;#39;cause he&amp;#39;s in to something. What we need is someone from the inside to come out and help to inform people that they can heal themselves without big pharma."/>
    <s v="UCqpfqBGy1f6H9b4WVeFAa9w"/>
    <s v="Awake Now"/>
    <s v="http://www.youtube.com/channel/UCqpfqBGy1f6H9b4WVeFAa9w"/>
    <s v="UghGSg2b1Q3l6ngCoAEC"/>
    <s v="xS_txj05aTQ"/>
    <s v="https://www.youtube.com/watch?v=xS_txj05aTQ"/>
    <s v="none"/>
    <n v="0"/>
    <x v="347"/>
    <d v="2016-06-11T16:23:23.000"/>
    <m/>
    <m/>
    <s v=""/>
    <n v="1"/>
    <s v="10"/>
    <s v="10"/>
    <n v="2"/>
    <n v="5.714285714285714"/>
    <n v="0"/>
    <n v="0"/>
    <n v="0"/>
    <n v="0"/>
    <n v="33"/>
    <n v="94.28571428571429"/>
    <n v="35"/>
  </r>
  <r>
    <s v="UConxZesAFmzNl8tlMQfL4EQ"/>
    <s v="UCKXwB75VUB7r9f9UfdNF7QQ"/>
    <s v="192, 192, 192"/>
    <n v="3"/>
    <m/>
    <n v="40"/>
    <m/>
    <m/>
    <m/>
    <m/>
    <s v="No"/>
    <n v="351"/>
    <m/>
    <m/>
    <s v="Replied Comment"/>
    <x v="1"/>
    <s v="Your comment underlies the fear about the big pharma for those who comes out with any cure outside of chemical approach."/>
    <s v="UConxZesAFmzNl8tlMQfL4EQ"/>
    <s v="Maui"/>
    <s v="http://www.youtube.com/channel/UConxZesAFmzNl8tlMQfL4EQ"/>
    <s v="UghGSg2b1Q3l6ngCoAEC"/>
    <s v="xS_txj05aTQ"/>
    <s v="https://www.youtube.com/watch?v=xS_txj05aTQ"/>
    <s v="none"/>
    <n v="0"/>
    <x v="348"/>
    <d v="2016-06-12T03:10:54.000"/>
    <m/>
    <m/>
    <s v=""/>
    <n v="1"/>
    <s v="10"/>
    <s v="10"/>
    <n v="1"/>
    <n v="4.761904761904762"/>
    <n v="1"/>
    <n v="4.761904761904762"/>
    <n v="0"/>
    <n v="0"/>
    <n v="19"/>
    <n v="90.47619047619048"/>
    <n v="21"/>
  </r>
  <r>
    <s v="UCKXwB75VUB7r9f9UfdNF7QQ"/>
    <s v="UCKXwB75VUB7r9f9UfdNF7QQ"/>
    <s v="192, 192, 192"/>
    <n v="3"/>
    <m/>
    <n v="40"/>
    <m/>
    <m/>
    <m/>
    <m/>
    <s v="No"/>
    <n v="352"/>
    <m/>
    <m/>
    <s v="Replied Comment"/>
    <x v="1"/>
    <s v="Hear this, according to:&lt;br&gt;&lt;br&gt;An Account of the Natives&lt;br&gt;of the Tonga Islands, in the South Pacific Ocean by William Mariner , John Martin, Published 1827 &lt;br&gt;&lt;br&gt;Tongans traveled to Fiji to learn surgery. The author put forth his opinion as the Fijians had plenty of practice on wounded and dead bodies from numerous and ongoing skirmishes and wars among the indigenous themselves and against foreigners(most notably Tongans). It must&amp;#39;ve been a well established institution well before the European arrival."/>
    <s v="UCKXwB75VUB7r9f9UfdNF7QQ"/>
    <s v="Tongiaki"/>
    <s v="http://www.youtube.com/channel/UCKXwB75VUB7r9f9UfdNF7QQ"/>
    <s v="UghGSg2b1Q3l6ngCoAEC"/>
    <s v="xS_txj05aTQ"/>
    <s v="https://www.youtube.com/watch?v=xS_txj05aTQ"/>
    <s v="none"/>
    <n v="1"/>
    <x v="349"/>
    <d v="2016-06-16T14:01:00.000"/>
    <m/>
    <m/>
    <s v=""/>
    <n v="1"/>
    <s v="10"/>
    <s v="10"/>
    <n v="3"/>
    <n v="3.488372093023256"/>
    <n v="1"/>
    <n v="1.1627906976744187"/>
    <n v="0"/>
    <n v="0"/>
    <n v="82"/>
    <n v="95.34883720930233"/>
    <n v="86"/>
  </r>
  <r>
    <s v="UCKXwB75VUB7r9f9UfdNF7QQ"/>
    <s v="UCsT0YIqwnpJCM-mx7-gSA4Q"/>
    <s v="192, 192, 192"/>
    <n v="3"/>
    <m/>
    <n v="40"/>
    <m/>
    <m/>
    <m/>
    <m/>
    <s v="No"/>
    <n v="353"/>
    <m/>
    <m/>
    <s v="Commented Video"/>
    <x v="0"/>
    <s v="Sorry Jone, this may put your career in jeopardy...allow me to add one thing......aim to avoid allopathic medication(only treatment but not total cure). &amp;#39;Ofa atu"/>
    <s v="UCKXwB75VUB7r9f9UfdNF7QQ"/>
    <s v="Tongiaki"/>
    <s v="http://www.youtube.com/channel/UCKXwB75VUB7r9f9UfdNF7QQ"/>
    <m/>
    <s v="xS_txj05aTQ"/>
    <s v="https://www.youtube.com/watch?v=xS_txj05aTQ"/>
    <s v="none"/>
    <n v="0"/>
    <x v="350"/>
    <d v="2016-06-11T14:56:36.000"/>
    <m/>
    <m/>
    <s v=""/>
    <n v="1"/>
    <s v="10"/>
    <s v="10"/>
    <n v="1"/>
    <n v="3.4482758620689653"/>
    <n v="2"/>
    <n v="6.896551724137931"/>
    <n v="0"/>
    <n v="0"/>
    <n v="26"/>
    <n v="89.65517241379311"/>
    <n v="29"/>
  </r>
  <r>
    <s v="UC-ZdhLrOmcewlverLd0xGkw"/>
    <s v="UCsT0YIqwnpJCM-mx7-gSA4Q"/>
    <s v="192, 192, 192"/>
    <n v="3"/>
    <m/>
    <n v="40"/>
    <m/>
    <m/>
    <m/>
    <m/>
    <s v="No"/>
    <n v="354"/>
    <m/>
    <m/>
    <s v="Commented Video"/>
    <x v="0"/>
    <s v="Thank you for this TED Talk! People these days seem to forget that stress DOES affect their health and absolutely makes them more vulnerable to disease."/>
    <s v="UC-ZdhLrOmcewlverLd0xGkw"/>
    <s v="1007yes"/>
    <s v="http://www.youtube.com/channel/UC-ZdhLrOmcewlverLd0xGkw"/>
    <m/>
    <s v="xS_txj05aTQ"/>
    <s v="https://www.youtube.com/watch?v=xS_txj05aTQ"/>
    <s v="none"/>
    <n v="0"/>
    <x v="351"/>
    <d v="2016-06-28T19:41:59.000"/>
    <m/>
    <m/>
    <s v=""/>
    <n v="1"/>
    <s v="10"/>
    <s v="10"/>
    <n v="1"/>
    <n v="3.8461538461538463"/>
    <n v="2"/>
    <n v="7.6923076923076925"/>
    <n v="0"/>
    <n v="0"/>
    <n v="23"/>
    <n v="88.46153846153847"/>
    <n v="26"/>
  </r>
  <r>
    <s v="UCtEIxnWLQaJKNvsM3kgdv-A"/>
    <s v="UCsT0YIqwnpJCM-mx7-gSA4Q"/>
    <s v="192, 192, 192"/>
    <n v="3"/>
    <m/>
    <n v="40"/>
    <m/>
    <m/>
    <m/>
    <m/>
    <s v="No"/>
    <n v="355"/>
    <m/>
    <m/>
    <s v="Commented Video"/>
    <x v="0"/>
    <s v="Thank you so much for this! This should be shared amongst all"/>
    <s v="UCtEIxnWLQaJKNvsM3kgdv-A"/>
    <s v="Nanise Tania VULI"/>
    <s v="http://www.youtube.com/channel/UCtEIxnWLQaJKNvsM3kgdv-A"/>
    <m/>
    <s v="xS_txj05aTQ"/>
    <s v="https://www.youtube.com/watch?v=xS_txj05aTQ"/>
    <s v="none"/>
    <n v="0"/>
    <x v="352"/>
    <d v="2016-10-31T11:07:40.000"/>
    <m/>
    <m/>
    <s v=""/>
    <n v="1"/>
    <s v="10"/>
    <s v="10"/>
    <n v="1"/>
    <n v="8.333333333333334"/>
    <n v="0"/>
    <n v="0"/>
    <n v="0"/>
    <n v="0"/>
    <n v="11"/>
    <n v="91.66666666666667"/>
    <n v="12"/>
  </r>
  <r>
    <s v="UCjcG2FUpnj3wTx3rmW3fT_w"/>
    <s v="UCsT0YIqwnpJCM-mx7-gSA4Q"/>
    <s v="192, 192, 192"/>
    <n v="3"/>
    <m/>
    <n v="40"/>
    <m/>
    <m/>
    <m/>
    <m/>
    <s v="No"/>
    <n v="356"/>
    <m/>
    <m/>
    <s v="Commented Video"/>
    <x v="0"/>
    <s v="Vinaka ....its true"/>
    <s v="UCjcG2FUpnj3wTx3rmW3fT_w"/>
    <s v="Thomas Harry Prasad"/>
    <s v="http://www.youtube.com/channel/UCjcG2FUpnj3wTx3rmW3fT_w"/>
    <m/>
    <s v="xS_txj05aTQ"/>
    <s v="https://www.youtube.com/watch?v=xS_txj05aTQ"/>
    <s v="none"/>
    <n v="0"/>
    <x v="353"/>
    <d v="2016-12-20T13:01:48.000"/>
    <m/>
    <m/>
    <s v=""/>
    <n v="1"/>
    <s v="10"/>
    <s v="10"/>
    <n v="0"/>
    <n v="0"/>
    <n v="0"/>
    <n v="0"/>
    <n v="0"/>
    <n v="0"/>
    <n v="3"/>
    <n v="100"/>
    <n v="3"/>
  </r>
  <r>
    <s v="UCez-57V3o53c0ySZNCeqR2A"/>
    <s v="UCsT0YIqwnpJCM-mx7-gSA4Q"/>
    <s v="192, 192, 192"/>
    <n v="3"/>
    <m/>
    <n v="40"/>
    <m/>
    <m/>
    <m/>
    <m/>
    <s v="No"/>
    <n v="357"/>
    <m/>
    <m/>
    <s v="Commented Video"/>
    <x v="0"/>
    <s v="Vinaka Doc!"/>
    <s v="UCez-57V3o53c0ySZNCeqR2A"/>
    <s v="Daunivakasala Kalitabua Ravunakana"/>
    <s v="http://www.youtube.com/channel/UCez-57V3o53c0ySZNCeqR2A"/>
    <m/>
    <s v="xS_txj05aTQ"/>
    <s v="https://www.youtube.com/watch?v=xS_txj05aTQ"/>
    <s v="none"/>
    <n v="0"/>
    <x v="354"/>
    <d v="2017-01-11T12:46:59.000"/>
    <m/>
    <m/>
    <s v=""/>
    <n v="1"/>
    <s v="10"/>
    <s v="10"/>
    <n v="0"/>
    <n v="0"/>
    <n v="0"/>
    <n v="0"/>
    <n v="0"/>
    <n v="0"/>
    <n v="2"/>
    <n v="100"/>
    <n v="2"/>
  </r>
  <r>
    <s v="UCnfuX9dN8a--5ptIge7wYJw"/>
    <s v="UCsT0YIqwnpJCM-mx7-gSA4Q"/>
    <s v="192, 192, 192"/>
    <n v="3"/>
    <m/>
    <n v="40"/>
    <m/>
    <m/>
    <m/>
    <m/>
    <s v="No"/>
    <n v="358"/>
    <m/>
    <m/>
    <s v="Commented Video"/>
    <x v="0"/>
    <s v="I agree with heart meditation 101% .Pacific people should also go vegan,  avoid meat and dairy since the Pacific culture is full of meat at any given occasion"/>
    <s v="UCnfuX9dN8a--5ptIge7wYJw"/>
    <s v="dreamsdo cometrue"/>
    <s v="http://www.youtube.com/channel/UCnfuX9dN8a--5ptIge7wYJw"/>
    <m/>
    <s v="xS_txj05aTQ"/>
    <s v="https://www.youtube.com/watch?v=xS_txj05aTQ"/>
    <s v="none"/>
    <n v="2"/>
    <x v="355"/>
    <d v="2017-05-17T02:58:03.000"/>
    <m/>
    <m/>
    <s v=""/>
    <n v="1"/>
    <s v="10"/>
    <s v="10"/>
    <n v="0"/>
    <n v="0"/>
    <n v="0"/>
    <n v="0"/>
    <n v="0"/>
    <n v="0"/>
    <n v="28"/>
    <n v="100"/>
    <n v="28"/>
  </r>
  <r>
    <s v="UCcVY4PNhKTStBqbmWBBXJsw"/>
    <s v="UCsT0YIqwnpJCM-mx7-gSA4Q"/>
    <s v="192, 192, 192"/>
    <n v="3"/>
    <m/>
    <n v="40"/>
    <m/>
    <m/>
    <m/>
    <m/>
    <s v="No"/>
    <n v="359"/>
    <m/>
    <m/>
    <s v="Commented Video"/>
    <x v="0"/>
    <s v="the book of genesis tells us what  our diet should be..our meat should be fruit and vegetables..what we now call meat the bible calls flesh..we decided to follow the white man&amp;#39;s diet.."/>
    <s v="UCcVY4PNhKTStBqbmWBBXJsw"/>
    <s v="Rasta Trees"/>
    <s v="http://www.youtube.com/channel/UCcVY4PNhKTStBqbmWBBXJsw"/>
    <m/>
    <s v="xS_txj05aTQ"/>
    <s v="https://www.youtube.com/watch?v=xS_txj05aTQ"/>
    <s v="none"/>
    <n v="1"/>
    <x v="356"/>
    <d v="2017-05-20T17:24:44.000"/>
    <m/>
    <m/>
    <s v=""/>
    <n v="1"/>
    <s v="10"/>
    <s v="10"/>
    <n v="0"/>
    <n v="0"/>
    <n v="0"/>
    <n v="0"/>
    <n v="0"/>
    <n v="0"/>
    <n v="37"/>
    <n v="100"/>
    <n v="37"/>
  </r>
  <r>
    <s v="UCoXa-0RdNxTdWehirvqAvbQ"/>
    <s v="UCsT0YIqwnpJCM-mx7-gSA4Q"/>
    <s v="192, 192, 192"/>
    <n v="3"/>
    <m/>
    <n v="40"/>
    <m/>
    <m/>
    <m/>
    <m/>
    <s v="No"/>
    <n v="360"/>
    <m/>
    <m/>
    <s v="Commented Video"/>
    <x v="0"/>
    <s v="Yes Vuniwai....this is the message for today !"/>
    <s v="UCoXa-0RdNxTdWehirvqAvbQ"/>
    <s v="jinaiLee Rokotagane"/>
    <s v="http://www.youtube.com/channel/UCoXa-0RdNxTdWehirvqAvbQ"/>
    <m/>
    <s v="xS_txj05aTQ"/>
    <s v="https://www.youtube.com/watch?v=xS_txj05aTQ"/>
    <s v="none"/>
    <n v="0"/>
    <x v="357"/>
    <d v="2018-10-01T02:50:02.000"/>
    <m/>
    <m/>
    <s v=""/>
    <n v="1"/>
    <s v="10"/>
    <s v="10"/>
    <n v="0"/>
    <n v="0"/>
    <n v="0"/>
    <n v="0"/>
    <n v="0"/>
    <n v="0"/>
    <n v="8"/>
    <n v="100"/>
    <n v="8"/>
  </r>
  <r>
    <s v="UCbwAbzjiQXy7VMT5cCINu2w"/>
    <s v="UCsT0YIqwnpJCM-mx7-gSA4Q"/>
    <s v="192, 192, 192"/>
    <n v="3"/>
    <m/>
    <n v="40"/>
    <m/>
    <m/>
    <m/>
    <m/>
    <s v="No"/>
    <n v="361"/>
    <m/>
    <m/>
    <s v="Commented Video"/>
    <x v="0"/>
    <s v="Diabetic rage - when the toxins in the blood are too much, and the brain and heart and other organs get agitated. Road rage is a symptom of diabetic rage, which is a symptom of too much sugar in the diet, and other toxins like heavy metals from the volcanic soil. Fix the diet. Remove the toxins, eliminate any nutrient deficiencies. These are the simple principles of functional medicine in the west, holistic medicine in Chinese and Ayurvedic Indian medicine, and the foundation of all natural holistic medicines, which are in non-alignment with reductionist medicine, which promotes drugs and surgery like a care with replaceable parts. Humans are not cars with replaceable parts. Humans are alive, and in balance with nature, or out of balance with nature in the case of false reductionist philosophies. Also, go easy on the kava drinking :-) Bula! Best wishes from America :-)"/>
    <s v="UCbwAbzjiQXy7VMT5cCINu2w"/>
    <s v="Clint Pot"/>
    <s v="http://www.youtube.com/channel/UCbwAbzjiQXy7VMT5cCINu2w"/>
    <m/>
    <s v="xS_txj05aTQ"/>
    <s v="https://www.youtube.com/watch?v=xS_txj05aTQ"/>
    <s v="none"/>
    <n v="1"/>
    <x v="358"/>
    <d v="2019-04-28T16:08:54.000"/>
    <m/>
    <m/>
    <s v=""/>
    <n v="1"/>
    <s v="10"/>
    <s v="10"/>
    <n v="6"/>
    <n v="4.109589041095891"/>
    <n v="7"/>
    <n v="4.794520547945205"/>
    <n v="0"/>
    <n v="0"/>
    <n v="133"/>
    <n v="91.0958904109589"/>
    <n v="146"/>
  </r>
  <r>
    <s v="UCfcdeSgCO4v25ymgnOybN5g"/>
    <s v="UCsT0YIqwnpJCM-mx7-gSA4Q"/>
    <s v="192, 192, 192"/>
    <n v="3"/>
    <m/>
    <n v="40"/>
    <m/>
    <m/>
    <m/>
    <m/>
    <s v="No"/>
    <n v="362"/>
    <m/>
    <m/>
    <s v="Commented Video"/>
    <x v="0"/>
    <s v="Good talk doc! Mind over matter, and persistence will pay off! Interesting to listen to,"/>
    <s v="UCfcdeSgCO4v25ymgnOybN5g"/>
    <s v="Sienna"/>
    <s v="http://www.youtube.com/channel/UCfcdeSgCO4v25ymgnOybN5g"/>
    <m/>
    <s v="xS_txj05aTQ"/>
    <s v="https://www.youtube.com/watch?v=xS_txj05aTQ"/>
    <s v="none"/>
    <n v="0"/>
    <x v="359"/>
    <d v="2019-11-16T11:51:49.000"/>
    <m/>
    <m/>
    <s v=""/>
    <n v="1"/>
    <s v="10"/>
    <s v="10"/>
    <n v="2"/>
    <n v="13.333333333333334"/>
    <n v="0"/>
    <n v="0"/>
    <n v="0"/>
    <n v="0"/>
    <n v="13"/>
    <n v="86.66666666666667"/>
    <n v="15"/>
  </r>
  <r>
    <s v="UCjU5msKQEe1Bpc-z4WT6CsA"/>
    <s v="UCsT0YIqwnpJCM-mx7-gSA4Q"/>
    <s v="192, 192, 192"/>
    <n v="3"/>
    <m/>
    <n v="40"/>
    <m/>
    <m/>
    <m/>
    <m/>
    <s v="No"/>
    <n v="363"/>
    <m/>
    <m/>
    <s v="Commented Video"/>
    <x v="0"/>
    <s v="Thank you!"/>
    <s v="UCjU5msKQEe1Bpc-z4WT6CsA"/>
    <s v="Paula Toga"/>
    <s v="http://www.youtube.com/channel/UCjU5msKQEe1Bpc-z4WT6CsA"/>
    <m/>
    <s v="xS_txj05aTQ"/>
    <s v="https://www.youtube.com/watch?v=xS_txj05aTQ"/>
    <s v="none"/>
    <n v="0"/>
    <x v="360"/>
    <d v="2020-07-28T06:08:31.000"/>
    <m/>
    <m/>
    <s v=""/>
    <n v="1"/>
    <s v="10"/>
    <s v="10"/>
    <n v="1"/>
    <n v="50"/>
    <n v="0"/>
    <n v="0"/>
    <n v="0"/>
    <n v="0"/>
    <n v="1"/>
    <n v="50"/>
    <n v="2"/>
  </r>
  <r>
    <s v="UCc75Eb2KclgOOUnkerIIHjw"/>
    <s v="UCsT0YIqwnpJCM-mx7-gSA4Q"/>
    <s v="192, 192, 192"/>
    <n v="3"/>
    <m/>
    <n v="40"/>
    <m/>
    <m/>
    <m/>
    <m/>
    <s v="No"/>
    <n v="364"/>
    <m/>
    <m/>
    <s v="Commented Video"/>
    <x v="0"/>
    <s v="Wonderful analysis and strategy! Thank you."/>
    <s v="UCc75Eb2KclgOOUnkerIIHjw"/>
    <s v="Sithembile Shozi"/>
    <s v="http://www.youtube.com/channel/UCc75Eb2KclgOOUnkerIIHjw"/>
    <m/>
    <s v="xS_txj05aTQ"/>
    <s v="https://www.youtube.com/watch?v=xS_txj05aTQ"/>
    <s v="none"/>
    <n v="0"/>
    <x v="361"/>
    <d v="2021-01-09T02:27:57.000"/>
    <m/>
    <m/>
    <s v=""/>
    <n v="1"/>
    <s v="10"/>
    <s v="10"/>
    <n v="2"/>
    <n v="33.333333333333336"/>
    <n v="0"/>
    <n v="0"/>
    <n v="0"/>
    <n v="0"/>
    <n v="4"/>
    <n v="66.66666666666667"/>
    <n v="6"/>
  </r>
  <r>
    <s v="UCwlIuUEYNSbAfoGgoEx2nIg"/>
    <s v="UCsT0YIqwnpJCM-mx7-gSA4Q"/>
    <s v="192, 192, 192"/>
    <n v="3"/>
    <m/>
    <n v="40"/>
    <m/>
    <m/>
    <m/>
    <m/>
    <s v="No"/>
    <n v="365"/>
    <m/>
    <m/>
    <s v="Commented Video"/>
    <x v="0"/>
    <s v="I thoroughly enjoyed this wonderful talk!"/>
    <s v="UCwlIuUEYNSbAfoGgoEx2nIg"/>
    <s v="Amanda Irving"/>
    <s v="http://www.youtube.com/channel/UCwlIuUEYNSbAfoGgoEx2nIg"/>
    <m/>
    <s v="xS_txj05aTQ"/>
    <s v="https://www.youtube.com/watch?v=xS_txj05aTQ"/>
    <s v="none"/>
    <n v="0"/>
    <x v="362"/>
    <d v="2021-03-16T20:43:51.000"/>
    <m/>
    <m/>
    <s v=""/>
    <n v="1"/>
    <s v="10"/>
    <s v="10"/>
    <n v="2"/>
    <n v="33.333333333333336"/>
    <n v="0"/>
    <n v="0"/>
    <n v="0"/>
    <n v="0"/>
    <n v="4"/>
    <n v="66.66666666666667"/>
    <n v="6"/>
  </r>
  <r>
    <s v="UCBncj-o42hfPG0TRJkaRWYw"/>
    <s v="UCsT0YIqwnpJCM-mx7-gSA4Q"/>
    <s v="192, 192, 192"/>
    <n v="3"/>
    <m/>
    <n v="40"/>
    <m/>
    <m/>
    <m/>
    <m/>
    <s v="No"/>
    <n v="366"/>
    <m/>
    <m/>
    <s v="Commented Video"/>
    <x v="0"/>
    <s v="Ayurveda &amp;amp; Yoga = TOTAL HEALING 🕊"/>
    <s v="UCBncj-o42hfPG0TRJkaRWYw"/>
    <s v="HappilyIndian"/>
    <s v="http://www.youtube.com/channel/UCBncj-o42hfPG0TRJkaRWYw"/>
    <m/>
    <s v="xS_txj05aTQ"/>
    <s v="https://www.youtube.com/watch?v=xS_txj05aTQ"/>
    <s v="none"/>
    <n v="0"/>
    <x v="363"/>
    <d v="2021-03-17T19:21:10.000"/>
    <m/>
    <m/>
    <s v=""/>
    <n v="1"/>
    <s v="10"/>
    <s v="10"/>
    <n v="0"/>
    <n v="0"/>
    <n v="0"/>
    <n v="0"/>
    <n v="0"/>
    <n v="0"/>
    <n v="5"/>
    <n v="100"/>
    <n v="5"/>
  </r>
  <r>
    <s v="UCUDtZqrtk59W9NYBMVzLfEw"/>
    <s v="UCsT0YIqwnpJCM-mx7-gSA4Q"/>
    <s v="192, 192, 192"/>
    <n v="3"/>
    <m/>
    <n v="40"/>
    <m/>
    <m/>
    <m/>
    <m/>
    <s v="No"/>
    <n v="367"/>
    <m/>
    <m/>
    <s v="Commented Video"/>
    <x v="0"/>
    <s v="I was suffering from herpes Virus, i was totally depressed due to my predicament , until i meet Dr okosun on YouTube the great Traditional healer who cured me with his herbal medication. &lt;br&gt;His whatsapp +2348124363791"/>
    <s v="UCUDtZqrtk59W9NYBMVzLfEw"/>
    <s v="Alvin Good"/>
    <s v="http://www.youtube.com/channel/UCUDtZqrtk59W9NYBMVzLfEw"/>
    <m/>
    <s v="xS_txj05aTQ"/>
    <s v="https://www.youtube.com/watch?v=xS_txj05aTQ"/>
    <s v="none"/>
    <n v="0"/>
    <x v="364"/>
    <d v="2021-05-09T12:42:06.000"/>
    <m/>
    <m/>
    <s v=""/>
    <n v="1"/>
    <s v="10"/>
    <s v="10"/>
    <n v="1"/>
    <n v="2.7777777777777777"/>
    <n v="4"/>
    <n v="11.11111111111111"/>
    <n v="0"/>
    <n v="0"/>
    <n v="31"/>
    <n v="86.11111111111111"/>
    <n v="36"/>
  </r>
  <r>
    <s v="UCUOSzv2bpjlN9dUF6AVGzlQ"/>
    <s v="UCrC8mOqJQpoB7NuIMKIS6rQ"/>
    <s v="192, 192, 192"/>
    <n v="3"/>
    <m/>
    <n v="40"/>
    <m/>
    <m/>
    <m/>
    <m/>
    <s v="No"/>
    <n v="368"/>
    <m/>
    <m/>
    <s v="Commented Video"/>
    <x v="0"/>
    <s v="Thank u"/>
    <s v="UCUOSzv2bpjlN9dUF6AVGzlQ"/>
    <s v="vinita rai"/>
    <s v="http://www.youtube.com/channel/UCUOSzv2bpjlN9dUF6AVGzlQ"/>
    <m/>
    <s v="5Q411ntL0jQ"/>
    <s v="https://www.youtube.com/watch?v=5Q411ntL0jQ"/>
    <s v="none"/>
    <n v="3"/>
    <x v="365"/>
    <d v="2020-03-25T05:07:17.000"/>
    <m/>
    <m/>
    <s v=""/>
    <n v="1"/>
    <s v="11"/>
    <s v="11"/>
    <n v="1"/>
    <n v="50"/>
    <n v="0"/>
    <n v="0"/>
    <n v="0"/>
    <n v="0"/>
    <n v="1"/>
    <n v="50"/>
    <n v="2"/>
  </r>
  <r>
    <s v="UCZUtl9CB3LvYHTFIQ7rkMPQ"/>
    <s v="UCe6oxU_T8mj_K-r5deB1Mkg"/>
    <s v="192, 192, 192"/>
    <n v="3"/>
    <m/>
    <n v="40"/>
    <m/>
    <m/>
    <m/>
    <m/>
    <s v="No"/>
    <n v="369"/>
    <m/>
    <m/>
    <s v="Replied Comment"/>
    <x v="1"/>
    <s v="Same here, this was a too generic video, no conceptual clarity was there!"/>
    <s v="UCZUtl9CB3LvYHTFIQ7rkMPQ"/>
    <s v="Navneet Kumar"/>
    <s v="http://www.youtube.com/channel/UCZUtl9CB3LvYHTFIQ7rkMPQ"/>
    <s v="UgxolvUGkNbpW_SldsV4AaABAg"/>
    <s v="5Q411ntL0jQ"/>
    <s v="https://www.youtube.com/watch?v=5Q411ntL0jQ"/>
    <s v="none"/>
    <n v="1"/>
    <x v="366"/>
    <d v="2020-03-25T07:47:42.000"/>
    <m/>
    <m/>
    <s v=""/>
    <n v="1"/>
    <s v="11"/>
    <s v="11"/>
    <n v="1"/>
    <n v="7.6923076923076925"/>
    <n v="0"/>
    <n v="0"/>
    <n v="0"/>
    <n v="0"/>
    <n v="12"/>
    <n v="92.3076923076923"/>
    <n v="13"/>
  </r>
  <r>
    <s v="UCe6oxU_T8mj_K-r5deB1Mkg"/>
    <s v="UCrC8mOqJQpoB7NuIMKIS6rQ"/>
    <s v="192, 192, 192"/>
    <n v="3"/>
    <m/>
    <n v="40"/>
    <m/>
    <m/>
    <m/>
    <m/>
    <s v="No"/>
    <n v="370"/>
    <m/>
    <m/>
    <s v="Commented Video"/>
    <x v="0"/>
    <s v="Was expecting more detailed explanation"/>
    <s v="UCe6oxU_T8mj_K-r5deB1Mkg"/>
    <s v="Sumit Thakur"/>
    <s v="http://www.youtube.com/channel/UCe6oxU_T8mj_K-r5deB1Mkg"/>
    <m/>
    <s v="5Q411ntL0jQ"/>
    <s v="https://www.youtube.com/watch?v=5Q411ntL0jQ"/>
    <s v="none"/>
    <n v="2"/>
    <x v="367"/>
    <d v="2020-03-25T05:24:34.000"/>
    <m/>
    <m/>
    <s v=""/>
    <n v="1"/>
    <s v="11"/>
    <s v="11"/>
    <n v="0"/>
    <n v="0"/>
    <n v="0"/>
    <n v="0"/>
    <n v="0"/>
    <n v="0"/>
    <n v="5"/>
    <n v="100"/>
    <n v="5"/>
  </r>
  <r>
    <s v="UC6_tiK1bj4l8UmfrAcCuV1Q"/>
    <s v="UCrC8mOqJQpoB7NuIMKIS6rQ"/>
    <s v="192, 192, 192"/>
    <n v="3"/>
    <m/>
    <n v="40"/>
    <m/>
    <m/>
    <m/>
    <m/>
    <s v="No"/>
    <n v="371"/>
    <m/>
    <m/>
    <s v="Commented Video"/>
    <x v="0"/>
    <s v="DNNAYVAAD SIR APKA 👍 👍 👍"/>
    <s v="UC6_tiK1bj4l8UmfrAcCuV1Q"/>
    <s v="sahil khan"/>
    <s v="http://www.youtube.com/channel/UC6_tiK1bj4l8UmfrAcCuV1Q"/>
    <m/>
    <s v="5Q411ntL0jQ"/>
    <s v="https://www.youtube.com/watch?v=5Q411ntL0jQ"/>
    <s v="none"/>
    <n v="2"/>
    <x v="368"/>
    <d v="2020-03-25T05:33:42.000"/>
    <m/>
    <m/>
    <s v=""/>
    <n v="1"/>
    <s v="11"/>
    <s v="11"/>
    <n v="0"/>
    <n v="0"/>
    <n v="0"/>
    <n v="0"/>
    <n v="0"/>
    <n v="0"/>
    <n v="3"/>
    <n v="100"/>
    <n v="3"/>
  </r>
  <r>
    <s v="UClBN0jShxrWa70rM-9O6dCQ"/>
    <s v="UCrC8mOqJQpoB7NuIMKIS6rQ"/>
    <s v="192, 192, 192"/>
    <n v="3"/>
    <m/>
    <n v="40"/>
    <m/>
    <m/>
    <m/>
    <m/>
    <s v="No"/>
    <n v="372"/>
    <m/>
    <m/>
    <s v="Commented Video"/>
    <x v="0"/>
    <s v="Thanks sir"/>
    <s v="UClBN0jShxrWa70rM-9O6dCQ"/>
    <s v="Dhrita Rashtra"/>
    <s v="http://www.youtube.com/channel/UClBN0jShxrWa70rM-9O6dCQ"/>
    <m/>
    <s v="5Q411ntL0jQ"/>
    <s v="https://www.youtube.com/watch?v=5Q411ntL0jQ"/>
    <s v="none"/>
    <n v="4"/>
    <x v="369"/>
    <d v="2020-03-25T05:41:53.000"/>
    <m/>
    <m/>
    <s v=""/>
    <n v="1"/>
    <s v="11"/>
    <s v="11"/>
    <n v="0"/>
    <n v="0"/>
    <n v="0"/>
    <n v="0"/>
    <n v="0"/>
    <n v="0"/>
    <n v="2"/>
    <n v="100"/>
    <n v="2"/>
  </r>
  <r>
    <s v="UCb1r9sNaQG8VV2wmNcPlCHw"/>
    <s v="UCrC8mOqJQpoB7NuIMKIS6rQ"/>
    <s v="192, 192, 192"/>
    <n v="3"/>
    <m/>
    <n v="40"/>
    <m/>
    <m/>
    <m/>
    <m/>
    <s v="No"/>
    <n v="373"/>
    <m/>
    <m/>
    <s v="Commented Video"/>
    <x v="0"/>
    <s v="Aids cannot be contracted through saliva."/>
    <s v="UCb1r9sNaQG8VV2wmNcPlCHw"/>
    <s v="eat your liver"/>
    <s v="http://www.youtube.com/channel/UCb1r9sNaQG8VV2wmNcPlCHw"/>
    <m/>
    <s v="5Q411ntL0jQ"/>
    <s v="https://www.youtube.com/watch?v=5Q411ntL0jQ"/>
    <s v="none"/>
    <n v="2"/>
    <x v="370"/>
    <d v="2020-03-25T05:50:00.000"/>
    <m/>
    <m/>
    <s v=""/>
    <n v="1"/>
    <s v="11"/>
    <s v="11"/>
    <n v="0"/>
    <n v="0"/>
    <n v="0"/>
    <n v="0"/>
    <n v="0"/>
    <n v="0"/>
    <n v="6"/>
    <n v="100"/>
    <n v="6"/>
  </r>
  <r>
    <s v="UCH-CAPoK2f1La6ITUKe5xsQ"/>
    <s v="UCrC8mOqJQpoB7NuIMKIS6rQ"/>
    <s v="192, 192, 192"/>
    <n v="3"/>
    <m/>
    <n v="40"/>
    <m/>
    <m/>
    <m/>
    <m/>
    <s v="No"/>
    <n v="374"/>
    <m/>
    <m/>
    <s v="Commented Video"/>
    <x v="0"/>
    <s v="Thanks sir ji. This vedio is very much informative."/>
    <s v="UCH-CAPoK2f1La6ITUKe5xsQ"/>
    <s v="RSK"/>
    <s v="http://www.youtube.com/channel/UCH-CAPoK2f1La6ITUKe5xsQ"/>
    <m/>
    <s v="5Q411ntL0jQ"/>
    <s v="https://www.youtube.com/watch?v=5Q411ntL0jQ"/>
    <s v="none"/>
    <n v="3"/>
    <x v="371"/>
    <d v="2020-03-25T06:33:38.000"/>
    <m/>
    <m/>
    <s v=""/>
    <n v="1"/>
    <s v="11"/>
    <s v="11"/>
    <n v="0"/>
    <n v="0"/>
    <n v="0"/>
    <n v="0"/>
    <n v="0"/>
    <n v="0"/>
    <n v="9"/>
    <n v="100"/>
    <n v="9"/>
  </r>
  <r>
    <s v="UCq3GPCRAUpLZJmZ-SAomWwg"/>
    <s v="UCrC8mOqJQpoB7NuIMKIS6rQ"/>
    <s v="192, 192, 192"/>
    <n v="3"/>
    <m/>
    <n v="40"/>
    <m/>
    <m/>
    <m/>
    <m/>
    <s v="No"/>
    <n v="375"/>
    <m/>
    <m/>
    <s v="Commented Video"/>
    <x v="0"/>
    <s v="As far as i know AIDS might not be communicable disease."/>
    <s v="UCq3GPCRAUpLZJmZ-SAomWwg"/>
    <s v="SANTOSH VASAVA"/>
    <s v="http://www.youtube.com/channel/UCq3GPCRAUpLZJmZ-SAomWwg"/>
    <m/>
    <s v="5Q411ntL0jQ"/>
    <s v="https://www.youtube.com/watch?v=5Q411ntL0jQ"/>
    <s v="none"/>
    <n v="0"/>
    <x v="372"/>
    <d v="2020-03-25T06:58:24.000"/>
    <m/>
    <m/>
    <s v=""/>
    <n v="1"/>
    <s v="11"/>
    <s v="11"/>
    <n v="0"/>
    <n v="0"/>
    <n v="0"/>
    <n v="0"/>
    <n v="0"/>
    <n v="0"/>
    <n v="11"/>
    <n v="100"/>
    <n v="11"/>
  </r>
  <r>
    <s v="UCrjCeiq-TQ1mxwSVrb56_tw"/>
    <s v="UCZUtl9CB3LvYHTFIQ7rkMPQ"/>
    <s v="192, 192, 192"/>
    <n v="3"/>
    <m/>
    <n v="40"/>
    <m/>
    <m/>
    <m/>
    <m/>
    <s v="No"/>
    <n v="376"/>
    <m/>
    <m/>
    <s v="Replied Comment"/>
    <x v="1"/>
    <s v="Know the AIDS transfusion or how it gets transmitted and ur confusion will get clear."/>
    <s v="UCrjCeiq-TQ1mxwSVrb56_tw"/>
    <s v="Life with TanVir"/>
    <s v="http://www.youtube.com/channel/UCrjCeiq-TQ1mxwSVrb56_tw"/>
    <s v="UgwPlOGdfqUwWMSNtf54AaABAg"/>
    <s v="5Q411ntL0jQ"/>
    <s v="https://www.youtube.com/watch?v=5Q411ntL0jQ"/>
    <s v="none"/>
    <n v="0"/>
    <x v="373"/>
    <d v="2021-04-12T11:29:33.000"/>
    <m/>
    <m/>
    <s v=""/>
    <n v="1"/>
    <s v="11"/>
    <s v="11"/>
    <n v="1"/>
    <n v="6.666666666666667"/>
    <n v="1"/>
    <n v="6.666666666666667"/>
    <n v="0"/>
    <n v="0"/>
    <n v="13"/>
    <n v="86.66666666666667"/>
    <n v="15"/>
  </r>
  <r>
    <s v="UCZUtl9CB3LvYHTFIQ7rkMPQ"/>
    <s v="UCrC8mOqJQpoB7NuIMKIS6rQ"/>
    <s v="192, 192, 192"/>
    <n v="3"/>
    <m/>
    <n v="40"/>
    <m/>
    <m/>
    <m/>
    <m/>
    <s v="No"/>
    <n v="377"/>
    <m/>
    <m/>
    <s v="Commented Video"/>
    <x v="0"/>
    <s v="@&lt;a href=&quot;https://www.youtube.com/watch?v=5Q411ntL0jQ&amp;amp;t=03m54s&quot;&gt;03:54&lt;/a&gt;, if AIDS is a communicable disease then why do we see so many government ads saying that please don&amp;#39;t discriminate and avoid a HIV+ patient ! No need to fear of your colleague in office if he  has AIDS, you won&amp;#39;t get it etc etc?"/>
    <s v="UCZUtl9CB3LvYHTFIQ7rkMPQ"/>
    <s v="Navneet Kumar"/>
    <s v="http://www.youtube.com/channel/UCZUtl9CB3LvYHTFIQ7rkMPQ"/>
    <m/>
    <s v="5Q411ntL0jQ"/>
    <s v="https://www.youtube.com/watch?v=5Q411ntL0jQ"/>
    <s v="none"/>
    <n v="3"/>
    <x v="374"/>
    <d v="2020-03-25T07:48:25.000"/>
    <s v=" https://www.youtube.com/watch?v=5Q411ntL0jQ&amp;amp;t=03m54s"/>
    <s v="youtube.com"/>
    <s v=""/>
    <n v="1"/>
    <s v="11"/>
    <s v="11"/>
    <n v="2"/>
    <n v="3.1746031746031744"/>
    <n v="2"/>
    <n v="3.1746031746031744"/>
    <n v="0"/>
    <n v="0"/>
    <n v="59"/>
    <n v="93.65079365079364"/>
    <n v="63"/>
  </r>
  <r>
    <s v="UC_45IzWOplbP9I-NwW8zhkw"/>
    <s v="UCrC8mOqJQpoB7NuIMKIS6rQ"/>
    <s v="192, 192, 192"/>
    <n v="3"/>
    <m/>
    <n v="40"/>
    <m/>
    <m/>
    <m/>
    <m/>
    <s v="No"/>
    <n v="378"/>
    <m/>
    <m/>
    <s v="Commented Video"/>
    <x v="0"/>
    <s v="Noncommunicable diseases (NCDs) kill 41 million people each year, equivalent to 71% of all deaths globally.....By WHO ... Very helpful lecture....✍️🙏"/>
    <s v="UC_45IzWOplbP9I-NwW8zhkw"/>
    <s v="nitesh kumar"/>
    <s v="http://www.youtube.com/channel/UC_45IzWOplbP9I-NwW8zhkw"/>
    <m/>
    <s v="5Q411ntL0jQ"/>
    <s v="https://www.youtube.com/watch?v=5Q411ntL0jQ"/>
    <s v="none"/>
    <n v="2"/>
    <x v="375"/>
    <d v="2020-03-25T12:42:19.000"/>
    <m/>
    <m/>
    <s v=""/>
    <n v="1"/>
    <s v="11"/>
    <s v="11"/>
    <n v="1"/>
    <n v="4.761904761904762"/>
    <n v="1"/>
    <n v="4.761904761904762"/>
    <n v="0"/>
    <n v="0"/>
    <n v="19"/>
    <n v="90.47619047619048"/>
    <n v="21"/>
  </r>
  <r>
    <s v="UC1SQ6WLwqCw8z1OFqWrBvlg"/>
    <s v="UCrC8mOqJQpoB7NuIMKIS6rQ"/>
    <s v="192, 192, 192"/>
    <n v="3"/>
    <m/>
    <n v="40"/>
    <m/>
    <m/>
    <m/>
    <m/>
    <s v="No"/>
    <n v="379"/>
    <m/>
    <m/>
    <s v="Commented Video"/>
    <x v="0"/>
    <s v="It is easy but non communicable is so hard"/>
    <s v="UC1SQ6WLwqCw8z1OFqWrBvlg"/>
    <s v="Sahasra Vennela"/>
    <s v="http://www.youtube.com/channel/UC1SQ6WLwqCw8z1OFqWrBvlg"/>
    <m/>
    <s v="5Q411ntL0jQ"/>
    <s v="https://www.youtube.com/watch?v=5Q411ntL0jQ"/>
    <s v="none"/>
    <n v="1"/>
    <x v="376"/>
    <d v="2020-09-14T05:04:21.000"/>
    <m/>
    <m/>
    <s v=""/>
    <n v="1"/>
    <s v="11"/>
    <s v="11"/>
    <n v="1"/>
    <n v="11.11111111111111"/>
    <n v="1"/>
    <n v="11.11111111111111"/>
    <n v="0"/>
    <n v="0"/>
    <n v="7"/>
    <n v="77.77777777777777"/>
    <n v="9"/>
  </r>
  <r>
    <s v="UCI8a254j9MYepxDRrR7iBBQ"/>
    <s v="UCrC8mOqJQpoB7NuIMKIS6rQ"/>
    <s v="192, 192, 192"/>
    <n v="3"/>
    <m/>
    <n v="40"/>
    <m/>
    <m/>
    <m/>
    <m/>
    <s v="No"/>
    <n v="380"/>
    <m/>
    <m/>
    <s v="Commented Video"/>
    <x v="0"/>
    <s v="Super sir bhut acha samjaya"/>
    <s v="UCI8a254j9MYepxDRrR7iBBQ"/>
    <s v="Satya prakash Nayak"/>
    <s v="http://www.youtube.com/channel/UCI8a254j9MYepxDRrR7iBBQ"/>
    <m/>
    <s v="5Q411ntL0jQ"/>
    <s v="https://www.youtube.com/watch?v=5Q411ntL0jQ"/>
    <s v="none"/>
    <n v="0"/>
    <x v="377"/>
    <d v="2020-09-27T10:50:48.000"/>
    <m/>
    <m/>
    <s v=""/>
    <n v="1"/>
    <s v="11"/>
    <s v="11"/>
    <n v="1"/>
    <n v="20"/>
    <n v="0"/>
    <n v="0"/>
    <n v="0"/>
    <n v="0"/>
    <n v="4"/>
    <n v="80"/>
    <n v="5"/>
  </r>
  <r>
    <s v="UCjnlw6abg_8YOV5FWEOJC-Q"/>
    <s v="UCrC8mOqJQpoB7NuIMKIS6rQ"/>
    <s v="192, 192, 192"/>
    <n v="3"/>
    <m/>
    <n v="40"/>
    <m/>
    <m/>
    <m/>
    <m/>
    <s v="No"/>
    <n v="381"/>
    <m/>
    <m/>
    <s v="Commented Video"/>
    <x v="0"/>
    <s v="Dmrt ke bare me kuch bto sir basic kuch pls"/>
    <s v="UCjnlw6abg_8YOV5FWEOJC-Q"/>
    <s v="Babita Rawat"/>
    <s v="http://www.youtube.com/channel/UCjnlw6abg_8YOV5FWEOJC-Q"/>
    <m/>
    <s v="5Q411ntL0jQ"/>
    <s v="https://www.youtube.com/watch?v=5Q411ntL0jQ"/>
    <s v="none"/>
    <n v="1"/>
    <x v="378"/>
    <d v="2020-10-31T16:32:54.000"/>
    <m/>
    <m/>
    <s v=""/>
    <n v="1"/>
    <s v="11"/>
    <s v="11"/>
    <n v="0"/>
    <n v="0"/>
    <n v="0"/>
    <n v="0"/>
    <n v="0"/>
    <n v="0"/>
    <n v="10"/>
    <n v="100"/>
    <n v="10"/>
  </r>
  <r>
    <s v="UCEKepcrXySgFtDQgmfeg5gA"/>
    <s v="UCrC8mOqJQpoB7NuIMKIS6rQ"/>
    <s v="192, 192, 192"/>
    <n v="3"/>
    <m/>
    <n v="40"/>
    <m/>
    <m/>
    <m/>
    <m/>
    <s v="No"/>
    <n v="382"/>
    <m/>
    <m/>
    <s v="Commented Video"/>
    <x v="0"/>
    <s v="Nice vedio buddy like your vedio"/>
    <s v="UCEKepcrXySgFtDQgmfeg5gA"/>
    <s v="Trishna Borah"/>
    <s v="http://www.youtube.com/channel/UCEKepcrXySgFtDQgmfeg5gA"/>
    <m/>
    <s v="5Q411ntL0jQ"/>
    <s v="https://www.youtube.com/watch?v=5Q411ntL0jQ"/>
    <s v="none"/>
    <n v="0"/>
    <x v="379"/>
    <d v="2021-01-30T05:19:28.000"/>
    <m/>
    <m/>
    <s v=""/>
    <n v="1"/>
    <s v="11"/>
    <s v="11"/>
    <n v="2"/>
    <n v="33.333333333333336"/>
    <n v="0"/>
    <n v="0"/>
    <n v="0"/>
    <n v="0"/>
    <n v="4"/>
    <n v="66.66666666666667"/>
    <n v="6"/>
  </r>
  <r>
    <s v="UCAMeifLg83EHL1oqulx7IvQ"/>
    <s v="UCrC8mOqJQpoB7NuIMKIS6rQ"/>
    <s v="192, 192, 192"/>
    <n v="3"/>
    <m/>
    <n v="40"/>
    <m/>
    <m/>
    <m/>
    <m/>
    <s v="No"/>
    <n v="383"/>
    <m/>
    <m/>
    <s v="Commented Video"/>
    <x v="0"/>
    <s v="Plzz sir paid batch maay add krooo"/>
    <s v="UCAMeifLg83EHL1oqulx7IvQ"/>
    <s v="Mukhtar Kalas"/>
    <s v="http://www.youtube.com/channel/UCAMeifLg83EHL1oqulx7IvQ"/>
    <m/>
    <s v="5Q411ntL0jQ"/>
    <s v="https://www.youtube.com/watch?v=5Q411ntL0jQ"/>
    <s v="none"/>
    <n v="2"/>
    <x v="380"/>
    <d v="2021-03-05T18:58:15.000"/>
    <m/>
    <m/>
    <s v=""/>
    <n v="1"/>
    <s v="11"/>
    <s v="11"/>
    <n v="0"/>
    <n v="0"/>
    <n v="0"/>
    <n v="0"/>
    <n v="0"/>
    <n v="0"/>
    <n v="7"/>
    <n v="100"/>
    <n v="7"/>
  </r>
  <r>
    <s v="UCgySfE0SXpRKvRrD6JBhVdg"/>
    <s v="UCrC8mOqJQpoB7NuIMKIS6rQ"/>
    <s v="192, 192, 192"/>
    <n v="3"/>
    <m/>
    <n v="40"/>
    <m/>
    <m/>
    <m/>
    <m/>
    <s v="No"/>
    <n v="384"/>
    <m/>
    <m/>
    <s v="Commented Video"/>
    <x v="0"/>
    <s v="Covid 19 is example of contagious"/>
    <s v="UCgySfE0SXpRKvRrD6JBhVdg"/>
    <s v="Tania Singh"/>
    <s v="http://www.youtube.com/channel/UCgySfE0SXpRKvRrD6JBhVdg"/>
    <m/>
    <s v="5Q411ntL0jQ"/>
    <s v="https://www.youtube.com/watch?v=5Q411ntL0jQ"/>
    <s v="none"/>
    <n v="0"/>
    <x v="381"/>
    <d v="2021-04-15T10:54:54.000"/>
    <m/>
    <m/>
    <s v=""/>
    <n v="1"/>
    <s v="11"/>
    <s v="11"/>
    <n v="0"/>
    <n v="0"/>
    <n v="1"/>
    <n v="16.666666666666668"/>
    <n v="0"/>
    <n v="0"/>
    <n v="5"/>
    <n v="83.33333333333333"/>
    <n v="6"/>
  </r>
  <r>
    <s v="UCY4U7-wx-X0UTCeALjUgsuA"/>
    <s v="UCrC8mOqJQpoB7NuIMKIS6rQ"/>
    <s v="192, 192, 192"/>
    <n v="3"/>
    <m/>
    <n v="40"/>
    <m/>
    <m/>
    <m/>
    <m/>
    <s v="No"/>
    <n v="385"/>
    <m/>
    <m/>
    <s v="Commented Video"/>
    <x v="0"/>
    <s v="Why non communicable  Disease is more dangerous then communicable  disease why?"/>
    <s v="UCY4U7-wx-X0UTCeALjUgsuA"/>
    <s v="Sach Bhkh"/>
    <s v="http://www.youtube.com/channel/UCY4U7-wx-X0UTCeALjUgsuA"/>
    <m/>
    <s v="5Q411ntL0jQ"/>
    <s v="https://www.youtube.com/watch?v=5Q411ntL0jQ"/>
    <s v="none"/>
    <n v="0"/>
    <x v="382"/>
    <d v="2021-04-24T18:07:14.000"/>
    <m/>
    <m/>
    <s v=""/>
    <n v="1"/>
    <s v="11"/>
    <s v="11"/>
    <n v="0"/>
    <n v="0"/>
    <n v="1"/>
    <n v="9.090909090909092"/>
    <n v="0"/>
    <n v="0"/>
    <n v="10"/>
    <n v="90.9090909090909"/>
    <n v="11"/>
  </r>
  <r>
    <s v="UChXypeawFlFg1TNm7chU2hg"/>
    <s v="UCrC8mOqJQpoB7NuIMKIS6rQ"/>
    <s v="192, 192, 192"/>
    <n v="3"/>
    <m/>
    <n v="40"/>
    <m/>
    <m/>
    <m/>
    <m/>
    <s v="No"/>
    <n v="386"/>
    <m/>
    <m/>
    <s v="Commented Video"/>
    <x v="0"/>
    <s v="Thank you sir"/>
    <s v="UChXypeawFlFg1TNm7chU2hg"/>
    <s v="The facts"/>
    <s v="http://www.youtube.com/channel/UChXypeawFlFg1TNm7chU2hg"/>
    <m/>
    <s v="5Q411ntL0jQ"/>
    <s v="https://www.youtube.com/watch?v=5Q411ntL0jQ"/>
    <s v="none"/>
    <n v="0"/>
    <x v="383"/>
    <d v="2021-04-25T13:05:10.000"/>
    <m/>
    <m/>
    <s v=""/>
    <n v="1"/>
    <s v="11"/>
    <s v="11"/>
    <n v="1"/>
    <n v="33.333333333333336"/>
    <n v="0"/>
    <n v="0"/>
    <n v="0"/>
    <n v="0"/>
    <n v="2"/>
    <n v="66.66666666666667"/>
    <n v="3"/>
  </r>
  <r>
    <s v="UCKm4hpcuWTvzF-fk4AQlVBg"/>
    <s v="UCigXBTUNLcFuQMg-RgJvSgg"/>
    <s v="192, 192, 192"/>
    <n v="3"/>
    <m/>
    <n v="40"/>
    <m/>
    <m/>
    <m/>
    <m/>
    <s v="No"/>
    <n v="387"/>
    <m/>
    <m/>
    <s v="Commented Video"/>
    <x v="0"/>
    <s v="Wow no one commented after 9 years"/>
    <s v="UCKm4hpcuWTvzF-fk4AQlVBg"/>
    <s v="Omar Rojas"/>
    <s v="http://www.youtube.com/channel/UCKm4hpcuWTvzF-fk4AQlVBg"/>
    <m/>
    <s v="TAO_rztPO80"/>
    <s v="https://www.youtube.com/watch?v=TAO_rztPO80"/>
    <s v="none"/>
    <n v="0"/>
    <x v="384"/>
    <d v="2021-04-22T18:57:29.000"/>
    <m/>
    <m/>
    <s v=""/>
    <n v="1"/>
    <s v="21"/>
    <s v="21"/>
    <n v="1"/>
    <n v="14.285714285714286"/>
    <n v="0"/>
    <n v="0"/>
    <n v="0"/>
    <n v="0"/>
    <n v="6"/>
    <n v="85.71428571428571"/>
    <n v="7"/>
  </r>
  <r>
    <s v="UCvKp1ptbneYFIHWUpUNYbHQ"/>
    <s v="UCigXBTUNLcFuQMg-RgJvSgg"/>
    <s v="192, 192, 192"/>
    <n v="3"/>
    <m/>
    <n v="40"/>
    <m/>
    <m/>
    <m/>
    <m/>
    <s v="No"/>
    <n v="388"/>
    <m/>
    <m/>
    <s v="Commented Video"/>
    <x v="0"/>
    <s v="this is alarming for the Pacific countries. NCD keeps on raising"/>
    <s v="UCvKp1ptbneYFIHWUpUNYbHQ"/>
    <s v="Gnet willie"/>
    <s v="http://www.youtube.com/channel/UCvKp1ptbneYFIHWUpUNYbHQ"/>
    <m/>
    <s v="TAO_rztPO80"/>
    <s v="https://www.youtube.com/watch?v=TAO_rztPO80"/>
    <s v="none"/>
    <n v="0"/>
    <x v="385"/>
    <d v="2021-05-23T10:00:51.000"/>
    <m/>
    <m/>
    <s v=""/>
    <n v="1"/>
    <s v="21"/>
    <s v="21"/>
    <n v="0"/>
    <n v="0"/>
    <n v="1"/>
    <n v="9.090909090909092"/>
    <n v="0"/>
    <n v="0"/>
    <n v="10"/>
    <n v="90.9090909090909"/>
    <n v="11"/>
  </r>
  <r>
    <s v="UCqNRObSCvPqLS8VftXXy9Ow"/>
    <s v="UC5YnhYiAxe6zckSu1_XKeOw"/>
    <s v="192, 192, 192"/>
    <n v="3"/>
    <m/>
    <n v="40"/>
    <m/>
    <m/>
    <m/>
    <m/>
    <s v="Yes"/>
    <n v="389"/>
    <m/>
    <m/>
    <s v="Replied Comment"/>
    <x v="1"/>
    <s v="You&amp;#39;re welcome!"/>
    <s v="UCqNRObSCvPqLS8VftXXy9Ow"/>
    <s v="emmatheteachie"/>
    <s v="http://www.youtube.com/channel/UCqNRObSCvPqLS8VftXXy9Ow"/>
    <s v="UgzKf7m5WpLtGUCsKq54AaABAg"/>
    <s v="Td1itX2lMss"/>
    <s v="https://www.youtube.com/watch?v=Td1itX2lMss"/>
    <s v="none"/>
    <n v="0"/>
    <x v="386"/>
    <d v="2019-12-10T10:28:01.000"/>
    <m/>
    <m/>
    <s v=""/>
    <n v="1"/>
    <s v="16"/>
    <s v="16"/>
    <n v="1"/>
    <n v="25"/>
    <n v="0"/>
    <n v="0"/>
    <n v="0"/>
    <n v="0"/>
    <n v="3"/>
    <n v="75"/>
    <n v="4"/>
  </r>
  <r>
    <s v="UC5YnhYiAxe6zckSu1_XKeOw"/>
    <s v="UCqNRObSCvPqLS8VftXXy9Ow"/>
    <s v="192, 192, 192"/>
    <n v="3"/>
    <m/>
    <n v="40"/>
    <m/>
    <m/>
    <m/>
    <m/>
    <s v="Yes"/>
    <n v="390"/>
    <m/>
    <m/>
    <s v="Commented Video"/>
    <x v="0"/>
    <s v="Thank you &amp;lt;3"/>
    <s v="UC5YnhYiAxe6zckSu1_XKeOw"/>
    <s v="Oli Shehaj"/>
    <s v="http://www.youtube.com/channel/UC5YnhYiAxe6zckSu1_XKeOw"/>
    <m/>
    <s v="Td1itX2lMss"/>
    <s v="https://www.youtube.com/watch?v=Td1itX2lMss"/>
    <s v="none"/>
    <n v="3"/>
    <x v="387"/>
    <d v="2019-12-09T19:34:52.000"/>
    <m/>
    <m/>
    <s v=""/>
    <n v="1"/>
    <s v="16"/>
    <s v="16"/>
    <n v="1"/>
    <n v="25"/>
    <n v="0"/>
    <n v="0"/>
    <n v="0"/>
    <n v="0"/>
    <n v="3"/>
    <n v="75"/>
    <n v="4"/>
  </r>
  <r>
    <s v="UCqNRObSCvPqLS8VftXXy9Ow"/>
    <s v="UChVLSS6O6Ab542U4MN4OSlw"/>
    <s v="192, 192, 192"/>
    <n v="3"/>
    <m/>
    <n v="40"/>
    <m/>
    <m/>
    <m/>
    <m/>
    <s v="Yes"/>
    <n v="391"/>
    <m/>
    <m/>
    <s v="Replied Comment"/>
    <x v="1"/>
    <s v="You&amp;#39;re welcome, happy to help!"/>
    <s v="UCqNRObSCvPqLS8VftXXy9Ow"/>
    <s v="emmatheteachie"/>
    <s v="http://www.youtube.com/channel/UCqNRObSCvPqLS8VftXXy9Ow"/>
    <s v="UgwDrmyYeudRpMO-O_Z4AaABAg"/>
    <s v="Td1itX2lMss"/>
    <s v="https://www.youtube.com/watch?v=Td1itX2lMss"/>
    <s v="none"/>
    <n v="0"/>
    <x v="388"/>
    <d v="2020-05-02T16:03:18.000"/>
    <m/>
    <m/>
    <s v=""/>
    <n v="1"/>
    <s v="16"/>
    <s v="16"/>
    <n v="2"/>
    <n v="28.571428571428573"/>
    <n v="0"/>
    <n v="0"/>
    <n v="0"/>
    <n v="0"/>
    <n v="5"/>
    <n v="71.42857142857143"/>
    <n v="7"/>
  </r>
  <r>
    <s v="UChVLSS6O6Ab542U4MN4OSlw"/>
    <s v="UChVLSS6O6Ab542U4MN4OSlw"/>
    <s v="192, 192, 192"/>
    <n v="3"/>
    <m/>
    <n v="40"/>
    <m/>
    <m/>
    <m/>
    <m/>
    <s v="No"/>
    <n v="392"/>
    <m/>
    <m/>
    <s v="Replied Comment"/>
    <x v="1"/>
    <s v="@emmatheteachie 😁😁"/>
    <s v="UChVLSS6O6Ab542U4MN4OSlw"/>
    <s v="DrawingWibMe"/>
    <s v="http://www.youtube.com/channel/UChVLSS6O6Ab542U4MN4OSlw"/>
    <s v="UgwDrmyYeudRpMO-O_Z4AaABAg"/>
    <s v="Td1itX2lMss"/>
    <s v="https://www.youtube.com/watch?v=Td1itX2lMss"/>
    <s v="none"/>
    <n v="0"/>
    <x v="389"/>
    <d v="2020-05-05T19:22:56.000"/>
    <m/>
    <m/>
    <s v=""/>
    <n v="1"/>
    <s v="16"/>
    <s v="16"/>
    <n v="0"/>
    <n v="0"/>
    <n v="0"/>
    <n v="0"/>
    <n v="0"/>
    <n v="0"/>
    <n v="1"/>
    <n v="100"/>
    <n v="1"/>
  </r>
  <r>
    <s v="UChVLSS6O6Ab542U4MN4OSlw"/>
    <s v="UCqNRObSCvPqLS8VftXXy9Ow"/>
    <s v="192, 192, 192"/>
    <n v="3"/>
    <m/>
    <n v="40"/>
    <m/>
    <m/>
    <m/>
    <m/>
    <s v="Yes"/>
    <n v="393"/>
    <m/>
    <m/>
    <s v="Commented Video"/>
    <x v="0"/>
    <s v="Thatnk you"/>
    <s v="UChVLSS6O6Ab542U4MN4OSlw"/>
    <s v="DrawingWibMe"/>
    <s v="http://www.youtube.com/channel/UChVLSS6O6Ab542U4MN4OSlw"/>
    <m/>
    <s v="Td1itX2lMss"/>
    <s v="https://www.youtube.com/watch?v=Td1itX2lMss"/>
    <s v="none"/>
    <n v="3"/>
    <x v="390"/>
    <d v="2020-05-01T09:41:12.000"/>
    <m/>
    <m/>
    <s v=""/>
    <n v="1"/>
    <s v="16"/>
    <s v="16"/>
    <n v="0"/>
    <n v="0"/>
    <n v="0"/>
    <n v="0"/>
    <n v="0"/>
    <n v="0"/>
    <n v="2"/>
    <n v="100"/>
    <n v="2"/>
  </r>
  <r>
    <s v="UCqNRObSCvPqLS8VftXXy9Ow"/>
    <s v="UCNRTjqb1p3Q3AYPAHZtUcVw"/>
    <s v="192, 192, 192"/>
    <n v="3"/>
    <m/>
    <n v="40"/>
    <m/>
    <m/>
    <m/>
    <m/>
    <s v="Yes"/>
    <n v="394"/>
    <m/>
    <m/>
    <s v="Replied Comment"/>
    <x v="1"/>
    <s v="You&amp;#39;re very welcome!"/>
    <s v="UCqNRObSCvPqLS8VftXXy9Ow"/>
    <s v="emmatheteachie"/>
    <s v="http://www.youtube.com/channel/UCqNRObSCvPqLS8VftXXy9Ow"/>
    <s v="UgwkV83alL5mkcJ0dcd4AaABAg"/>
    <s v="Td1itX2lMss"/>
    <s v="https://www.youtube.com/watch?v=Td1itX2lMss"/>
    <s v="none"/>
    <n v="0"/>
    <x v="391"/>
    <d v="2020-09-04T19:00:54.000"/>
    <m/>
    <m/>
    <s v=""/>
    <n v="1"/>
    <s v="16"/>
    <s v="16"/>
    <n v="1"/>
    <n v="20"/>
    <n v="0"/>
    <n v="0"/>
    <n v="0"/>
    <n v="0"/>
    <n v="4"/>
    <n v="80"/>
    <n v="5"/>
  </r>
  <r>
    <s v="UCNRTjqb1p3Q3AYPAHZtUcVw"/>
    <s v="UCqNRObSCvPqLS8VftXXy9Ow"/>
    <s v="192, 192, 192"/>
    <n v="3"/>
    <m/>
    <n v="40"/>
    <m/>
    <m/>
    <m/>
    <m/>
    <s v="Yes"/>
    <n v="395"/>
    <m/>
    <m/>
    <s v="Commented Video"/>
    <x v="0"/>
    <s v="Thanks :)))))"/>
    <s v="UCNRTjqb1p3Q3AYPAHZtUcVw"/>
    <s v="Laura Barrett"/>
    <s v="http://www.youtube.com/channel/UCNRTjqb1p3Q3AYPAHZtUcVw"/>
    <m/>
    <s v="Td1itX2lMss"/>
    <s v="https://www.youtube.com/watch?v=Td1itX2lMss"/>
    <s v="none"/>
    <n v="0"/>
    <x v="392"/>
    <d v="2020-09-04T12:11:06.000"/>
    <m/>
    <m/>
    <s v=""/>
    <n v="1"/>
    <s v="16"/>
    <s v="16"/>
    <n v="0"/>
    <n v="0"/>
    <n v="0"/>
    <n v="0"/>
    <n v="0"/>
    <n v="0"/>
    <n v="1"/>
    <n v="100"/>
    <n v="1"/>
  </r>
  <r>
    <s v="UClVqXsTx_z51ddq5DKUOOow"/>
    <s v="UCqNRObSCvPqLS8VftXXy9Ow"/>
    <s v="192, 192, 192"/>
    <n v="3"/>
    <m/>
    <n v="40"/>
    <m/>
    <m/>
    <m/>
    <m/>
    <s v="No"/>
    <n v="396"/>
    <m/>
    <m/>
    <s v="Commented Video"/>
    <x v="0"/>
    <s v="cheers lad"/>
    <s v="UClVqXsTx_z51ddq5DKUOOow"/>
    <s v="James McDonald"/>
    <s v="http://www.youtube.com/channel/UClVqXsTx_z51ddq5DKUOOow"/>
    <m/>
    <s v="Td1itX2lMss"/>
    <s v="https://www.youtube.com/watch?v=Td1itX2lMss"/>
    <s v="none"/>
    <n v="3"/>
    <x v="393"/>
    <d v="2021-01-28T11:02:07.000"/>
    <m/>
    <m/>
    <s v=""/>
    <n v="1"/>
    <s v="16"/>
    <s v="16"/>
    <n v="0"/>
    <n v="0"/>
    <n v="0"/>
    <n v="0"/>
    <n v="0"/>
    <n v="0"/>
    <n v="2"/>
    <n v="100"/>
    <n v="2"/>
  </r>
  <r>
    <s v="UCqNRObSCvPqLS8VftXXy9Ow"/>
    <s v="UCq2bqGge1y2Sm3L4sV3AAvA"/>
    <s v="192, 192, 192"/>
    <n v="3"/>
    <m/>
    <n v="40"/>
    <m/>
    <m/>
    <m/>
    <m/>
    <s v="Yes"/>
    <n v="397"/>
    <m/>
    <m/>
    <s v="Replied Comment"/>
    <x v="1"/>
    <s v="No problem Rhea :)"/>
    <s v="UCqNRObSCvPqLS8VftXXy9Ow"/>
    <s v="emmatheteachie"/>
    <s v="http://www.youtube.com/channel/UCqNRObSCvPqLS8VftXXy9Ow"/>
    <s v="UgyU5xTFygA09E10DQh4AaABAg"/>
    <s v="Td1itX2lMss"/>
    <s v="https://www.youtube.com/watch?v=Td1itX2lMss"/>
    <s v="none"/>
    <n v="0"/>
    <x v="394"/>
    <d v="2021-02-22T11:22:11.000"/>
    <m/>
    <m/>
    <s v=""/>
    <n v="1"/>
    <s v="16"/>
    <s v="16"/>
    <n v="0"/>
    <n v="0"/>
    <n v="1"/>
    <n v="33.333333333333336"/>
    <n v="0"/>
    <n v="0"/>
    <n v="2"/>
    <n v="66.66666666666667"/>
    <n v="3"/>
  </r>
  <r>
    <s v="UCq2bqGge1y2Sm3L4sV3AAvA"/>
    <s v="UCq2bqGge1y2Sm3L4sV3AAvA"/>
    <s v="192, 192, 192"/>
    <n v="3"/>
    <m/>
    <n v="40"/>
    <m/>
    <m/>
    <m/>
    <m/>
    <s v="No"/>
    <n v="398"/>
    <m/>
    <m/>
    <s v="Replied Comment"/>
    <x v="1"/>
    <s v="@emmatheteachie 😊"/>
    <s v="UCq2bqGge1y2Sm3L4sV3AAvA"/>
    <s v="Rhea Kaur Malhi"/>
    <s v="http://www.youtube.com/channel/UCq2bqGge1y2Sm3L4sV3AAvA"/>
    <s v="UgyU5xTFygA09E10DQh4AaABAg"/>
    <s v="Td1itX2lMss"/>
    <s v="https://www.youtube.com/watch?v=Td1itX2lMss"/>
    <s v="none"/>
    <n v="0"/>
    <x v="395"/>
    <d v="2021-02-24T02:17:28.000"/>
    <m/>
    <m/>
    <s v=""/>
    <n v="1"/>
    <s v="16"/>
    <s v="16"/>
    <n v="0"/>
    <n v="0"/>
    <n v="0"/>
    <n v="0"/>
    <n v="0"/>
    <n v="0"/>
    <n v="1"/>
    <n v="100"/>
    <n v="1"/>
  </r>
  <r>
    <s v="UCq2bqGge1y2Sm3L4sV3AAvA"/>
    <s v="UCqNRObSCvPqLS8VftXXy9Ow"/>
    <s v="192, 192, 192"/>
    <n v="3"/>
    <m/>
    <n v="40"/>
    <m/>
    <m/>
    <m/>
    <m/>
    <s v="Yes"/>
    <n v="399"/>
    <m/>
    <m/>
    <s v="Commented Video"/>
    <x v="0"/>
    <s v="Thank you so much !!!!"/>
    <s v="UCq2bqGge1y2Sm3L4sV3AAvA"/>
    <s v="Rhea Kaur Malhi"/>
    <s v="http://www.youtube.com/channel/UCq2bqGge1y2Sm3L4sV3AAvA"/>
    <m/>
    <s v="Td1itX2lMss"/>
    <s v="https://www.youtube.com/watch?v=Td1itX2lMss"/>
    <s v="none"/>
    <n v="1"/>
    <x v="396"/>
    <d v="2021-02-21T10:12:25.000"/>
    <m/>
    <m/>
    <s v=""/>
    <n v="1"/>
    <s v="16"/>
    <s v="16"/>
    <n v="1"/>
    <n v="25"/>
    <n v="0"/>
    <n v="0"/>
    <n v="0"/>
    <n v="0"/>
    <n v="3"/>
    <n v="75"/>
    <n v="4"/>
  </r>
  <r>
    <s v="UC9FbVAgmeDXHDDlBlcKu2_w"/>
    <s v="UCBY7dVxt1Wk9r9SR-EzqsjA"/>
    <s v="192, 192, 192"/>
    <n v="3"/>
    <m/>
    <n v="40"/>
    <m/>
    <m/>
    <m/>
    <m/>
    <s v="No"/>
    <n v="400"/>
    <m/>
    <m/>
    <s v="Replied Comment"/>
    <x v="1"/>
    <s v="They can&amp;#39;t magically turn it off. We can slowly stop it by wearing masks."/>
    <s v="UC9FbVAgmeDXHDDlBlcKu2_w"/>
    <s v="Andrew Calabrese"/>
    <s v="http://www.youtube.com/channel/UC9FbVAgmeDXHDDlBlcKu2_w"/>
    <s v="Ugys864aOgUHXSeLVQd4AaABAg"/>
    <s v="1NoK5x9eG_k"/>
    <s v="https://www.youtube.com/watch?v=1NoK5x9eG_k"/>
    <s v="none"/>
    <n v="2"/>
    <x v="397"/>
    <d v="2020-09-08T18:21:26.000"/>
    <m/>
    <m/>
    <s v=""/>
    <n v="1"/>
    <s v="5"/>
    <s v="5"/>
    <n v="0"/>
    <n v="0"/>
    <n v="1"/>
    <n v="6.25"/>
    <n v="0"/>
    <n v="0"/>
    <n v="15"/>
    <n v="93.75"/>
    <n v="16"/>
  </r>
  <r>
    <s v="UCBY7dVxt1Wk9r9SR-EzqsjA"/>
    <s v="UCBY7dVxt1Wk9r9SR-EzqsjA"/>
    <s v="Red"/>
    <n v="10"/>
    <m/>
    <n v="15"/>
    <m/>
    <m/>
    <m/>
    <m/>
    <s v="No"/>
    <n v="401"/>
    <m/>
    <m/>
    <s v="Replied Comment"/>
    <x v="1"/>
    <s v="@Andrew Calabrese I guess so because it protects you"/>
    <s v="UCBY7dVxt1Wk9r9SR-EzqsjA"/>
    <s v="Little Damn Brittany"/>
    <s v="http://www.youtube.com/channel/UCBY7dVxt1Wk9r9SR-EzqsjA"/>
    <s v="Ugys864aOgUHXSeLVQd4AaABAg"/>
    <s v="1NoK5x9eG_k"/>
    <s v="https://www.youtube.com/watch?v=1NoK5x9eG_k"/>
    <s v="none"/>
    <n v="1"/>
    <x v="398"/>
    <d v="2020-09-08T19:02:59.000"/>
    <m/>
    <m/>
    <s v=""/>
    <n v="2"/>
    <s v="5"/>
    <s v="5"/>
    <n v="0"/>
    <n v="0"/>
    <n v="0"/>
    <n v="0"/>
    <n v="0"/>
    <n v="0"/>
    <n v="9"/>
    <n v="100"/>
    <n v="9"/>
  </r>
  <r>
    <s v="UCqP44doV3yxEI-84YUKmhaQ"/>
    <s v="UCBY7dVxt1Wk9r9SR-EzqsjA"/>
    <s v="192, 192, 192"/>
    <n v="3"/>
    <m/>
    <n v="40"/>
    <m/>
    <m/>
    <m/>
    <m/>
    <s v="No"/>
    <n v="402"/>
    <m/>
    <m/>
    <s v="Replied Comment"/>
    <x v="1"/>
    <s v="@Little Damn Brittany : ))"/>
    <s v="UCqP44doV3yxEI-84YUKmhaQ"/>
    <s v="Richard Kambinda"/>
    <s v="http://www.youtube.com/channel/UCqP44doV3yxEI-84YUKmhaQ"/>
    <s v="Ugys864aOgUHXSeLVQd4AaABAg"/>
    <s v="1NoK5x9eG_k"/>
    <s v="https://www.youtube.com/watch?v=1NoK5x9eG_k"/>
    <s v="none"/>
    <n v="0"/>
    <x v="399"/>
    <d v="2020-09-09T13:21:36.000"/>
    <m/>
    <m/>
    <s v=""/>
    <n v="1"/>
    <s v="5"/>
    <s v="5"/>
    <n v="0"/>
    <n v="0"/>
    <n v="1"/>
    <n v="33.333333333333336"/>
    <n v="0"/>
    <n v="0"/>
    <n v="2"/>
    <n v="66.66666666666667"/>
    <n v="3"/>
  </r>
  <r>
    <s v="UCBY7dVxt1Wk9r9SR-EzqsjA"/>
    <s v="UCBY7dVxt1Wk9r9SR-EzqsjA"/>
    <s v="Red"/>
    <n v="10"/>
    <m/>
    <n v="15"/>
    <m/>
    <m/>
    <m/>
    <m/>
    <s v="No"/>
    <n v="403"/>
    <m/>
    <m/>
    <s v="Replied Comment"/>
    <x v="1"/>
    <s v="@Richard Kambinda well it&amp;#39;s true tho"/>
    <s v="UCBY7dVxt1Wk9r9SR-EzqsjA"/>
    <s v="Little Damn Brittany"/>
    <s v="http://www.youtube.com/channel/UCBY7dVxt1Wk9r9SR-EzqsjA"/>
    <s v="Ugys864aOgUHXSeLVQd4AaABAg"/>
    <s v="1NoK5x9eG_k"/>
    <s v="https://www.youtube.com/watch?v=1NoK5x9eG_k"/>
    <s v="none"/>
    <n v="0"/>
    <x v="400"/>
    <d v="2020-09-09T21:20:32.000"/>
    <m/>
    <m/>
    <s v=""/>
    <n v="2"/>
    <s v="5"/>
    <s v="5"/>
    <n v="1"/>
    <n v="12.5"/>
    <n v="0"/>
    <n v="0"/>
    <n v="0"/>
    <n v="0"/>
    <n v="7"/>
    <n v="87.5"/>
    <n v="8"/>
  </r>
  <r>
    <s v="UCBY7dVxt1Wk9r9SR-EzqsjA"/>
    <s v="UC07-dOwgza1IguKA86jqxNA"/>
    <s v="192, 192, 192"/>
    <n v="3"/>
    <m/>
    <n v="40"/>
    <m/>
    <m/>
    <m/>
    <m/>
    <s v="No"/>
    <n v="404"/>
    <m/>
    <m/>
    <s v="Commented Video"/>
    <x v="0"/>
    <s v="You guys need to end the pandemic now"/>
    <s v="UCBY7dVxt1Wk9r9SR-EzqsjA"/>
    <s v="Little Damn Brittany"/>
    <s v="http://www.youtube.com/channel/UCBY7dVxt1Wk9r9SR-EzqsjA"/>
    <m/>
    <s v="1NoK5x9eG_k"/>
    <s v="https://www.youtube.com/watch?v=1NoK5x9eG_k"/>
    <s v="none"/>
    <n v="8"/>
    <x v="401"/>
    <d v="2020-09-08T16:30:29.000"/>
    <m/>
    <m/>
    <s v=""/>
    <n v="1"/>
    <s v="5"/>
    <s v="5"/>
    <n v="0"/>
    <n v="0"/>
    <n v="0"/>
    <n v="0"/>
    <n v="0"/>
    <n v="0"/>
    <n v="8"/>
    <n v="100"/>
    <n v="8"/>
  </r>
  <r>
    <s v="UCpzxC6ePRrHfRDhP8rwPfEg"/>
    <s v="UC07-dOwgza1IguKA86jqxNA"/>
    <s v="192, 192, 192"/>
    <n v="3"/>
    <m/>
    <n v="40"/>
    <m/>
    <m/>
    <m/>
    <m/>
    <s v="No"/>
    <n v="405"/>
    <m/>
    <m/>
    <s v="Commented Video"/>
    <x v="0"/>
    <s v="&amp;quot;Every generation has a higher purpose. Ours is stay home.&amp;quot;&lt;br&gt;&lt;br&gt;NO, OURS IS EXPOSE THE REAL INTENTIONS OF ANY KIND OF MAINSTREAM MEDIA AND ORGANIZATION THAT INTENTS TO DICTATE HOW HUMANS SHOULD LIVE. &lt;br&gt;&lt;br&gt;STAY HOME YOU GUYS FROM WHO! YOU ARE ONE OF THE WORST CANCERS OF THIS PLANET!"/>
    <s v="UCpzxC6ePRrHfRDhP8rwPfEg"/>
    <s v="Gui VW"/>
    <s v="http://www.youtube.com/channel/UCpzxC6ePRrHfRDhP8rwPfEg"/>
    <m/>
    <s v="1NoK5x9eG_k"/>
    <s v="https://www.youtube.com/watch?v=1NoK5x9eG_k"/>
    <s v="none"/>
    <n v="0"/>
    <x v="402"/>
    <d v="2020-09-08T17:24:50.000"/>
    <m/>
    <m/>
    <s v=""/>
    <n v="1"/>
    <s v="5"/>
    <s v="5"/>
    <n v="0"/>
    <n v="0"/>
    <n v="1"/>
    <n v="1.8181818181818181"/>
    <n v="0"/>
    <n v="0"/>
    <n v="54"/>
    <n v="98.18181818181819"/>
    <n v="55"/>
  </r>
  <r>
    <s v="UC0VdA1pckhfXuM31e3szFrw"/>
    <s v="UC07-dOwgza1IguKA86jqxNA"/>
    <s v="192, 192, 192"/>
    <n v="3"/>
    <m/>
    <n v="40"/>
    <m/>
    <m/>
    <m/>
    <m/>
    <s v="No"/>
    <n v="406"/>
    <m/>
    <m/>
    <s v="Commented Video"/>
    <x v="0"/>
    <s v="Snakes, rot in hell."/>
    <s v="UC0VdA1pckhfXuM31e3szFrw"/>
    <s v="Wir müssen reden - Great -Reset- Awakening"/>
    <s v="http://www.youtube.com/channel/UC0VdA1pckhfXuM31e3szFrw"/>
    <m/>
    <s v="1NoK5x9eG_k"/>
    <s v="https://www.youtube.com/watch?v=1NoK5x9eG_k"/>
    <s v="none"/>
    <n v="0"/>
    <x v="403"/>
    <d v="2020-09-08T17:52:47.000"/>
    <m/>
    <m/>
    <s v=""/>
    <n v="1"/>
    <s v="5"/>
    <s v="5"/>
    <n v="0"/>
    <n v="0"/>
    <n v="2"/>
    <n v="50"/>
    <n v="0"/>
    <n v="0"/>
    <n v="2"/>
    <n v="50"/>
    <n v="4"/>
  </r>
  <r>
    <s v="UCZ67Yx8fKQNh54kpgsU_asg"/>
    <s v="UC07-dOwgza1IguKA86jqxNA"/>
    <s v="192, 192, 192"/>
    <n v="3"/>
    <m/>
    <n v="40"/>
    <m/>
    <m/>
    <m/>
    <m/>
    <s v="No"/>
    <n v="407"/>
    <m/>
    <m/>
    <s v="Commented Video"/>
    <x v="0"/>
    <s v="Thank you so much! I love these talks. Especially the ones with Dr. Ryan and Dr. Maria : )"/>
    <s v="UCZ67Yx8fKQNh54kpgsU_asg"/>
    <s v="Ashlee Larsen"/>
    <s v="http://www.youtube.com/channel/UCZ67Yx8fKQNh54kpgsU_asg"/>
    <m/>
    <s v="1NoK5x9eG_k"/>
    <s v="https://www.youtube.com/watch?v=1NoK5x9eG_k"/>
    <s v="none"/>
    <n v="1"/>
    <x v="404"/>
    <d v="2020-09-08T19:49:27.000"/>
    <m/>
    <m/>
    <s v=""/>
    <n v="1"/>
    <s v="5"/>
    <s v="5"/>
    <n v="2"/>
    <n v="11.764705882352942"/>
    <n v="0"/>
    <n v="0"/>
    <n v="0"/>
    <n v="0"/>
    <n v="15"/>
    <n v="88.23529411764706"/>
    <n v="17"/>
  </r>
  <r>
    <s v="UCUtwb0Qr-St_h-OX1pL_iQQ"/>
    <s v="UC07-dOwgza1IguKA86jqxNA"/>
    <s v="192, 192, 192"/>
    <n v="3"/>
    <m/>
    <n v="40"/>
    <m/>
    <m/>
    <m/>
    <m/>
    <s v="No"/>
    <n v="408"/>
    <m/>
    <m/>
    <s v="Commented Video"/>
    <x v="0"/>
    <s v="How&amp;#39;s the vaccine derived polio thing going?"/>
    <s v="UCUtwb0Qr-St_h-OX1pL_iQQ"/>
    <s v="lmao lmfao"/>
    <s v="http://www.youtube.com/channel/UCUtwb0Qr-St_h-OX1pL_iQQ"/>
    <m/>
    <s v="1NoK5x9eG_k"/>
    <s v="https://www.youtube.com/watch?v=1NoK5x9eG_k"/>
    <s v="none"/>
    <n v="1"/>
    <x v="405"/>
    <d v="2020-09-08T22:50:40.000"/>
    <m/>
    <m/>
    <s v=""/>
    <n v="1"/>
    <s v="5"/>
    <s v="5"/>
    <n v="0"/>
    <n v="0"/>
    <n v="0"/>
    <n v="0"/>
    <n v="0"/>
    <n v="0"/>
    <n v="9"/>
    <n v="100"/>
    <n v="9"/>
  </r>
  <r>
    <s v="UCPeYFNsWAt25nCX-o5oa4ug"/>
    <s v="UC07-dOwgza1IguKA86jqxNA"/>
    <s v="Red"/>
    <n v="10"/>
    <m/>
    <n v="15"/>
    <m/>
    <m/>
    <m/>
    <m/>
    <s v="No"/>
    <n v="409"/>
    <m/>
    <m/>
    <s v="Commented Video"/>
    <x v="0"/>
    <s v="Sharing, Justice and Peace for All."/>
    <s v="UCPeYFNsWAt25nCX-o5oa4ug"/>
    <s v="Vance H"/>
    <s v="http://www.youtube.com/channel/UCPeYFNsWAt25nCX-o5oa4ug"/>
    <m/>
    <s v="qoyPQNU9ypc"/>
    <s v="https://www.youtube.com/watch?v=qoyPQNU9ypc"/>
    <s v="none"/>
    <n v="0"/>
    <x v="406"/>
    <d v="2019-10-14T18:42:55.000"/>
    <m/>
    <m/>
    <s v=""/>
    <n v="2"/>
    <s v="5"/>
    <s v="5"/>
    <n v="1"/>
    <n v="16.666666666666668"/>
    <n v="0"/>
    <n v="0"/>
    <n v="0"/>
    <n v="0"/>
    <n v="5"/>
    <n v="83.33333333333333"/>
    <n v="6"/>
  </r>
  <r>
    <s v="UCPeYFNsWAt25nCX-o5oa4ug"/>
    <s v="UC07-dOwgza1IguKA86jqxNA"/>
    <s v="Red"/>
    <n v="10"/>
    <m/>
    <n v="15"/>
    <m/>
    <m/>
    <m/>
    <m/>
    <s v="No"/>
    <n v="410"/>
    <m/>
    <m/>
    <s v="Commented Video"/>
    <x v="0"/>
    <s v="Sharing, Justice and Peace for All."/>
    <s v="UCPeYFNsWAt25nCX-o5oa4ug"/>
    <s v="Vance H"/>
    <s v="http://www.youtube.com/channel/UCPeYFNsWAt25nCX-o5oa4ug"/>
    <m/>
    <s v="1NoK5x9eG_k"/>
    <s v="https://www.youtube.com/watch?v=1NoK5x9eG_k"/>
    <s v="none"/>
    <n v="1"/>
    <x v="407"/>
    <d v="2020-09-09T00:39:22.000"/>
    <m/>
    <m/>
    <s v=""/>
    <n v="2"/>
    <s v="5"/>
    <s v="5"/>
    <n v="1"/>
    <n v="16.666666666666668"/>
    <n v="0"/>
    <n v="0"/>
    <n v="0"/>
    <n v="0"/>
    <n v="5"/>
    <n v="83.33333333333333"/>
    <n v="6"/>
  </r>
  <r>
    <s v="UCBUk5buOGR9HCieq9IA37Jg"/>
    <s v="UC07-dOwgza1IguKA86jqxNA"/>
    <s v="192, 192, 192"/>
    <n v="3"/>
    <m/>
    <n v="40"/>
    <m/>
    <m/>
    <m/>
    <m/>
    <s v="No"/>
    <n v="411"/>
    <m/>
    <m/>
    <s v="Commented Video"/>
    <x v="0"/>
    <s v="Herbal Penis Enlargement product is 100% guarantee to Enlarge and get a better ERECTION, contact Doctor Otors via whatsapp +12134191563. I was also having the problem with small penis and I don&amp;#39;t last long on sex. But since I met doctor Otors my marital problem was solved. Me and my wife are happily together now🥰. &lt;br&gt; The reason why most people are finding it difficult to enlarge Penis is because they believe on medical report, drugs and medical treatment which is not helpful for Penis Enlargement . Natural roots/herbs are the best remedy which can easily Enlarge your Penis permanently. &lt;br&gt;Contact Dr Otors for remedy if you got problem with your private organs or health problems and thank me later🤗 via WhatsApp: +12134191563 Or you can also visit his Facebook page@Dr Otors"/>
    <s v="UCBUk5buOGR9HCieq9IA37Jg"/>
    <s v="Mozege Boss"/>
    <s v="http://www.youtube.com/channel/UCBUk5buOGR9HCieq9IA37Jg"/>
    <m/>
    <s v="1NoK5x9eG_k"/>
    <s v="https://www.youtube.com/watch?v=1NoK5x9eG_k"/>
    <s v="none"/>
    <n v="0"/>
    <x v="408"/>
    <d v="2020-09-09T06:03:20.000"/>
    <m/>
    <m/>
    <s v=""/>
    <n v="1"/>
    <s v="5"/>
    <s v="5"/>
    <n v="8"/>
    <n v="5.882352941176471"/>
    <n v="5"/>
    <n v="3.676470588235294"/>
    <n v="0"/>
    <n v="0"/>
    <n v="123"/>
    <n v="90.44117647058823"/>
    <n v="136"/>
  </r>
  <r>
    <s v="UCqP44doV3yxEI-84YUKmhaQ"/>
    <s v="UC07-dOwgza1IguKA86jqxNA"/>
    <s v="Red"/>
    <n v="10"/>
    <m/>
    <n v="15"/>
    <m/>
    <m/>
    <m/>
    <m/>
    <s v="No"/>
    <n v="412"/>
    <m/>
    <m/>
    <s v="Commented Video"/>
    <x v="0"/>
    <s v="+"/>
    <s v="UCqP44doV3yxEI-84YUKmhaQ"/>
    <s v="Richard Kambinda"/>
    <s v="http://www.youtube.com/channel/UCqP44doV3yxEI-84YUKmhaQ"/>
    <m/>
    <s v="1NoK5x9eG_k"/>
    <s v="https://www.youtube.com/watch?v=1NoK5x9eG_k"/>
    <s v="none"/>
    <n v="1"/>
    <x v="409"/>
    <d v="2020-09-08T17:56:10.000"/>
    <m/>
    <m/>
    <s v=""/>
    <n v="2"/>
    <s v="5"/>
    <s v="5"/>
    <n v="0"/>
    <n v="0"/>
    <n v="0"/>
    <n v="0"/>
    <n v="0"/>
    <n v="0"/>
    <n v="0"/>
    <n v="0"/>
    <n v="0"/>
  </r>
  <r>
    <s v="UCqP44doV3yxEI-84YUKmhaQ"/>
    <s v="UC07-dOwgza1IguKA86jqxNA"/>
    <s v="Red"/>
    <n v="10"/>
    <m/>
    <n v="15"/>
    <m/>
    <m/>
    <m/>
    <m/>
    <s v="No"/>
    <n v="413"/>
    <m/>
    <m/>
    <s v="Commented Video"/>
    <x v="0"/>
    <s v="&lt;b&gt;GIVEN THAT:&lt;/b&gt;&lt;br&gt;&lt;br&gt;○ COVID-19: ...20% patients are symptomatic (of which, some 4% may either CPAP ventilation or further Critical Care intervention with corticosteroids at the very list). &lt;br&gt;● NCD&amp;#39;s: ...at least 15% of people suffer from a non-communicable disease. They may be nutritional, but also congenital; but, a growing number of NCD&amp;#39;s are chronic and inflammatory in nature; and, the trend has been that chronic inflammatory conditions were generally stereotyped as &amp;quot;diseases of old-age&amp;quot;. However, the &amp;#39;BlueZones&amp;#39; and the grew number of obese middle-aged (or, younger) individuals have since cast doubt on this thesis. Needless to say, heart disease &amp;amp; metabolic syndrome is not merely a whitecollar [male] disease. Moreover, irrespective of gender, age, race and even lifestyle, ...it is understood that 0.3-5% of individuals are born with some sort of predisposition to, at least, epigenetic mutations &amp;amp; anatomico-physiological peculiarities. &lt;br&gt;&lt;br&gt;○ COVID-19: ...if COVID, then ``¿Cytokine storm`` on reinfection🤔&lt;br&gt;● NCD&amp;#39;s: ...if allergen§ (e.g., milk or bee-sting), then ¿lactose intolerance, ¿senile cataracts, ¿osteoporosis, ¿-leukemia or jUst anaphylactic shock on the 2nd exposure🤔.&lt;br&gt;&lt;br&gt;&lt;b&gt;Qn: with all this talk of COVID-19 and this &amp;quot;new buzzword&amp;quot; called &amp;#39;co-morbidities&amp;#39;, are we seeing:&lt;/b&gt;&lt;br&gt;&lt;br&gt;A. correlation, &lt;br&gt;B. causation,&lt;br&gt;C. or, two phenomena superimposed...one upon the other...with the pandemic, itself, either disrupting routine HealthCare AND/OR accelerating nosological factors intrinsic to both itself and pathologies intrinsic to at-risk groups with comorbities comprising of NCD&amp;#39;s such as Metabolic Syndrome and/or chronic inflammatory conditions that my result from aetiologies arising out of the Communicable or Non-communicable set of diseases; ¿-favourable  (i.e., &amp;quot;synergistic&amp;quot;) conditions that enhance nearly all attributes pertaining to the outbreak evolution of the coUrse of the pandemic...across the globe&lt;br&gt;&lt;br&gt;&lt;b&gt;..IN THIS PANDEMIC🤔🔍🔍🔍???&lt;/b&gt;"/>
    <s v="UCqP44doV3yxEI-84YUKmhaQ"/>
    <s v="Richard Kambinda"/>
    <s v="http://www.youtube.com/channel/UCqP44doV3yxEI-84YUKmhaQ"/>
    <m/>
    <s v="1NoK5x9eG_k"/>
    <s v="https://www.youtube.com/watch?v=1NoK5x9eG_k"/>
    <s v="none"/>
    <n v="0"/>
    <x v="410"/>
    <d v="2020-09-09T13:20:45.000"/>
    <m/>
    <m/>
    <s v=""/>
    <n v="2"/>
    <s v="5"/>
    <s v="5"/>
    <n v="1"/>
    <n v="0.3048780487804878"/>
    <n v="19"/>
    <n v="5.7926829268292686"/>
    <n v="0"/>
    <n v="0"/>
    <n v="308"/>
    <n v="93.90243902439025"/>
    <n v="328"/>
  </r>
  <r>
    <s v="UCZ0FGT_t-KwGJyk9eeegamw"/>
    <s v="UC07-dOwgza1IguKA86jqxNA"/>
    <s v="192, 192, 192"/>
    <n v="3"/>
    <m/>
    <n v="40"/>
    <m/>
    <m/>
    <m/>
    <m/>
    <s v="No"/>
    <n v="414"/>
    <m/>
    <m/>
    <s v="Commented Video"/>
    <x v="0"/>
    <s v="Pl.sir Mr. Beast live momey its true."/>
    <s v="UCZ0FGT_t-KwGJyk9eeegamw"/>
    <s v="Taiger Kamrul"/>
    <s v="http://www.youtube.com/channel/UCZ0FGT_t-KwGJyk9eeegamw"/>
    <m/>
    <s v="1NoK5x9eG_k"/>
    <s v="https://www.youtube.com/watch?v=1NoK5x9eG_k"/>
    <s v="none"/>
    <n v="0"/>
    <x v="411"/>
    <d v="2020-09-10T15:27:04.000"/>
    <m/>
    <m/>
    <s v=""/>
    <n v="1"/>
    <s v="5"/>
    <s v="5"/>
    <n v="0"/>
    <n v="0"/>
    <n v="0"/>
    <n v="0"/>
    <n v="0"/>
    <n v="0"/>
    <n v="8"/>
    <n v="100"/>
    <n v="8"/>
  </r>
  <r>
    <s v="UCig0KhrB5NClMvX9QrbXcrw"/>
    <s v="UC7i1o6d7tVtn2I004e0a2Pg"/>
    <s v="Red"/>
    <n v="10"/>
    <m/>
    <n v="15"/>
    <m/>
    <m/>
    <m/>
    <m/>
    <s v="Yes"/>
    <n v="415"/>
    <m/>
    <m/>
    <s v="Replied Comment"/>
    <x v="1"/>
    <s v="Agree @Kris Ronsin - was really good to see Jordan on the show (she brings a lot to discussion)"/>
    <s v="UCig0KhrB5NClMvX9QrbXcrw"/>
    <s v="Global Health with Greg Martin"/>
    <s v="http://www.youtube.com/channel/UCig0KhrB5NClMvX9QrbXcrw"/>
    <s v="UghMzHWHqdAKwXgCoAEC"/>
    <s v="pfKPJasaDSY"/>
    <s v="https://www.youtube.com/watch?v=pfKPJasaDSY"/>
    <s v="none"/>
    <n v="3"/>
    <x v="412"/>
    <d v="2015-02-19T17:45:22.000"/>
    <m/>
    <m/>
    <s v=""/>
    <n v="2"/>
    <s v="15"/>
    <s v="15"/>
    <n v="1"/>
    <n v="5.555555555555555"/>
    <n v="0"/>
    <n v="0"/>
    <n v="0"/>
    <n v="0"/>
    <n v="17"/>
    <n v="94.44444444444444"/>
    <n v="18"/>
  </r>
  <r>
    <s v="UC7i1o6d7tVtn2I004e0a2Pg"/>
    <s v="UCig0KhrB5NClMvX9QrbXcrw"/>
    <s v="Red"/>
    <n v="10"/>
    <m/>
    <n v="15"/>
    <m/>
    <m/>
    <m/>
    <m/>
    <s v="Yes"/>
    <n v="416"/>
    <m/>
    <m/>
    <s v="Commented Video"/>
    <x v="0"/>
    <s v="We are glad you enjoyed it! Non-Communicaable diseases have been an issue for a long time and are only becoming a greater issue because they have gone somewhat unaddressed until recently.  The WHO Status Report released in January of this year helped show what a collective effort the world is trying to make in resolving the burden.  It was fantastic to have Jordan Jarvis on the show- she is a wealth of knowledge and does wonderful work with YP-CDN (Check out their google+ and YouTube pages as well!)"/>
    <s v="UC7i1o6d7tVtn2I004e0a2Pg"/>
    <s v="Kris Ronsin Novakovic"/>
    <s v="http://www.youtube.com/channel/UC7i1o6d7tVtn2I004e0a2Pg"/>
    <m/>
    <s v="pfKPJasaDSY"/>
    <s v="https://www.youtube.com/watch?v=pfKPJasaDSY"/>
    <s v="none"/>
    <n v="5"/>
    <x v="413"/>
    <d v="2015-02-19T14:29:14.000"/>
    <m/>
    <m/>
    <s v=""/>
    <n v="2"/>
    <s v="15"/>
    <s v="15"/>
    <n v="7"/>
    <n v="7.777777777777778"/>
    <n v="3"/>
    <n v="3.3333333333333335"/>
    <n v="0"/>
    <n v="0"/>
    <n v="80"/>
    <n v="88.88888888888889"/>
    <n v="90"/>
  </r>
  <r>
    <s v="UCig0KhrB5NClMvX9QrbXcrw"/>
    <s v="UC7i1o6d7tVtn2I004e0a2Pg"/>
    <s v="Red"/>
    <n v="10"/>
    <m/>
    <n v="15"/>
    <m/>
    <m/>
    <m/>
    <m/>
    <s v="Yes"/>
    <n v="417"/>
    <m/>
    <m/>
    <s v="Replied Comment"/>
    <x v="1"/>
    <s v="@Kris Ronsin great to have some like Jordan Javis on the show"/>
    <s v="UCig0KhrB5NClMvX9QrbXcrw"/>
    <s v="Global Health with Greg Martin"/>
    <s v="http://www.youtube.com/channel/UCig0KhrB5NClMvX9QrbXcrw"/>
    <s v="Ugh2LlkIQ8wO_HgCoAEC"/>
    <s v="pfKPJasaDSY"/>
    <s v="https://www.youtube.com/watch?v=pfKPJasaDSY"/>
    <s v="none"/>
    <n v="0"/>
    <x v="414"/>
    <d v="2015-06-14T13:14:47.000"/>
    <m/>
    <m/>
    <s v=""/>
    <n v="2"/>
    <s v="15"/>
    <s v="15"/>
    <n v="2"/>
    <n v="16.666666666666668"/>
    <n v="0"/>
    <n v="0"/>
    <n v="0"/>
    <n v="0"/>
    <n v="10"/>
    <n v="83.33333333333333"/>
    <n v="12"/>
  </r>
  <r>
    <s v="UC7i1o6d7tVtn2I004e0a2Pg"/>
    <s v="UCig0KhrB5NClMvX9QrbXcrw"/>
    <s v="Red"/>
    <n v="10"/>
    <m/>
    <n v="15"/>
    <m/>
    <m/>
    <m/>
    <m/>
    <s v="Yes"/>
    <n v="418"/>
    <m/>
    <m/>
    <s v="Commented Video"/>
    <x v="0"/>
    <s v="Check out the latest from TWiGH- Non Communicable Diseases and the WHO Global Action Plan status Report + Jordan Jarvis of YP-CDN!"/>
    <s v="UC7i1o6d7tVtn2I004e0a2Pg"/>
    <s v="Kris Ronsin Novakovic"/>
    <s v="http://www.youtube.com/channel/UC7i1o6d7tVtn2I004e0a2Pg"/>
    <m/>
    <s v="pfKPJasaDSY"/>
    <s v="https://www.youtube.com/watch?v=pfKPJasaDSY"/>
    <s v="none"/>
    <n v="1"/>
    <x v="415"/>
    <d v="2015-02-20T15:02:20.000"/>
    <m/>
    <m/>
    <s v=""/>
    <n v="2"/>
    <s v="15"/>
    <s v="15"/>
    <n v="0"/>
    <n v="0"/>
    <n v="0"/>
    <n v="0"/>
    <n v="0"/>
    <n v="0"/>
    <n v="22"/>
    <n v="100"/>
    <n v="22"/>
  </r>
  <r>
    <s v="UCig0KhrB5NClMvX9QrbXcrw"/>
    <s v="UCd9YqD9yL_muyGcFjiJvDbw"/>
    <s v="192, 192, 192"/>
    <n v="3"/>
    <m/>
    <n v="40"/>
    <m/>
    <m/>
    <m/>
    <m/>
    <s v="Yes"/>
    <n v="419"/>
    <m/>
    <m/>
    <s v="Replied Comment"/>
    <x v="1"/>
    <s v="Thanks @K Kosalai  - we&amp;#39;ll have more on NCDs for sure! "/>
    <s v="UCig0KhrB5NClMvX9QrbXcrw"/>
    <s v="Global Health with Greg Martin"/>
    <s v="http://www.youtube.com/channel/UCig0KhrB5NClMvX9QrbXcrw"/>
    <s v="UgjeQb-1r6RM1ngCoAEC"/>
    <s v="pfKPJasaDSY"/>
    <s v="https://www.youtube.com/watch?v=pfKPJasaDSY"/>
    <s v="none"/>
    <n v="0"/>
    <x v="416"/>
    <d v="2015-02-22T14:53:09.000"/>
    <m/>
    <m/>
    <s v=""/>
    <n v="1"/>
    <s v="15"/>
    <s v="15"/>
    <n v="0"/>
    <n v="0"/>
    <n v="0"/>
    <n v="0"/>
    <n v="0"/>
    <n v="0"/>
    <n v="12"/>
    <n v="100"/>
    <n v="12"/>
  </r>
  <r>
    <s v="UCd9YqD9yL_muyGcFjiJvDbw"/>
    <s v="UCig0KhrB5NClMvX9QrbXcrw"/>
    <s v="192, 192, 192"/>
    <n v="3"/>
    <m/>
    <n v="40"/>
    <m/>
    <m/>
    <m/>
    <m/>
    <s v="Yes"/>
    <n v="420"/>
    <m/>
    <m/>
    <s v="Commented Video"/>
    <x v="0"/>
    <s v="Great overview on NCD. Will look forward to hear more on NCD.."/>
    <s v="UCd9YqD9yL_muyGcFjiJvDbw"/>
    <s v="Kosalai Mohan"/>
    <s v="http://www.youtube.com/channel/UCd9YqD9yL_muyGcFjiJvDbw"/>
    <m/>
    <s v="pfKPJasaDSY"/>
    <s v="https://www.youtube.com/watch?v=pfKPJasaDSY"/>
    <s v="none"/>
    <n v="1"/>
    <x v="417"/>
    <d v="2015-02-22T04:16:40.000"/>
    <m/>
    <m/>
    <s v=""/>
    <n v="1"/>
    <s v="15"/>
    <s v="15"/>
    <n v="1"/>
    <n v="8.333333333333334"/>
    <n v="0"/>
    <n v="0"/>
    <n v="0"/>
    <n v="0"/>
    <n v="11"/>
    <n v="91.66666666666667"/>
    <n v="12"/>
  </r>
  <r>
    <s v="UCig0KhrB5NClMvX9QrbXcrw"/>
    <s v="UCf3n0HOm04_pmgj8PKCo6oA"/>
    <s v="192, 192, 192"/>
    <n v="3"/>
    <m/>
    <n v="40"/>
    <m/>
    <m/>
    <m/>
    <m/>
    <s v="Yes"/>
    <n v="421"/>
    <m/>
    <m/>
    <s v="Replied Comment"/>
    <x v="1"/>
    <s v="@Minal Ondhiya Thanks for the comment and thanks for the insights into what&amp;#39;s happening in India! Lets hope that we see fantastic progress by 2025!! :)"/>
    <s v="UCig0KhrB5NClMvX9QrbXcrw"/>
    <s v="Global Health with Greg Martin"/>
    <s v="http://www.youtube.com/channel/UCig0KhrB5NClMvX9QrbXcrw"/>
    <s v="UghqkvLP-1TTdXgCoAEC"/>
    <s v="pfKPJasaDSY"/>
    <s v="https://www.youtube.com/watch?v=pfKPJasaDSY"/>
    <s v="none"/>
    <n v="0"/>
    <x v="418"/>
    <d v="2015-06-14T13:16:23.000"/>
    <m/>
    <m/>
    <s v=""/>
    <n v="1"/>
    <s v="15"/>
    <s v="15"/>
    <n v="2"/>
    <n v="7.407407407407407"/>
    <n v="0"/>
    <n v="0"/>
    <n v="0"/>
    <n v="0"/>
    <n v="25"/>
    <n v="92.5925925925926"/>
    <n v="27"/>
  </r>
  <r>
    <s v="UCf3n0HOm04_pmgj8PKCo6oA"/>
    <s v="UCig0KhrB5NClMvX9QrbXcrw"/>
    <s v="192, 192, 192"/>
    <n v="3"/>
    <m/>
    <n v="40"/>
    <m/>
    <m/>
    <m/>
    <m/>
    <s v="Yes"/>
    <n v="422"/>
    <m/>
    <m/>
    <s v="Commented Video"/>
    <x v="0"/>
    <s v="I work as District Public Health Specialist in NCD , India. Its funny that India is the most affected country and yet the program is not rolled out all over India. Its still run as pilot program. We are able to provide medicines to only 10 % of the patients and that too only for 6 months maximum.As happened with MDGs , I wonder if we will be able to achieve anything by 2025. I have been part of the workshop for that framework and guess what, the state has not made formats for reporting reflecting those indiactors (So we are not even measuring where we are...)"/>
    <s v="UCf3n0HOm04_pmgj8PKCo6oA"/>
    <s v="Minal Ondhiya"/>
    <s v="http://www.youtube.com/channel/UCf3n0HOm04_pmgj8PKCo6oA"/>
    <m/>
    <s v="pfKPJasaDSY"/>
    <s v="https://www.youtube.com/watch?v=pfKPJasaDSY"/>
    <s v="none"/>
    <n v="1"/>
    <x v="419"/>
    <d v="2015-06-14T11:25:07.000"/>
    <m/>
    <m/>
    <s v=""/>
    <n v="1"/>
    <s v="15"/>
    <s v="15"/>
    <n v="2"/>
    <n v="1.9047619047619047"/>
    <n v="1"/>
    <n v="0.9523809523809523"/>
    <n v="0"/>
    <n v="0"/>
    <n v="102"/>
    <n v="97.14285714285714"/>
    <n v="105"/>
  </r>
  <r>
    <s v="UCig0KhrB5NClMvX9QrbXcrw"/>
    <s v="UCspOgcY19gaQ0LVK2SOsHMw"/>
    <s v="192, 192, 192"/>
    <n v="3"/>
    <m/>
    <n v="40"/>
    <m/>
    <m/>
    <m/>
    <m/>
    <s v="Yes"/>
    <n v="423"/>
    <m/>
    <m/>
    <s v="Replied Comment"/>
    <x v="1"/>
    <s v="+Shiva Raj Mishra (WDC Nepal)  thanks for your comment. Great suggestion - I&amp;#39;ll definitely try to bring more discussion re NCDs in developing countries into the discussion."/>
    <s v="UCig0KhrB5NClMvX9QrbXcrw"/>
    <s v="Global Health with Greg Martin"/>
    <s v="http://www.youtube.com/channel/UCig0KhrB5NClMvX9QrbXcrw"/>
    <s v="UgjFzZOhl1ouE3gCoAEC"/>
    <s v="pfKPJasaDSY"/>
    <s v="https://www.youtube.com/watch?v=pfKPJasaDSY"/>
    <s v="none"/>
    <n v="0"/>
    <x v="420"/>
    <d v="2015-11-10T18:13:35.000"/>
    <m/>
    <m/>
    <s v=""/>
    <n v="1"/>
    <s v="15"/>
    <s v="15"/>
    <n v="1"/>
    <n v="3.5714285714285716"/>
    <n v="0"/>
    <n v="0"/>
    <n v="0"/>
    <n v="0"/>
    <n v="27"/>
    <n v="96.42857142857143"/>
    <n v="28"/>
  </r>
  <r>
    <s v="UCspOgcY19gaQ0LVK2SOsHMw"/>
    <s v="UCig0KhrB5NClMvX9QrbXcrw"/>
    <s v="192, 192, 192"/>
    <n v="3"/>
    <m/>
    <n v="40"/>
    <m/>
    <m/>
    <m/>
    <m/>
    <s v="Yes"/>
    <n v="424"/>
    <m/>
    <m/>
    <s v="Commented Video"/>
    <x v="0"/>
    <s v="I have the opportunity to review in brief, the burden of non communicable diseases in Nepal. The full report is published in Globalization Health, and findings were staggering with 8,000-10,000 cancer deaths annually, and hypertension (22.4%-38.6%), diabetes (4.1%-9.5%) and several other substantially high NCDs, not to mention the quality of studies that reported these findings were very low. Having had to deal with communicable diseases, large efforts in sustaining maternal and child health, budget priorities are not in NCDs. However, Nepal&amp;#39;s government is initiating steps in NCDs control with preparation of NCD control plan recently, but progress into putting that into action remains frustrating. I would be really interested to bring more discussion into, NCDs issue from developing countries perspective."/>
    <s v="UCspOgcY19gaQ0LVK2SOsHMw"/>
    <s v="Shiva Raj Mishra"/>
    <s v="http://www.youtube.com/channel/UCspOgcY19gaQ0LVK2SOsHMw"/>
    <m/>
    <s v="pfKPJasaDSY"/>
    <s v="https://www.youtube.com/watch?v=pfKPJasaDSY"/>
    <s v="none"/>
    <n v="1"/>
    <x v="421"/>
    <d v="2015-10-29T05:58:49.000"/>
    <m/>
    <m/>
    <s v=""/>
    <n v="1"/>
    <s v="15"/>
    <s v="15"/>
    <n v="1"/>
    <n v="0.7633587786259542"/>
    <n v="4"/>
    <n v="3.053435114503817"/>
    <n v="0"/>
    <n v="0"/>
    <n v="126"/>
    <n v="96.18320610687023"/>
    <n v="131"/>
  </r>
  <r>
    <s v="UCig0KhrB5NClMvX9QrbXcrw"/>
    <s v="UCilVHLxNKoC98Vke9PZIZxA"/>
    <s v="192, 192, 192"/>
    <n v="3"/>
    <m/>
    <n v="40"/>
    <m/>
    <m/>
    <m/>
    <m/>
    <s v="Yes"/>
    <n v="425"/>
    <m/>
    <m/>
    <s v="Replied Comment"/>
    <x v="1"/>
    <s v="haha - interesting... well, glad to have had you here (even just for a moment). Enjoy the rest of the 50 cent playlist! :)"/>
    <s v="UCig0KhrB5NClMvX9QrbXcrw"/>
    <s v="Global Health with Greg Martin"/>
    <s v="http://www.youtube.com/channel/UCig0KhrB5NClMvX9QrbXcrw"/>
    <s v="UgwILlPkzY8BpUKYSVZ4AaABAg"/>
    <s v="pfKPJasaDSY"/>
    <s v="https://www.youtube.com/watch?v=pfKPJasaDSY"/>
    <s v="none"/>
    <n v="0"/>
    <x v="422"/>
    <d v="2018-06-26T10:35:57.000"/>
    <m/>
    <m/>
    <s v=""/>
    <n v="1"/>
    <s v="15"/>
    <s v="15"/>
    <n v="4"/>
    <n v="18.181818181818183"/>
    <n v="0"/>
    <n v="0"/>
    <n v="0"/>
    <n v="0"/>
    <n v="18"/>
    <n v="81.81818181818181"/>
    <n v="22"/>
  </r>
  <r>
    <s v="UCilVHLxNKoC98Vke9PZIZxA"/>
    <s v="UCilVHLxNKoC98Vke9PZIZxA"/>
    <s v="192, 192, 192"/>
    <n v="3"/>
    <m/>
    <n v="40"/>
    <m/>
    <m/>
    <m/>
    <m/>
    <s v="No"/>
    <n v="426"/>
    <m/>
    <m/>
    <s v="Replied Comment"/>
    <x v="1"/>
    <s v="lol."/>
    <s v="UCilVHLxNKoC98Vke9PZIZxA"/>
    <s v="dunkindonutmaster_09"/>
    <s v="http://www.youtube.com/channel/UCilVHLxNKoC98Vke9PZIZxA"/>
    <s v="UgwILlPkzY8BpUKYSVZ4AaABAg"/>
    <s v="pfKPJasaDSY"/>
    <s v="https://www.youtube.com/watch?v=pfKPJasaDSY"/>
    <s v="none"/>
    <n v="0"/>
    <x v="423"/>
    <d v="2018-06-26T15:53:36.000"/>
    <m/>
    <m/>
    <s v=""/>
    <n v="1"/>
    <s v="15"/>
    <s v="15"/>
    <n v="0"/>
    <n v="0"/>
    <n v="0"/>
    <n v="0"/>
    <n v="0"/>
    <n v="0"/>
    <n v="1"/>
    <n v="100"/>
    <n v="1"/>
  </r>
  <r>
    <s v="UCilVHLxNKoC98Vke9PZIZxA"/>
    <s v="UCig0KhrB5NClMvX9QrbXcrw"/>
    <s v="192, 192, 192"/>
    <n v="3"/>
    <m/>
    <n v="40"/>
    <m/>
    <m/>
    <m/>
    <m/>
    <s v="Yes"/>
    <n v="427"/>
    <m/>
    <m/>
    <s v="Commented Video"/>
    <x v="0"/>
    <s v="I don&amp;#39;t know how I got here from listening to a 50 cent playlist."/>
    <s v="UCilVHLxNKoC98Vke9PZIZxA"/>
    <s v="dunkindonutmaster_09"/>
    <s v="http://www.youtube.com/channel/UCilVHLxNKoC98Vke9PZIZxA"/>
    <m/>
    <s v="pfKPJasaDSY"/>
    <s v="https://www.youtube.com/watch?v=pfKPJasaDSY"/>
    <s v="none"/>
    <n v="0"/>
    <x v="424"/>
    <d v="2018-06-22T05:11:23.000"/>
    <m/>
    <m/>
    <s v=""/>
    <n v="1"/>
    <s v="15"/>
    <s v="15"/>
    <n v="0"/>
    <n v="0"/>
    <n v="0"/>
    <n v="0"/>
    <n v="0"/>
    <n v="0"/>
    <n v="16"/>
    <n v="100"/>
    <n v="16"/>
  </r>
  <r>
    <s v="UCguC9iBJti3CgOP95wGmQnw"/>
    <s v="UCqbOeHaAUXw9Il7sBVG3_bw"/>
    <s v="192, 192, 192"/>
    <n v="3"/>
    <m/>
    <n v="40"/>
    <m/>
    <m/>
    <m/>
    <m/>
    <s v="No"/>
    <n v="428"/>
    <m/>
    <m/>
    <s v="Commented Video"/>
    <x v="0"/>
    <s v="These videos r really good and very helpful. Thankyou"/>
    <s v="UCguC9iBJti3CgOP95wGmQnw"/>
    <s v="James Loader"/>
    <s v="http://www.youtube.com/channel/UCguC9iBJti3CgOP95wGmQnw"/>
    <m/>
    <s v="H6DrSG_KQjo"/>
    <s v="https://www.youtube.com/watch?v=H6DrSG_KQjo"/>
    <s v="none"/>
    <n v="4"/>
    <x v="425"/>
    <d v="2017-09-18T22:11:18.000"/>
    <m/>
    <m/>
    <s v=""/>
    <n v="1"/>
    <s v="1"/>
    <s v="1"/>
    <n v="2"/>
    <n v="22.22222222222222"/>
    <n v="0"/>
    <n v="0"/>
    <n v="0"/>
    <n v="0"/>
    <n v="7"/>
    <n v="77.77777777777777"/>
    <n v="9"/>
  </r>
  <r>
    <s v="UCIY-WKG4zBHG59bNY3vt27g"/>
    <s v="UCqbOeHaAUXw9Il7sBVG3_bw"/>
    <s v="192, 192, 192"/>
    <n v="3"/>
    <m/>
    <n v="40"/>
    <m/>
    <m/>
    <m/>
    <m/>
    <s v="No"/>
    <n v="429"/>
    <m/>
    <m/>
    <s v="Commented Video"/>
    <x v="0"/>
    <s v="thanks"/>
    <s v="UCIY-WKG4zBHG59bNY3vt27g"/>
    <s v="Mr A"/>
    <s v="http://www.youtube.com/channel/UCIY-WKG4zBHG59bNY3vt27g"/>
    <m/>
    <s v="H6DrSG_KQjo"/>
    <s v="https://www.youtube.com/watch?v=H6DrSG_KQjo"/>
    <s v="none"/>
    <n v="0"/>
    <x v="426"/>
    <d v="2017-09-21T17:22:12.000"/>
    <m/>
    <m/>
    <s v=""/>
    <n v="1"/>
    <s v="1"/>
    <s v="1"/>
    <n v="0"/>
    <n v="0"/>
    <n v="0"/>
    <n v="0"/>
    <n v="0"/>
    <n v="0"/>
    <n v="1"/>
    <n v="100"/>
    <n v="1"/>
  </r>
  <r>
    <s v="UCeHjXb2gbbNp8UVz6tv8lgg"/>
    <s v="UCUPcct3wU_fPe5Jz4z9aKBg"/>
    <s v="192, 192, 192"/>
    <n v="3"/>
    <m/>
    <n v="40"/>
    <m/>
    <m/>
    <m/>
    <m/>
    <s v="No"/>
    <n v="430"/>
    <m/>
    <m/>
    <s v="Replied Comment"/>
    <x v="1"/>
    <s v="Not ready. And won&amp;#39;t be till 2019."/>
    <s v="UCeHjXb2gbbNp8UVz6tv8lgg"/>
    <s v="Roony Q"/>
    <s v="http://www.youtube.com/channel/UCeHjXb2gbbNp8UVz6tv8lgg"/>
    <s v="UgxvHvSonFMMDb8PPCl4AaABAg"/>
    <s v="H6DrSG_KQjo"/>
    <s v="https://www.youtube.com/watch?v=H6DrSG_KQjo"/>
    <s v="none"/>
    <n v="3"/>
    <x v="427"/>
    <d v="2018-03-29T01:02:56.000"/>
    <m/>
    <m/>
    <s v=""/>
    <n v="1"/>
    <s v="1"/>
    <s v="1"/>
    <n v="2"/>
    <n v="22.22222222222222"/>
    <n v="0"/>
    <n v="0"/>
    <n v="0"/>
    <n v="0"/>
    <n v="7"/>
    <n v="77.77777777777777"/>
    <n v="9"/>
  </r>
  <r>
    <s v="UCUPcct3wU_fPe5Jz4z9aKBg"/>
    <s v="UCqbOeHaAUXw9Il7sBVG3_bw"/>
    <s v="192, 192, 192"/>
    <n v="3"/>
    <m/>
    <n v="40"/>
    <m/>
    <m/>
    <m/>
    <m/>
    <s v="No"/>
    <n v="431"/>
    <m/>
    <m/>
    <s v="Commented Video"/>
    <x v="0"/>
    <s v="Where&amp;#39;s the revision workbook?Cant&amp;#39; seem to find it."/>
    <s v="UCUPcct3wU_fPe5Jz4z9aKBg"/>
    <s v="Fatima Ahmed"/>
    <s v="http://www.youtube.com/channel/UCUPcct3wU_fPe5Jz4z9aKBg"/>
    <m/>
    <s v="H6DrSG_KQjo"/>
    <s v="https://www.youtube.com/watch?v=H6DrSG_KQjo"/>
    <s v="none"/>
    <n v="1"/>
    <x v="428"/>
    <d v="2017-09-24T01:44:56.000"/>
    <m/>
    <m/>
    <s v=""/>
    <n v="1"/>
    <s v="1"/>
    <s v="1"/>
    <n v="0"/>
    <n v="0"/>
    <n v="0"/>
    <n v="0"/>
    <n v="0"/>
    <n v="0"/>
    <n v="12"/>
    <n v="100"/>
    <n v="12"/>
  </r>
  <r>
    <s v="UCjhTwB83OdNFIX5Z68V5mGg"/>
    <s v="UCyeyCkuIHgXnMCiLXWOBc0w"/>
    <s v="192, 192, 192"/>
    <n v="3"/>
    <m/>
    <n v="40"/>
    <m/>
    <m/>
    <m/>
    <m/>
    <s v="No"/>
    <n v="432"/>
    <m/>
    <m/>
    <s v="Replied Comment"/>
    <x v="1"/>
    <s v="@Ria Rahman lol sis is out here thriving"/>
    <s v="UCjhTwB83OdNFIX5Z68V5mGg"/>
    <s v="lily"/>
    <s v="http://www.youtube.com/channel/UCjhTwB83OdNFIX5Z68V5mGg"/>
    <s v="UgwlFVz1FYTaOh5kCLx4AaABAg"/>
    <s v="H6DrSG_KQjo"/>
    <s v="https://www.youtube.com/watch?v=H6DrSG_KQjo"/>
    <s v="none"/>
    <n v="3"/>
    <x v="429"/>
    <d v="2018-11-27T17:12:52.000"/>
    <m/>
    <m/>
    <s v=""/>
    <n v="1"/>
    <s v="1"/>
    <s v="1"/>
    <n v="1"/>
    <n v="12.5"/>
    <n v="0"/>
    <n v="0"/>
    <n v="0"/>
    <n v="0"/>
    <n v="7"/>
    <n v="87.5"/>
    <n v="8"/>
  </r>
  <r>
    <s v="UCqbOeHaAUXw9Il7sBVG3_bw"/>
    <s v="UCyeyCkuIHgXnMCiLXWOBc0w"/>
    <s v="192, 192, 192"/>
    <n v="3"/>
    <m/>
    <n v="40"/>
    <m/>
    <m/>
    <m/>
    <m/>
    <s v="Yes"/>
    <n v="433"/>
    <m/>
    <m/>
    <s v="Replied Comment"/>
    <x v="1"/>
    <s v="Yes, I&amp;#39;ve still to do the plant videos."/>
    <s v="UCqbOeHaAUXw9Il7sBVG3_bw"/>
    <s v="Freesciencelessons"/>
    <s v="http://www.youtube.com/channel/UCqbOeHaAUXw9Il7sBVG3_bw"/>
    <s v="UgwlFVz1FYTaOh5kCLx4AaABAg"/>
    <s v="H6DrSG_KQjo"/>
    <s v="https://www.youtube.com/watch?v=H6DrSG_KQjo"/>
    <s v="none"/>
    <n v="9"/>
    <x v="430"/>
    <d v="2017-09-28T21:22:50.000"/>
    <m/>
    <m/>
    <s v=""/>
    <n v="1"/>
    <s v="1"/>
    <s v="1"/>
    <n v="0"/>
    <n v="0"/>
    <n v="0"/>
    <n v="0"/>
    <n v="0"/>
    <n v="0"/>
    <n v="10"/>
    <n v="100"/>
    <n v="10"/>
  </r>
  <r>
    <s v="UCyeyCkuIHgXnMCiLXWOBc0w"/>
    <s v="UCyeyCkuIHgXnMCiLXWOBc0w"/>
    <s v="192, 192, 192"/>
    <n v="3"/>
    <m/>
    <n v="40"/>
    <m/>
    <m/>
    <m/>
    <m/>
    <s v="No"/>
    <n v="434"/>
    <m/>
    <m/>
    <s v="Replied Comment"/>
    <x v="1"/>
    <s v="do you have any idea when they will be added to this playlist so i can start my notes? &lt;br&gt;many thanks x"/>
    <s v="UCyeyCkuIHgXnMCiLXWOBc0w"/>
    <s v="Ria Rahman"/>
    <s v="http://www.youtube.com/channel/UCyeyCkuIHgXnMCiLXWOBc0w"/>
    <s v="UgwlFVz1FYTaOh5kCLx4AaABAg"/>
    <s v="H6DrSG_KQjo"/>
    <s v="https://www.youtube.com/watch?v=H6DrSG_KQjo"/>
    <s v="none"/>
    <n v="3"/>
    <x v="431"/>
    <d v="2017-10-24T20:12:58.000"/>
    <m/>
    <m/>
    <s v=""/>
    <n v="1"/>
    <s v="1"/>
    <s v="1"/>
    <n v="0"/>
    <n v="0"/>
    <n v="0"/>
    <n v="0"/>
    <n v="0"/>
    <n v="0"/>
    <n v="23"/>
    <n v="100"/>
    <n v="23"/>
  </r>
  <r>
    <s v="UCyeyCkuIHgXnMCiLXWOBc0w"/>
    <s v="UCqbOeHaAUXw9Il7sBVG3_bw"/>
    <s v="192, 192, 192"/>
    <n v="3"/>
    <m/>
    <n v="40"/>
    <m/>
    <m/>
    <m/>
    <m/>
    <s v="Yes"/>
    <n v="435"/>
    <m/>
    <m/>
    <s v="Commented Video"/>
    <x v="0"/>
    <s v="is there any more for the organisation topic? x i have my test tomorrow and my teacher said Organisation also consists of the leaf and stuff"/>
    <s v="UCyeyCkuIHgXnMCiLXWOBc0w"/>
    <s v="Ria Rahman"/>
    <s v="http://www.youtube.com/channel/UCyeyCkuIHgXnMCiLXWOBc0w"/>
    <m/>
    <s v="H6DrSG_KQjo"/>
    <s v="https://www.youtube.com/watch?v=H6DrSG_KQjo"/>
    <s v="none"/>
    <n v="15"/>
    <x v="432"/>
    <d v="2017-09-28T21:19:49.000"/>
    <m/>
    <m/>
    <s v=""/>
    <n v="1"/>
    <s v="1"/>
    <s v="1"/>
    <n v="0"/>
    <n v="0"/>
    <n v="0"/>
    <n v="0"/>
    <n v="0"/>
    <n v="0"/>
    <n v="26"/>
    <n v="100"/>
    <n v="26"/>
  </r>
  <r>
    <s v="UCapct-0qZHnpMSiPBD8EQHA"/>
    <s v="UCQznmXyQd8I9VMzc-4UISQA"/>
    <s v="192, 192, 192"/>
    <n v="3"/>
    <m/>
    <n v="40"/>
    <m/>
    <m/>
    <m/>
    <m/>
    <s v="No"/>
    <n v="436"/>
    <m/>
    <m/>
    <s v="Replied Comment"/>
    <x v="1"/>
    <s v="nobody cares"/>
    <s v="UCapct-0qZHnpMSiPBD8EQHA"/>
    <s v="Mo GamingHD"/>
    <s v="http://www.youtube.com/channel/UCapct-0qZHnpMSiPBD8EQHA"/>
    <s v="Ugw5tlUOp0YCFNaVdmx4AaABAg"/>
    <s v="H6DrSG_KQjo"/>
    <s v="https://www.youtube.com/watch?v=H6DrSG_KQjo"/>
    <s v="none"/>
    <n v="33"/>
    <x v="433"/>
    <d v="2018-10-15T21:12:29.000"/>
    <m/>
    <m/>
    <s v=""/>
    <n v="1"/>
    <s v="1"/>
    <s v="1"/>
    <n v="0"/>
    <n v="0"/>
    <n v="0"/>
    <n v="0"/>
    <n v="0"/>
    <n v="0"/>
    <n v="2"/>
    <n v="100"/>
    <n v="2"/>
  </r>
  <r>
    <s v="UCQznmXyQd8I9VMzc-4UISQA"/>
    <s v="UCQznmXyQd8I9VMzc-4UISQA"/>
    <s v="Red"/>
    <n v="10"/>
    <m/>
    <n v="15"/>
    <m/>
    <m/>
    <m/>
    <m/>
    <s v="No"/>
    <n v="437"/>
    <m/>
    <m/>
    <s v="Replied Comment"/>
    <x v="1"/>
    <s v="Ha, made you look :)"/>
    <s v="UCQznmXyQd8I9VMzc-4UISQA"/>
    <s v="Rob B"/>
    <s v="http://www.youtube.com/channel/UCQznmXyQd8I9VMzc-4UISQA"/>
    <s v="Ugw5tlUOp0YCFNaVdmx4AaABAg"/>
    <s v="H6DrSG_KQjo"/>
    <s v="https://www.youtube.com/watch?v=H6DrSG_KQjo"/>
    <s v="none"/>
    <n v="3"/>
    <x v="434"/>
    <d v="2018-04-04T18:16:16.000"/>
    <m/>
    <m/>
    <s v=""/>
    <n v="2"/>
    <s v="1"/>
    <s v="1"/>
    <n v="0"/>
    <n v="0"/>
    <n v="0"/>
    <n v="0"/>
    <n v="0"/>
    <n v="0"/>
    <n v="4"/>
    <n v="100"/>
    <n v="4"/>
  </r>
  <r>
    <s v="UCQznmXyQd8I9VMzc-4UISQA"/>
    <s v="UCQznmXyQd8I9VMzc-4UISQA"/>
    <s v="Red"/>
    <n v="10"/>
    <m/>
    <n v="15"/>
    <m/>
    <m/>
    <m/>
    <m/>
    <s v="No"/>
    <n v="438"/>
    <m/>
    <m/>
    <s v="Replied Comment"/>
    <x v="1"/>
    <s v="Very good videos though, thankyou"/>
    <s v="UCQznmXyQd8I9VMzc-4UISQA"/>
    <s v="Rob B"/>
    <s v="http://www.youtube.com/channel/UCQznmXyQd8I9VMzc-4UISQA"/>
    <s v="Ugw5tlUOp0YCFNaVdmx4AaABAg"/>
    <s v="H6DrSG_KQjo"/>
    <s v="https://www.youtube.com/watch?v=H6DrSG_KQjo"/>
    <s v="none"/>
    <n v="0"/>
    <x v="435"/>
    <d v="2018-04-04T18:16:31.000"/>
    <m/>
    <m/>
    <s v=""/>
    <n v="2"/>
    <s v="1"/>
    <s v="1"/>
    <n v="1"/>
    <n v="20"/>
    <n v="0"/>
    <n v="0"/>
    <n v="0"/>
    <n v="0"/>
    <n v="4"/>
    <n v="80"/>
    <n v="5"/>
  </r>
  <r>
    <s v="UCQznmXyQd8I9VMzc-4UISQA"/>
    <s v="UCqbOeHaAUXw9Il7sBVG3_bw"/>
    <s v="192, 192, 192"/>
    <n v="3"/>
    <m/>
    <n v="40"/>
    <m/>
    <m/>
    <m/>
    <m/>
    <s v="No"/>
    <n v="439"/>
    <m/>
    <m/>
    <s v="Commented Video"/>
    <x v="0"/>
    <s v="There&amp;#39;s a typo at &lt;a href=&quot;https://www.youtube.com/watch?v=H6DrSG_KQjo&amp;amp;t=3m34s&quot;&gt;3:34&lt;/a&gt;"/>
    <s v="UCQznmXyQd8I9VMzc-4UISQA"/>
    <s v="Rob B"/>
    <s v="http://www.youtube.com/channel/UCQznmXyQd8I9VMzc-4UISQA"/>
    <m/>
    <s v="H6DrSG_KQjo"/>
    <s v="https://www.youtube.com/watch?v=H6DrSG_KQjo"/>
    <s v="none"/>
    <n v="4"/>
    <x v="436"/>
    <d v="2018-04-04T18:16:01.000"/>
    <s v=" https://www.youtube.com/watch?v=H6DrSG_KQjo&amp;amp;t=3m34s"/>
    <s v="youtube.com"/>
    <s v=""/>
    <n v="1"/>
    <s v="1"/>
    <s v="1"/>
    <n v="0"/>
    <n v="0"/>
    <n v="0"/>
    <n v="0"/>
    <n v="0"/>
    <n v="0"/>
    <n v="21"/>
    <n v="100"/>
    <n v="21"/>
  </r>
  <r>
    <s v="UCb1BOZo8RLQpHmPIHT2F1Xw"/>
    <s v="UCqbOeHaAUXw9Il7sBVG3_bw"/>
    <s v="192, 192, 192"/>
    <n v="3"/>
    <m/>
    <n v="40"/>
    <m/>
    <m/>
    <m/>
    <m/>
    <s v="No"/>
    <n v="440"/>
    <m/>
    <m/>
    <s v="Commented Video"/>
    <x v="0"/>
    <s v="big donnie coming through"/>
    <s v="UCb1BOZo8RLQpHmPIHT2F1Xw"/>
    <s v="Spectre _"/>
    <s v="http://www.youtube.com/channel/UCb1BOZo8RLQpHmPIHT2F1Xw"/>
    <m/>
    <s v="H6DrSG_KQjo"/>
    <s v="https://www.youtube.com/watch?v=H6DrSG_KQjo"/>
    <s v="none"/>
    <n v="1"/>
    <x v="437"/>
    <d v="2018-05-14T22:56:10.000"/>
    <m/>
    <m/>
    <s v=""/>
    <n v="1"/>
    <s v="1"/>
    <s v="1"/>
    <n v="0"/>
    <n v="0"/>
    <n v="0"/>
    <n v="0"/>
    <n v="0"/>
    <n v="0"/>
    <n v="4"/>
    <n v="100"/>
    <n v="4"/>
  </r>
  <r>
    <s v="UCDMC7Sr5zY92l060olkC9tg"/>
    <s v="UCqbOeHaAUXw9Il7sBVG3_bw"/>
    <s v="192, 192, 192"/>
    <n v="3"/>
    <m/>
    <n v="40"/>
    <m/>
    <m/>
    <m/>
    <m/>
    <s v="No"/>
    <n v="441"/>
    <m/>
    <m/>
    <s v="Commented Video"/>
    <x v="0"/>
    <s v="Whose done the B7 non communicable test"/>
    <s v="UCDMC7Sr5zY92l060olkC9tg"/>
    <s v="Amal Sebunya"/>
    <s v="http://www.youtube.com/channel/UCDMC7Sr5zY92l060olkC9tg"/>
    <m/>
    <s v="H6DrSG_KQjo"/>
    <s v="https://www.youtube.com/watch?v=H6DrSG_KQjo"/>
    <s v="none"/>
    <n v="0"/>
    <x v="438"/>
    <d v="2018-09-27T00:09:25.000"/>
    <m/>
    <m/>
    <s v=""/>
    <n v="1"/>
    <s v="1"/>
    <s v="1"/>
    <n v="0"/>
    <n v="0"/>
    <n v="0"/>
    <n v="0"/>
    <n v="0"/>
    <n v="0"/>
    <n v="7"/>
    <n v="100"/>
    <n v="7"/>
  </r>
  <r>
    <s v="UC7mO_O8XR-C-86AGtSGj_Gg"/>
    <s v="UCqbOeHaAUXw9Il7sBVG3_bw"/>
    <s v="192, 192, 192"/>
    <n v="3"/>
    <m/>
    <n v="40"/>
    <m/>
    <m/>
    <m/>
    <m/>
    <s v="No"/>
    <n v="442"/>
    <m/>
    <m/>
    <s v="Commented Video"/>
    <x v="0"/>
    <s v="This man in an absolute lifesaver"/>
    <s v="UC7mO_O8XR-C-86AGtSGj_Gg"/>
    <s v="Mia Waldeck"/>
    <s v="http://www.youtube.com/channel/UC7mO_O8XR-C-86AGtSGj_Gg"/>
    <m/>
    <s v="H6DrSG_KQjo"/>
    <s v="https://www.youtube.com/watch?v=H6DrSG_KQjo"/>
    <s v="none"/>
    <n v="53"/>
    <x v="439"/>
    <d v="2019-01-27T18:45:08.000"/>
    <m/>
    <m/>
    <s v=""/>
    <n v="1"/>
    <s v="1"/>
    <s v="1"/>
    <n v="1"/>
    <n v="16.666666666666668"/>
    <n v="0"/>
    <n v="0"/>
    <n v="0"/>
    <n v="0"/>
    <n v="5"/>
    <n v="83.33333333333333"/>
    <n v="6"/>
  </r>
  <r>
    <s v="UCfLjyRgLFvB_zaQtDY4e-zg"/>
    <s v="UCqbOeHaAUXw9Il7sBVG3_bw"/>
    <s v="192, 192, 192"/>
    <n v="3"/>
    <m/>
    <n v="40"/>
    <m/>
    <m/>
    <m/>
    <m/>
    <s v="No"/>
    <n v="443"/>
    <m/>
    <m/>
    <s v="Commented Video"/>
    <x v="0"/>
    <s v="I watched a 5 min long to appreciate your help sir, thanks, your a friking legend!"/>
    <s v="UCfLjyRgLFvB_zaQtDY4e-zg"/>
    <s v="Anika H"/>
    <s v="http://www.youtube.com/channel/UCfLjyRgLFvB_zaQtDY4e-zg"/>
    <m/>
    <s v="H6DrSG_KQjo"/>
    <s v="https://www.youtube.com/watch?v=H6DrSG_KQjo"/>
    <s v="none"/>
    <n v="6"/>
    <x v="440"/>
    <d v="2019-02-09T20:13:43.000"/>
    <m/>
    <m/>
    <s v=""/>
    <n v="1"/>
    <s v="1"/>
    <s v="1"/>
    <n v="1"/>
    <n v="6.25"/>
    <n v="0"/>
    <n v="0"/>
    <n v="0"/>
    <n v="0"/>
    <n v="15"/>
    <n v="93.75"/>
    <n v="16"/>
  </r>
  <r>
    <s v="UCL2LP9dATw558s3V6q3JkYw"/>
    <s v="UCmtf4_4EAkoBep4SXTVFZMg"/>
    <s v="192, 192, 192"/>
    <n v="3"/>
    <m/>
    <n v="40"/>
    <m/>
    <m/>
    <m/>
    <m/>
    <s v="No"/>
    <n v="444"/>
    <m/>
    <m/>
    <s v="Replied Comment"/>
    <x v="1"/>
    <s v="It&amp;#39;s paper 1"/>
    <s v="UCL2LP9dATw558s3V6q3JkYw"/>
    <s v="Kirthya Lavanesan"/>
    <s v="http://www.youtube.com/channel/UCL2LP9dATw558s3V6q3JkYw"/>
    <s v="UgxGVFHxSqYI1k12ujB4AaABAg"/>
    <s v="H6DrSG_KQjo"/>
    <s v="https://www.youtube.com/watch?v=H6DrSG_KQjo"/>
    <s v="none"/>
    <n v="0"/>
    <x v="441"/>
    <d v="2020-03-03T00:08:40.000"/>
    <m/>
    <m/>
    <s v=""/>
    <n v="1"/>
    <s v="1"/>
    <s v="1"/>
    <n v="0"/>
    <n v="0"/>
    <n v="0"/>
    <n v="0"/>
    <n v="0"/>
    <n v="0"/>
    <n v="5"/>
    <n v="100"/>
    <n v="5"/>
  </r>
  <r>
    <s v="UCmtf4_4EAkoBep4SXTVFZMg"/>
    <s v="UCqbOeHaAUXw9Il7sBVG3_bw"/>
    <s v="192, 192, 192"/>
    <n v="3"/>
    <m/>
    <n v="40"/>
    <m/>
    <m/>
    <m/>
    <m/>
    <s v="No"/>
    <n v="445"/>
    <m/>
    <m/>
    <s v="Commented Video"/>
    <x v="0"/>
    <s v="Wait is this paper 1 or paper 2 content? Because I know that cancer is paper 1, but isn’t diabetes on paper 2? (I’m doing AQA biology btw)"/>
    <s v="UCmtf4_4EAkoBep4SXTVFZMg"/>
    <s v="Pheobe Makintosh"/>
    <s v="http://www.youtube.com/channel/UCmtf4_4EAkoBep4SXTVFZMg"/>
    <m/>
    <s v="H6DrSG_KQjo"/>
    <s v="https://www.youtube.com/watch?v=H6DrSG_KQjo"/>
    <s v="none"/>
    <n v="1"/>
    <x v="442"/>
    <d v="2019-04-10T12:40:51.000"/>
    <m/>
    <m/>
    <s v=""/>
    <n v="1"/>
    <s v="1"/>
    <s v="1"/>
    <n v="0"/>
    <n v="0"/>
    <n v="1"/>
    <n v="3.3333333333333335"/>
    <n v="0"/>
    <n v="0"/>
    <n v="29"/>
    <n v="96.66666666666667"/>
    <n v="30"/>
  </r>
  <r>
    <s v="UCqbOeHaAUXw9Il7sBVG3_bw"/>
    <s v="UCzmwAs1EMN_EGzNw_cklJkQ"/>
    <s v="192, 192, 192"/>
    <n v="3"/>
    <m/>
    <n v="40"/>
    <m/>
    <m/>
    <m/>
    <m/>
    <s v="Yes"/>
    <n v="446"/>
    <m/>
    <m/>
    <s v="Replied Comment"/>
    <x v="1"/>
    <s v="You only need to know what is in the video."/>
    <s v="UCqbOeHaAUXw9Il7sBVG3_bw"/>
    <s v="Freesciencelessons"/>
    <s v="http://www.youtube.com/channel/UCqbOeHaAUXw9Il7sBVG3_bw"/>
    <s v="UgxC9K-tPkll02kBgBd4AaABAg"/>
    <s v="H6DrSG_KQjo"/>
    <s v="https://www.youtube.com/watch?v=H6DrSG_KQjo"/>
    <s v="none"/>
    <n v="5"/>
    <x v="443"/>
    <d v="2019-04-14T17:47:06.000"/>
    <m/>
    <m/>
    <s v=""/>
    <n v="1"/>
    <s v="1"/>
    <s v="1"/>
    <n v="0"/>
    <n v="0"/>
    <n v="0"/>
    <n v="0"/>
    <n v="0"/>
    <n v="0"/>
    <n v="10"/>
    <n v="100"/>
    <n v="10"/>
  </r>
  <r>
    <s v="UCzmwAs1EMN_EGzNw_cklJkQ"/>
    <s v="UCqbOeHaAUXw9Il7sBVG3_bw"/>
    <s v="192, 192, 192"/>
    <n v="3"/>
    <m/>
    <n v="40"/>
    <m/>
    <m/>
    <m/>
    <m/>
    <s v="Yes"/>
    <n v="447"/>
    <m/>
    <m/>
    <s v="Commented Video"/>
    <x v="0"/>
    <s v="Do we need to know about effects of smoking in more detail (lining of alveoli is damaged)"/>
    <s v="UCzmwAs1EMN_EGzNw_cklJkQ"/>
    <s v="Mary Ali"/>
    <s v="http://www.youtube.com/channel/UCzmwAs1EMN_EGzNw_cklJkQ"/>
    <m/>
    <s v="H6DrSG_KQjo"/>
    <s v="https://www.youtube.com/watch?v=H6DrSG_KQjo"/>
    <s v="none"/>
    <n v="0"/>
    <x v="444"/>
    <d v="2019-04-14T13:26:23.000"/>
    <m/>
    <m/>
    <s v=""/>
    <n v="1"/>
    <s v="1"/>
    <s v="1"/>
    <n v="0"/>
    <n v="0"/>
    <n v="1"/>
    <n v="5.882352941176471"/>
    <n v="0"/>
    <n v="0"/>
    <n v="16"/>
    <n v="94.11764705882354"/>
    <n v="17"/>
  </r>
  <r>
    <s v="UCsR1w2kBQfipEKf1qfoZ8Qg"/>
    <s v="UC4KctW4IVLRpkMn1bc8IO0Q"/>
    <s v="192, 192, 192"/>
    <n v="3"/>
    <m/>
    <n v="40"/>
    <m/>
    <m/>
    <m/>
    <m/>
    <s v="No"/>
    <n v="448"/>
    <m/>
    <m/>
    <s v="Replied Comment"/>
    <x v="1"/>
    <s v="Aqa"/>
    <s v="UCsR1w2kBQfipEKf1qfoZ8Qg"/>
    <s v="mo azam"/>
    <s v="http://www.youtube.com/channel/UCsR1w2kBQfipEKf1qfoZ8Qg"/>
    <s v="UgxvbZHF9SB1svS12lR4AaABAg"/>
    <s v="H6DrSG_KQjo"/>
    <s v="https://www.youtube.com/watch?v=H6DrSG_KQjo"/>
    <s v="none"/>
    <n v="1"/>
    <x v="445"/>
    <d v="2019-04-21T12:22:55.000"/>
    <m/>
    <m/>
    <s v=""/>
    <n v="1"/>
    <s v="1"/>
    <s v="1"/>
    <n v="0"/>
    <n v="0"/>
    <n v="0"/>
    <n v="0"/>
    <n v="0"/>
    <n v="0"/>
    <n v="1"/>
    <n v="100"/>
    <n v="1"/>
  </r>
  <r>
    <s v="UC4KctW4IVLRpkMn1bc8IO0Q"/>
    <s v="UCqbOeHaAUXw9Il7sBVG3_bw"/>
    <s v="192, 192, 192"/>
    <n v="3"/>
    <m/>
    <n v="40"/>
    <m/>
    <m/>
    <m/>
    <m/>
    <s v="No"/>
    <n v="449"/>
    <m/>
    <m/>
    <s v="Commented Video"/>
    <x v="0"/>
    <s v="what exam bord is this"/>
    <s v="UC4KctW4IVLRpkMn1bc8IO0Q"/>
    <s v="sedar ortun"/>
    <s v="http://www.youtube.com/channel/UC4KctW4IVLRpkMn1bc8IO0Q"/>
    <m/>
    <s v="H6DrSG_KQjo"/>
    <s v="https://www.youtube.com/watch?v=H6DrSG_KQjo"/>
    <s v="none"/>
    <n v="0"/>
    <x v="446"/>
    <d v="2019-04-19T21:12:03.000"/>
    <m/>
    <m/>
    <s v=""/>
    <n v="1"/>
    <s v="1"/>
    <s v="1"/>
    <n v="0"/>
    <n v="0"/>
    <n v="0"/>
    <n v="0"/>
    <n v="0"/>
    <n v="0"/>
    <n v="5"/>
    <n v="100"/>
    <n v="5"/>
  </r>
  <r>
    <s v="UCAHz4FFVkO9z-flkiU84MlA"/>
    <s v="UCqbOeHaAUXw9Il7sBVG3_bw"/>
    <s v="Red"/>
    <n v="10"/>
    <m/>
    <n v="15"/>
    <m/>
    <m/>
    <m/>
    <m/>
    <s v="No"/>
    <n v="450"/>
    <m/>
    <m/>
    <s v="Commented Video"/>
    <x v="0"/>
    <s v="Do we have to know about type 2 diabetes and 1? Because I did it in class"/>
    <s v="UCAHz4FFVkO9z-flkiU84MlA"/>
    <s v="YOU niverse"/>
    <s v="http://www.youtube.com/channel/UCAHz4FFVkO9z-flkiU84MlA"/>
    <m/>
    <s v="H6DrSG_KQjo"/>
    <s v="https://www.youtube.com/watch?v=H6DrSG_KQjo"/>
    <s v="none"/>
    <n v="0"/>
    <x v="447"/>
    <d v="2019-05-02T19:05:22.000"/>
    <m/>
    <m/>
    <s v=""/>
    <n v="2"/>
    <s v="1"/>
    <s v="1"/>
    <n v="0"/>
    <n v="0"/>
    <n v="0"/>
    <n v="0"/>
    <n v="0"/>
    <n v="0"/>
    <n v="17"/>
    <n v="100"/>
    <n v="17"/>
  </r>
  <r>
    <s v="UCAHz4FFVkO9z-flkiU84MlA"/>
    <s v="UCqbOeHaAUXw9Il7sBVG3_bw"/>
    <s v="Red"/>
    <n v="10"/>
    <m/>
    <n v="15"/>
    <m/>
    <m/>
    <m/>
    <m/>
    <s v="No"/>
    <n v="451"/>
    <m/>
    <m/>
    <s v="Commented Video"/>
    <x v="0"/>
    <s v="Do we also need to know about the effect of smoking and alcohol"/>
    <s v="UCAHz4FFVkO9z-flkiU84MlA"/>
    <s v="YOU niverse"/>
    <s v="http://www.youtube.com/channel/UCAHz4FFVkO9z-flkiU84MlA"/>
    <m/>
    <s v="H6DrSG_KQjo"/>
    <s v="https://www.youtube.com/watch?v=H6DrSG_KQjo"/>
    <s v="none"/>
    <n v="2"/>
    <x v="448"/>
    <d v="2019-05-02T19:08:00.000"/>
    <m/>
    <m/>
    <s v=""/>
    <n v="2"/>
    <s v="1"/>
    <s v="1"/>
    <n v="0"/>
    <n v="0"/>
    <n v="0"/>
    <n v="0"/>
    <n v="0"/>
    <n v="0"/>
    <n v="13"/>
    <n v="100"/>
    <n v="13"/>
  </r>
  <r>
    <s v="UC7bbF7uzixVKOh4huPcf2zQ"/>
    <s v="UC9li3kbNdNCR0oU7L21LLpQ"/>
    <s v="192, 192, 192"/>
    <n v="3"/>
    <m/>
    <n v="40"/>
    <m/>
    <m/>
    <m/>
    <m/>
    <s v="No"/>
    <n v="452"/>
    <m/>
    <m/>
    <s v="Replied Comment"/>
    <x v="1"/>
    <s v="oof same"/>
    <s v="UC7bbF7uzixVKOh4huPcf2zQ"/>
    <s v="N. A"/>
    <s v="http://www.youtube.com/channel/UC7bbF7uzixVKOh4huPcf2zQ"/>
    <s v="Ugw506QpRUVqb7jUrdV4AaABAg"/>
    <s v="H6DrSG_KQjo"/>
    <s v="https://www.youtube.com/watch?v="/>
    <s v="none"/>
    <n v="0"/>
    <x v="449"/>
    <d v="2019-05-12T13:59:48.000"/>
    <m/>
    <m/>
    <s v=""/>
    <n v="1"/>
    <s v="14"/>
    <s v="14"/>
    <n v="0"/>
    <n v="0"/>
    <n v="0"/>
    <n v="0"/>
    <n v="0"/>
    <n v="0"/>
    <n v="2"/>
    <n v="100"/>
    <n v="2"/>
  </r>
  <r>
    <s v="UCnel0MQOYp2zx5oJevfESdQ"/>
    <s v="UC9li3kbNdNCR0oU7L21LLpQ"/>
    <s v="192, 192, 192"/>
    <n v="3"/>
    <m/>
    <n v="40"/>
    <m/>
    <m/>
    <m/>
    <m/>
    <s v="No"/>
    <n v="453"/>
    <m/>
    <m/>
    <s v="Replied Comment"/>
    <x v="1"/>
    <s v="Join the club"/>
    <s v="UCnel0MQOYp2zx5oJevfESdQ"/>
    <s v="This Person"/>
    <s v="http://www.youtube.com/channel/UCnel0MQOYp2zx5oJevfESdQ"/>
    <s v="Ugw506QpRUVqb7jUrdV4AaABAg"/>
    <s v="H6DrSG_KQjo"/>
    <s v="https://www.youtube.com/watch?v="/>
    <s v="none"/>
    <n v="0"/>
    <x v="450"/>
    <d v="2019-05-12T16:29:13.000"/>
    <m/>
    <m/>
    <s v=""/>
    <n v="1"/>
    <s v="14"/>
    <s v="14"/>
    <n v="0"/>
    <n v="0"/>
    <n v="0"/>
    <n v="0"/>
    <n v="0"/>
    <n v="0"/>
    <n v="3"/>
    <n v="100"/>
    <n v="3"/>
  </r>
  <r>
    <s v="UCqdoIk8MC9vfjbsCoO3uk0g"/>
    <s v="UC9li3kbNdNCR0oU7L21LLpQ"/>
    <s v="192, 192, 192"/>
    <n v="3"/>
    <m/>
    <n v="40"/>
    <m/>
    <m/>
    <m/>
    <m/>
    <s v="No"/>
    <n v="454"/>
    <m/>
    <m/>
    <s v="Replied Comment"/>
    <x v="1"/>
    <s v="my GCSE is in 1 day and I still haven&amp;#39;t, you&amp;#39;re fine"/>
    <s v="UCqdoIk8MC9vfjbsCoO3uk0g"/>
    <s v="Dana Al Tajer"/>
    <s v="http://www.youtube.com/channel/UCqdoIk8MC9vfjbsCoO3uk0g"/>
    <s v="Ugw506QpRUVqb7jUrdV4AaABAg"/>
    <s v="H6DrSG_KQjo"/>
    <s v="https://www.youtube.com/watch?v="/>
    <s v="none"/>
    <n v="6"/>
    <x v="451"/>
    <d v="2019-05-13T15:11:09.000"/>
    <m/>
    <m/>
    <s v=""/>
    <n v="1"/>
    <s v="14"/>
    <s v="14"/>
    <n v="1"/>
    <n v="6.25"/>
    <n v="0"/>
    <n v="0"/>
    <n v="0"/>
    <n v="0"/>
    <n v="15"/>
    <n v="93.75"/>
    <n v="16"/>
  </r>
  <r>
    <s v="UC9G7xSI0mqIN9LsJHfZwMGg"/>
    <s v="UC9li3kbNdNCR0oU7L21LLpQ"/>
    <s v="192, 192, 192"/>
    <n v="3"/>
    <m/>
    <n v="40"/>
    <m/>
    <m/>
    <m/>
    <m/>
    <s v="No"/>
    <n v="455"/>
    <m/>
    <m/>
    <s v="Replied Comment"/>
    <x v="1"/>
    <s v="Same, good luck tomorrow lmao x"/>
    <s v="UC9G7xSI0mqIN9LsJHfZwMGg"/>
    <s v="William Drury-Smith"/>
    <s v="http://www.youtube.com/channel/UC9G7xSI0mqIN9LsJHfZwMGg"/>
    <s v="Ugw506QpRUVqb7jUrdV4AaABAg"/>
    <s v="H6DrSG_KQjo"/>
    <s v="https://www.youtube.com/watch?v="/>
    <s v="none"/>
    <n v="1"/>
    <x v="452"/>
    <d v="2019-05-13T20:37:12.000"/>
    <m/>
    <m/>
    <s v=""/>
    <n v="1"/>
    <s v="14"/>
    <s v="14"/>
    <n v="2"/>
    <n v="33.333333333333336"/>
    <n v="0"/>
    <n v="0"/>
    <n v="0"/>
    <n v="0"/>
    <n v="4"/>
    <n v="66.66666666666667"/>
    <n v="6"/>
  </r>
  <r>
    <s v="UC3omO0nu_NbAJgtlCiYCNfg"/>
    <s v="UC9li3kbNdNCR0oU7L21LLpQ"/>
    <s v="192, 192, 192"/>
    <n v="3"/>
    <m/>
    <n v="40"/>
    <m/>
    <m/>
    <m/>
    <m/>
    <s v="No"/>
    <n v="456"/>
    <m/>
    <m/>
    <s v="Replied Comment"/>
    <x v="1"/>
    <s v="Mine are in a couple of hours. &lt;a href=&quot;http://www.youtube.com/results?search_query=%232019GCSEs&quot;&gt;#2019GCSEs&lt;/a&gt; are looking like a mad one still. This guy is the absolute plug ok."/>
    <s v="UC3omO0nu_NbAJgtlCiYCNfg"/>
    <s v="Destiny_x"/>
    <s v="http://www.youtube.com/channel/UC3omO0nu_NbAJgtlCiYCNfg"/>
    <s v="Ugw506QpRUVqb7jUrdV4AaABAg"/>
    <s v="H6DrSG_KQjo"/>
    <s v="https://www.youtube.com/watch?v="/>
    <s v="none"/>
    <n v="2"/>
    <x v="453"/>
    <d v="2019-05-13T22:13:45.000"/>
    <s v=" http://www.youtube.com/results?search_query=%232019GCSEs"/>
    <s v="youtube.com"/>
    <s v=""/>
    <n v="1"/>
    <s v="14"/>
    <s v="14"/>
    <n v="1"/>
    <n v="3.125"/>
    <n v="1"/>
    <n v="3.125"/>
    <n v="0"/>
    <n v="0"/>
    <n v="30"/>
    <n v="93.75"/>
    <n v="32"/>
  </r>
  <r>
    <s v="UC-6e6b2pE7UUiqPc1tH889w"/>
    <s v="UC9li3kbNdNCR0oU7L21LLpQ"/>
    <s v="192, 192, 192"/>
    <n v="3"/>
    <m/>
    <n v="40"/>
    <m/>
    <m/>
    <m/>
    <m/>
    <s v="No"/>
    <n v="457"/>
    <m/>
    <m/>
    <s v="Replied Comment"/>
    <x v="1"/>
    <s v="well assuming youre having your GCSE today or tommorow good luck"/>
    <s v="UC-6e6b2pE7UUiqPc1tH889w"/>
    <s v="Novet"/>
    <s v="http://www.youtube.com/channel/UC-6e6b2pE7UUiqPc1tH889w"/>
    <s v="Ugw506QpRUVqb7jUrdV4AaABAg"/>
    <s v="H6DrSG_KQjo"/>
    <s v="https://www.youtube.com/watch?v="/>
    <s v="none"/>
    <n v="2"/>
    <x v="454"/>
    <d v="2019-05-14T17:19:08.000"/>
    <m/>
    <m/>
    <s v=""/>
    <n v="1"/>
    <s v="14"/>
    <s v="14"/>
    <n v="3"/>
    <n v="27.272727272727273"/>
    <n v="0"/>
    <n v="0"/>
    <n v="0"/>
    <n v="0"/>
    <n v="8"/>
    <n v="72.72727272727273"/>
    <n v="11"/>
  </r>
  <r>
    <s v="UC9li3kbNdNCR0oU7L21LLpQ"/>
    <s v="UCqbOeHaAUXw9Il7sBVG3_bw"/>
    <s v="192, 192, 192"/>
    <n v="3"/>
    <m/>
    <n v="40"/>
    <m/>
    <m/>
    <m/>
    <m/>
    <s v="No"/>
    <n v="458"/>
    <m/>
    <m/>
    <s v="Commented Video"/>
    <x v="0"/>
    <s v="my GCSE are in 3 days and I haven&amp;#39;t even gone over topic two i-"/>
    <s v="UC9li3kbNdNCR0oU7L21LLpQ"/>
    <s v="b3ddies subs"/>
    <s v="http://www.youtube.com/channel/UC9li3kbNdNCR0oU7L21LLpQ"/>
    <m/>
    <s v="H6DrSG_KQjo"/>
    <s v="https://www.youtube.com/watch?v=H6DrSG_KQjo"/>
    <s v="none"/>
    <n v="98"/>
    <x v="455"/>
    <d v="2019-05-11T22:11:44.000"/>
    <m/>
    <m/>
    <s v=""/>
    <n v="1"/>
    <s v="14"/>
    <s v="1"/>
    <n v="0"/>
    <n v="0"/>
    <n v="0"/>
    <n v="0"/>
    <n v="0"/>
    <n v="0"/>
    <n v="17"/>
    <n v="100"/>
    <n v="17"/>
  </r>
  <r>
    <s v="UCVl4b1QLIzWZtTYH1mTH8iQ"/>
    <s v="UCqbOeHaAUXw9Il7sBVG3_bw"/>
    <s v="192, 192, 192"/>
    <n v="3"/>
    <m/>
    <n v="40"/>
    <m/>
    <m/>
    <m/>
    <m/>
    <s v="No"/>
    <n v="459"/>
    <m/>
    <m/>
    <s v="Commented Video"/>
    <x v="0"/>
    <s v="3 days"/>
    <s v="UCVl4b1QLIzWZtTYH1mTH8iQ"/>
    <s v="omar bedward"/>
    <s v="http://www.youtube.com/channel/UCVl4b1QLIzWZtTYH1mTH8iQ"/>
    <m/>
    <s v="H6DrSG_KQjo"/>
    <s v="https://www.youtube.com/watch?v=H6DrSG_KQjo"/>
    <s v="none"/>
    <n v="1"/>
    <x v="456"/>
    <d v="2019-05-12T17:59:42.000"/>
    <m/>
    <m/>
    <s v=""/>
    <n v="1"/>
    <s v="1"/>
    <s v="1"/>
    <n v="0"/>
    <n v="0"/>
    <n v="0"/>
    <n v="0"/>
    <n v="0"/>
    <n v="0"/>
    <n v="2"/>
    <n v="100"/>
    <n v="2"/>
  </r>
  <r>
    <s v="UCyhN-Q3ELXlH6afNYd3ROoA"/>
    <s v="UCqbOeHaAUXw9Il7sBVG3_bw"/>
    <s v="192, 192, 192"/>
    <n v="3"/>
    <m/>
    <n v="40"/>
    <m/>
    <m/>
    <m/>
    <m/>
    <s v="No"/>
    <n v="460"/>
    <m/>
    <m/>
    <s v="Commented Video"/>
    <x v="0"/>
    <s v="16 hours till the exam and I&amp;#39;m still here&lt;br&gt;and i oop-"/>
    <s v="UCyhN-Q3ELXlH6afNYd3ROoA"/>
    <s v="Grace H"/>
    <s v="http://www.youtube.com/channel/UCyhN-Q3ELXlH6afNYd3ROoA"/>
    <m/>
    <s v="H6DrSG_KQjo"/>
    <s v="https://www.youtube.com/watch?v=H6DrSG_KQjo"/>
    <s v="none"/>
    <n v="3"/>
    <x v="457"/>
    <d v="2019-05-13T22:00:03.000"/>
    <m/>
    <m/>
    <s v=""/>
    <n v="1"/>
    <s v="1"/>
    <s v="1"/>
    <n v="0"/>
    <n v="0"/>
    <n v="0"/>
    <n v="0"/>
    <n v="0"/>
    <n v="0"/>
    <n v="15"/>
    <n v="100"/>
    <n v="15"/>
  </r>
  <r>
    <s v="UCVHDuJ-ytBhl_DEz35zaLfQ"/>
    <s v="UCqbOeHaAUXw9Il7sBVG3_bw"/>
    <s v="192, 192, 192"/>
    <n v="3"/>
    <m/>
    <n v="40"/>
    <m/>
    <m/>
    <m/>
    <m/>
    <s v="No"/>
    <n v="461"/>
    <m/>
    <m/>
    <s v="Commented Video"/>
    <x v="0"/>
    <s v="Biology in a few hours oof let’s go"/>
    <s v="UCVHDuJ-ytBhl_DEz35zaLfQ"/>
    <s v="krustykrab meat"/>
    <s v="http://www.youtube.com/channel/UCVHDuJ-ytBhl_DEz35zaLfQ"/>
    <m/>
    <s v="H6DrSG_KQjo"/>
    <s v="https://www.youtube.com/watch?v=H6DrSG_KQjo"/>
    <s v="none"/>
    <n v="1"/>
    <x v="458"/>
    <d v="2019-05-14T10:33:26.000"/>
    <m/>
    <m/>
    <s v=""/>
    <n v="1"/>
    <s v="1"/>
    <s v="1"/>
    <n v="0"/>
    <n v="0"/>
    <n v="0"/>
    <n v="0"/>
    <n v="0"/>
    <n v="0"/>
    <n v="9"/>
    <n v="100"/>
    <n v="9"/>
  </r>
  <r>
    <s v="UCz9ZLCXJVEG2J7hg_BNZKxg"/>
    <s v="UCqbOeHaAUXw9Il7sBVG3_bw"/>
    <s v="192, 192, 192"/>
    <n v="3"/>
    <m/>
    <n v="40"/>
    <m/>
    <m/>
    <m/>
    <m/>
    <s v="No"/>
    <n v="462"/>
    <m/>
    <m/>
    <s v="Commented Video"/>
    <x v="0"/>
    <s v="1 hour before exams... rip"/>
    <s v="UCz9ZLCXJVEG2J7hg_BNZKxg"/>
    <s v="MuzMuntss"/>
    <s v="http://www.youtube.com/channel/UCz9ZLCXJVEG2J7hg_BNZKxg"/>
    <m/>
    <s v="H6DrSG_KQjo"/>
    <s v="https://www.youtube.com/watch?v=H6DrSG_KQjo"/>
    <s v="none"/>
    <n v="27"/>
    <x v="459"/>
    <d v="2019-05-14T13:11:44.000"/>
    <m/>
    <m/>
    <s v=""/>
    <n v="1"/>
    <s v="1"/>
    <s v="1"/>
    <n v="0"/>
    <n v="0"/>
    <n v="1"/>
    <n v="20"/>
    <n v="0"/>
    <n v="0"/>
    <n v="4"/>
    <n v="80"/>
    <n v="5"/>
  </r>
  <r>
    <s v="UCIwKnDAfblyJMIMh8StSEeg"/>
    <s v="UCjd7LhTYGEOAHC0WoK4GqwQ"/>
    <s v="192, 192, 192"/>
    <n v="3"/>
    <m/>
    <n v="40"/>
    <m/>
    <m/>
    <m/>
    <m/>
    <s v="No"/>
    <n v="463"/>
    <m/>
    <m/>
    <s v="Replied Comment"/>
    <x v="1"/>
    <s v="Nowhere to be seen"/>
    <s v="UCIwKnDAfblyJMIMh8StSEeg"/>
    <s v="Jay Dubelyew"/>
    <s v="http://www.youtube.com/channel/UCIwKnDAfblyJMIMh8StSEeg"/>
    <s v="UgzhsnNVVI_ViwDO7BR4AaABAg"/>
    <s v="H6DrSG_KQjo"/>
    <s v="https://www.youtube.com/watch?v=H6DrSG_KQjo"/>
    <s v="none"/>
    <n v="0"/>
    <x v="460"/>
    <d v="2020-11-18T20:43:22.000"/>
    <m/>
    <m/>
    <s v=""/>
    <n v="1"/>
    <s v="1"/>
    <s v="1"/>
    <n v="0"/>
    <n v="0"/>
    <n v="0"/>
    <n v="0"/>
    <n v="0"/>
    <n v="0"/>
    <n v="4"/>
    <n v="100"/>
    <n v="4"/>
  </r>
  <r>
    <s v="UCjd7LhTYGEOAHC0WoK4GqwQ"/>
    <s v="UCqbOeHaAUXw9Il7sBVG3_bw"/>
    <s v="192, 192, 192"/>
    <n v="3"/>
    <m/>
    <n v="40"/>
    <m/>
    <m/>
    <m/>
    <m/>
    <s v="No"/>
    <n v="464"/>
    <m/>
    <m/>
    <s v="Commented Video"/>
    <x v="0"/>
    <s v="Right so i just had my exam emm where was cardiovascular diseases?"/>
    <s v="UCjd7LhTYGEOAHC0WoK4GqwQ"/>
    <s v="robloxfan TJ"/>
    <s v="http://www.youtube.com/channel/UCjd7LhTYGEOAHC0WoK4GqwQ"/>
    <m/>
    <s v="H6DrSG_KQjo"/>
    <s v="https://www.youtube.com/watch?v=H6DrSG_KQjo"/>
    <s v="none"/>
    <n v="5"/>
    <x v="461"/>
    <d v="2019-05-14T19:49:11.000"/>
    <m/>
    <m/>
    <s v=""/>
    <n v="1"/>
    <s v="1"/>
    <s v="1"/>
    <n v="1"/>
    <n v="8.333333333333334"/>
    <n v="0"/>
    <n v="0"/>
    <n v="0"/>
    <n v="0"/>
    <n v="11"/>
    <n v="91.66666666666667"/>
    <n v="12"/>
  </r>
  <r>
    <s v="UC5SGVZXo0_bh0zNwR8I5bsw"/>
    <s v="UCqbOeHaAUXw9Il7sBVG3_bw"/>
    <s v="192, 192, 192"/>
    <n v="3"/>
    <m/>
    <n v="40"/>
    <m/>
    <m/>
    <m/>
    <m/>
    <s v="No"/>
    <n v="465"/>
    <m/>
    <m/>
    <s v="Commented Video"/>
    <x v="0"/>
    <s v="Ur doing good Bruder &lt;br&gt;Keep the relevant hard work up"/>
    <s v="UC5SGVZXo0_bh0zNwR8I5bsw"/>
    <s v="Nezar"/>
    <s v="http://www.youtube.com/channel/UC5SGVZXo0_bh0zNwR8I5bsw"/>
    <m/>
    <s v="H6DrSG_KQjo"/>
    <s v="https://www.youtube.com/watch?v=H6DrSG_KQjo"/>
    <s v="none"/>
    <n v="10"/>
    <x v="462"/>
    <d v="2019-09-08T20:25:05.000"/>
    <m/>
    <m/>
    <s v=""/>
    <n v="1"/>
    <s v="1"/>
    <s v="1"/>
    <n v="2"/>
    <n v="18.181818181818183"/>
    <n v="1"/>
    <n v="9.090909090909092"/>
    <n v="0"/>
    <n v="0"/>
    <n v="8"/>
    <n v="72.72727272727273"/>
    <n v="11"/>
  </r>
  <r>
    <s v="UCtYVy7l9RvKZ5rKOsiQsIKg"/>
    <s v="UCqbOeHaAUXw9Il7sBVG3_bw"/>
    <s v="192, 192, 192"/>
    <n v="3"/>
    <m/>
    <n v="40"/>
    <m/>
    <m/>
    <m/>
    <m/>
    <s v="No"/>
    <n v="466"/>
    <m/>
    <m/>
    <s v="Commented Video"/>
    <x v="0"/>
    <s v="Watching this 10mins away from my exam rip"/>
    <s v="UCtYVy7l9RvKZ5rKOsiQsIKg"/>
    <s v="Alex Aajww"/>
    <s v="http://www.youtube.com/channel/UCtYVy7l9RvKZ5rKOsiQsIKg"/>
    <m/>
    <s v="H6DrSG_KQjo"/>
    <s v="https://www.youtube.com/watch?v=H6DrSG_KQjo"/>
    <s v="none"/>
    <n v="15"/>
    <x v="463"/>
    <d v="2019-10-22T10:31:24.000"/>
    <m/>
    <m/>
    <s v=""/>
    <n v="1"/>
    <s v="1"/>
    <s v="1"/>
    <n v="0"/>
    <n v="0"/>
    <n v="1"/>
    <n v="12.5"/>
    <n v="0"/>
    <n v="0"/>
    <n v="7"/>
    <n v="87.5"/>
    <n v="8"/>
  </r>
  <r>
    <s v="UCYPUDUN5-t9VxaQRI9es0nA"/>
    <s v="UCeoYd8hiGyx3BWyFTSI_XAg"/>
    <s v="192, 192, 192"/>
    <n v="3"/>
    <m/>
    <n v="40"/>
    <m/>
    <m/>
    <m/>
    <m/>
    <s v="No"/>
    <n v="467"/>
    <m/>
    <m/>
    <s v="Replied Comment"/>
    <x v="1"/>
    <s v="Or drink alcohol excessively, better off not at all"/>
    <s v="UCYPUDUN5-t9VxaQRI9es0nA"/>
    <s v="Fire Emperor Zuko"/>
    <s v="http://www.youtube.com/channel/UCYPUDUN5-t9VxaQRI9es0nA"/>
    <s v="Ugz6Hs3eXsza8LgjiVF4AaABAg"/>
    <s v="H6DrSG_KQjo"/>
    <s v="https://www.youtube.com/watch?v=H6DrSG_KQjo"/>
    <s v="none"/>
    <n v="11"/>
    <x v="464"/>
    <d v="2020-11-07T18:59:26.000"/>
    <m/>
    <m/>
    <s v=""/>
    <n v="1"/>
    <s v="1"/>
    <s v="1"/>
    <n v="1"/>
    <n v="11.11111111111111"/>
    <n v="1"/>
    <n v="11.11111111111111"/>
    <n v="0"/>
    <n v="0"/>
    <n v="7"/>
    <n v="77.77777777777777"/>
    <n v="9"/>
  </r>
  <r>
    <s v="UCKO5JUTajV6ph3DvS6yRSag"/>
    <s v="UCeoYd8hiGyx3BWyFTSI_XAg"/>
    <s v="192, 192, 192"/>
    <n v="3"/>
    <m/>
    <n v="40"/>
    <m/>
    <m/>
    <m/>
    <m/>
    <s v="No"/>
    <n v="468"/>
    <m/>
    <m/>
    <s v="Replied Comment"/>
    <x v="1"/>
    <s v="@Fire Emperor Zuko Agreed, addiction is hard to break out from"/>
    <s v="UCKO5JUTajV6ph3DvS6yRSag"/>
    <s v="DaringToast"/>
    <s v="http://www.youtube.com/channel/UCKO5JUTajV6ph3DvS6yRSag"/>
    <s v="Ugz6Hs3eXsza8LgjiVF4AaABAg"/>
    <s v="H6DrSG_KQjo"/>
    <s v="https://www.youtube.com/watch?v=H6DrSG_KQjo"/>
    <s v="none"/>
    <n v="5"/>
    <x v="465"/>
    <d v="2021-03-14T12:54:35.000"/>
    <m/>
    <m/>
    <s v=""/>
    <n v="1"/>
    <s v="1"/>
    <s v="1"/>
    <n v="0"/>
    <n v="0"/>
    <n v="2"/>
    <n v="18.181818181818183"/>
    <n v="0"/>
    <n v="0"/>
    <n v="9"/>
    <n v="81.81818181818181"/>
    <n v="11"/>
  </r>
  <r>
    <s v="UCeoYd8hiGyx3BWyFTSI_XAg"/>
    <s v="UCqbOeHaAUXw9Il7sBVG3_bw"/>
    <s v="192, 192, 192"/>
    <n v="3"/>
    <m/>
    <n v="40"/>
    <m/>
    <m/>
    <m/>
    <m/>
    <s v="No"/>
    <n v="469"/>
    <m/>
    <m/>
    <s v="Commented Video"/>
    <x v="0"/>
    <s v="In summary, don&amp;#39;t smoke lol"/>
    <s v="UCeoYd8hiGyx3BWyFTSI_XAg"/>
    <s v="SOYA MILK"/>
    <s v="http://www.youtube.com/channel/UCeoYd8hiGyx3BWyFTSI_XAg"/>
    <m/>
    <s v="H6DrSG_KQjo"/>
    <s v="https://www.youtube.com/watch?v=H6DrSG_KQjo"/>
    <s v="none"/>
    <n v="75"/>
    <x v="466"/>
    <d v="2020-01-19T15:49:56.000"/>
    <m/>
    <m/>
    <s v=""/>
    <n v="1"/>
    <s v="1"/>
    <s v="1"/>
    <n v="0"/>
    <n v="0"/>
    <n v="1"/>
    <n v="14.285714285714286"/>
    <n v="0"/>
    <n v="0"/>
    <n v="6"/>
    <n v="85.71428571428571"/>
    <n v="7"/>
  </r>
  <r>
    <s v="UC3VECJj2CCuhHZcIi79xsPw"/>
    <s v="UCqbOeHaAUXw9Il7sBVG3_bw"/>
    <s v="192, 192, 192"/>
    <n v="3"/>
    <m/>
    <n v="40"/>
    <m/>
    <m/>
    <m/>
    <m/>
    <s v="No"/>
    <n v="470"/>
    <m/>
    <m/>
    <s v="Commented Video"/>
    <x v="0"/>
    <s v="who else is here for homework"/>
    <s v="UC3VECJj2CCuhHZcIi79xsPw"/>
    <s v="d stinger"/>
    <s v="http://www.youtube.com/channel/UC3VECJj2CCuhHZcIi79xsPw"/>
    <m/>
    <s v="H6DrSG_KQjo"/>
    <s v="https://www.youtube.com/watch?v=H6DrSG_KQjo"/>
    <s v="none"/>
    <n v="1"/>
    <x v="467"/>
    <d v="2020-05-12T18:31:27.000"/>
    <m/>
    <m/>
    <s v=""/>
    <n v="1"/>
    <s v="1"/>
    <s v="1"/>
    <n v="0"/>
    <n v="0"/>
    <n v="0"/>
    <n v="0"/>
    <n v="0"/>
    <n v="0"/>
    <n v="6"/>
    <n v="100"/>
    <n v="6"/>
  </r>
  <r>
    <s v="UCLSO99JZmrEMmSzPlBL4heg"/>
    <s v="UCqbOeHaAUXw9Il7sBVG3_bw"/>
    <s v="192, 192, 192"/>
    <n v="3"/>
    <m/>
    <n v="40"/>
    <m/>
    <m/>
    <m/>
    <m/>
    <s v="No"/>
    <n v="471"/>
    <m/>
    <m/>
    <s v="Commented Video"/>
    <x v="0"/>
    <s v="legend"/>
    <s v="UCLSO99JZmrEMmSzPlBL4heg"/>
    <s v="Rajan KANGURA"/>
    <s v="http://www.youtube.com/channel/UCLSO99JZmrEMmSzPlBL4heg"/>
    <m/>
    <s v="H6DrSG_KQjo"/>
    <s v="https://www.youtube.com/watch?v=H6DrSG_KQjo"/>
    <s v="none"/>
    <n v="1"/>
    <x v="468"/>
    <d v="2020-05-28T16:28:00.000"/>
    <m/>
    <m/>
    <s v=""/>
    <n v="1"/>
    <s v="1"/>
    <s v="1"/>
    <n v="0"/>
    <n v="0"/>
    <n v="0"/>
    <n v="0"/>
    <n v="0"/>
    <n v="0"/>
    <n v="1"/>
    <n v="100"/>
    <n v="1"/>
  </r>
  <r>
    <s v="UCT4Has8DrnrEjD8HNlzmlWA"/>
    <s v="UCqbOeHaAUXw9Il7sBVG3_bw"/>
    <s v="192, 192, 192"/>
    <n v="3"/>
    <m/>
    <n v="40"/>
    <m/>
    <m/>
    <m/>
    <m/>
    <s v="No"/>
    <n v="472"/>
    <m/>
    <m/>
    <s v="Commented Video"/>
    <x v="0"/>
    <s v="you&amp;#39;re a freaking legend. passed my exams cause of u"/>
    <s v="UCT4Has8DrnrEjD8HNlzmlWA"/>
    <s v="Gojo Kun"/>
    <s v="http://www.youtube.com/channel/UCT4Has8DrnrEjD8HNlzmlWA"/>
    <m/>
    <s v="H6DrSG_KQjo"/>
    <s v="https://www.youtube.com/watch?v=H6DrSG_KQjo"/>
    <s v="none"/>
    <n v="24"/>
    <x v="469"/>
    <d v="2020-10-07T20:39:32.000"/>
    <m/>
    <m/>
    <s v=""/>
    <n v="1"/>
    <s v="1"/>
    <s v="1"/>
    <n v="0"/>
    <n v="0"/>
    <n v="1"/>
    <n v="8.333333333333334"/>
    <n v="0"/>
    <n v="0"/>
    <n v="11"/>
    <n v="91.66666666666667"/>
    <n v="12"/>
  </r>
  <r>
    <s v="UCYPUDUN5-t9VxaQRI9es0nA"/>
    <s v="UCRkIO_Ye5iBesX8EKHcw3SA"/>
    <s v="192, 192, 192"/>
    <n v="3"/>
    <m/>
    <n v="40"/>
    <m/>
    <m/>
    <m/>
    <m/>
    <s v="No"/>
    <n v="473"/>
    <m/>
    <m/>
    <s v="Replied Comment"/>
    <x v="1"/>
    <s v="Don&amp;#39;t drink too"/>
    <s v="UCYPUDUN5-t9VxaQRI9es0nA"/>
    <s v="Fire Emperor Zuko"/>
    <s v="http://www.youtube.com/channel/UCYPUDUN5-t9VxaQRI9es0nA"/>
    <s v="UgyfmnQgE0d6nt4hYA54AaABAg"/>
    <s v="H6DrSG_KQjo"/>
    <s v="https://www.youtube.com/watch?v=H6DrSG_KQjo"/>
    <s v="none"/>
    <n v="0"/>
    <x v="470"/>
    <d v="2021-01-06T00:13:34.000"/>
    <m/>
    <m/>
    <s v=""/>
    <n v="1"/>
    <s v="1"/>
    <s v="1"/>
    <n v="0"/>
    <n v="0"/>
    <n v="0"/>
    <n v="0"/>
    <n v="0"/>
    <n v="0"/>
    <n v="5"/>
    <n v="100"/>
    <n v="5"/>
  </r>
  <r>
    <s v="UCRkIO_Ye5iBesX8EKHcw3SA"/>
    <s v="UCqbOeHaAUXw9Il7sBVG3_bw"/>
    <s v="192, 192, 192"/>
    <n v="3"/>
    <m/>
    <n v="40"/>
    <m/>
    <m/>
    <m/>
    <m/>
    <s v="No"/>
    <n v="474"/>
    <m/>
    <m/>
    <s v="Commented Video"/>
    <x v="0"/>
    <s v="dont smoke guys lol"/>
    <s v="UCRkIO_Ye5iBesX8EKHcw3SA"/>
    <s v="Daya Gill"/>
    <s v="http://www.youtube.com/channel/UCRkIO_Ye5iBesX8EKHcw3SA"/>
    <m/>
    <s v="H6DrSG_KQjo"/>
    <s v="https://www.youtube.com/watch?v=H6DrSG_KQjo"/>
    <s v="none"/>
    <n v="0"/>
    <x v="471"/>
    <d v="2020-10-27T13:59:47.000"/>
    <m/>
    <m/>
    <s v=""/>
    <n v="1"/>
    <s v="1"/>
    <s v="1"/>
    <n v="0"/>
    <n v="0"/>
    <n v="1"/>
    <n v="25"/>
    <n v="0"/>
    <n v="0"/>
    <n v="3"/>
    <n v="75"/>
    <n v="4"/>
  </r>
  <r>
    <s v="UC6PDbgG-8UPGLNw5d9dTKXw"/>
    <s v="UCqbOeHaAUXw9Il7sBVG3_bw"/>
    <s v="192, 192, 192"/>
    <n v="3"/>
    <m/>
    <n v="40"/>
    <m/>
    <m/>
    <m/>
    <m/>
    <s v="No"/>
    <n v="475"/>
    <m/>
    <m/>
    <s v="Commented Video"/>
    <x v="0"/>
    <s v="thank you"/>
    <s v="UC6PDbgG-8UPGLNw5d9dTKXw"/>
    <s v="theletterk"/>
    <s v="http://www.youtube.com/channel/UC6PDbgG-8UPGLNw5d9dTKXw"/>
    <m/>
    <s v="H6DrSG_KQjo"/>
    <s v="https://www.youtube.com/watch?v=H6DrSG_KQjo"/>
    <s v="none"/>
    <n v="1"/>
    <x v="472"/>
    <d v="2020-11-01T20:36:34.000"/>
    <m/>
    <m/>
    <s v=""/>
    <n v="1"/>
    <s v="1"/>
    <s v="1"/>
    <n v="1"/>
    <n v="50"/>
    <n v="0"/>
    <n v="0"/>
    <n v="0"/>
    <n v="0"/>
    <n v="1"/>
    <n v="50"/>
    <n v="2"/>
  </r>
  <r>
    <s v="UCKO5JUTajV6ph3DvS6yRSag"/>
    <s v="UCyIRJt5VxYvCitMWCWeKrSw"/>
    <s v="192, 192, 192"/>
    <n v="3"/>
    <m/>
    <n v="40"/>
    <m/>
    <m/>
    <m/>
    <m/>
    <s v="No"/>
    <n v="476"/>
    <m/>
    <m/>
    <s v="Replied Comment"/>
    <x v="1"/>
    <s v="Doing exercise doesn&amp;#39;t negate the presence of dangerous chemicals such as carcinogens, it only decreases the build up of fatty deposits. Freesciencelessons guy said that exercising decreases risk which is true, but to answer your question in terms of the total effect. The chance of someone who both smokes and exercises is more likely to get CHD than someone who doesn&amp;#39;t smoke"/>
    <s v="UCKO5JUTajV6ph3DvS6yRSag"/>
    <s v="DaringToast"/>
    <s v="http://www.youtube.com/channel/UCKO5JUTajV6ph3DvS6yRSag"/>
    <s v="UgzSAcLWnotCrYm2Ggt4AaABAg"/>
    <s v="H6DrSG_KQjo"/>
    <s v="https://www.youtube.com/watch?v=H6DrSG_KQjo"/>
    <s v="none"/>
    <n v="2"/>
    <x v="473"/>
    <d v="2021-03-14T12:50:36.000"/>
    <m/>
    <m/>
    <s v=""/>
    <n v="1"/>
    <s v="1"/>
    <s v="1"/>
    <n v="0"/>
    <n v="0"/>
    <n v="5"/>
    <n v="7.575757575757576"/>
    <n v="0"/>
    <n v="0"/>
    <n v="61"/>
    <n v="92.42424242424242"/>
    <n v="66"/>
  </r>
  <r>
    <s v="UCyIRJt5VxYvCitMWCWeKrSw"/>
    <s v="UCqbOeHaAUXw9Il7sBVG3_bw"/>
    <s v="192, 192, 192"/>
    <n v="3"/>
    <m/>
    <n v="40"/>
    <m/>
    <m/>
    <m/>
    <m/>
    <s v="No"/>
    <n v="477"/>
    <m/>
    <m/>
    <s v="Commented Video"/>
    <x v="0"/>
    <s v="Hello, I&amp;#39;ve a question:&lt;br&gt;What are chance of a person suffering from heart disease who smokes but also takes exercises?"/>
    <s v="UCyIRJt5VxYvCitMWCWeKrSw"/>
    <s v="Antara Sharmin"/>
    <s v="http://www.youtube.com/channel/UCyIRJt5VxYvCitMWCWeKrSw"/>
    <m/>
    <s v="H6DrSG_KQjo"/>
    <s v="https://www.youtube.com/watch?v=H6DrSG_KQjo"/>
    <s v="none"/>
    <n v="0"/>
    <x v="474"/>
    <d v="2021-01-14T14:45:25.000"/>
    <m/>
    <m/>
    <s v=""/>
    <n v="1"/>
    <s v="1"/>
    <s v="1"/>
    <n v="0"/>
    <n v="0"/>
    <n v="1"/>
    <n v="4.3478260869565215"/>
    <n v="0"/>
    <n v="0"/>
    <n v="22"/>
    <n v="95.65217391304348"/>
    <n v="23"/>
  </r>
  <r>
    <s v="UCEx4zF9gKH647q_tg5zwGGA"/>
    <s v="UC9e6GKzdbAjeq53QQdphLYg"/>
    <s v="192, 192, 192"/>
    <n v="3"/>
    <m/>
    <n v="40"/>
    <m/>
    <m/>
    <m/>
    <m/>
    <s v="No"/>
    <n v="478"/>
    <m/>
    <m/>
    <s v="Replied Comment"/>
    <x v="1"/>
    <s v="FR SAME"/>
    <s v="UCEx4zF9gKH647q_tg5zwGGA"/>
    <s v="Helena Maria"/>
    <s v="http://www.youtube.com/channel/UCEx4zF9gKH647q_tg5zwGGA"/>
    <s v="UgySa8_uHCAopJW88Tt4AaABAg"/>
    <s v="H6DrSG_KQjo"/>
    <s v="https://www.youtube.com/watch?v=H6DrSG_KQjo"/>
    <s v="none"/>
    <n v="1"/>
    <x v="475"/>
    <d v="2021-03-08T21:47:45.000"/>
    <m/>
    <m/>
    <s v=""/>
    <n v="1"/>
    <s v="1"/>
    <s v="1"/>
    <n v="0"/>
    <n v="0"/>
    <n v="0"/>
    <n v="0"/>
    <n v="0"/>
    <n v="0"/>
    <n v="2"/>
    <n v="100"/>
    <n v="2"/>
  </r>
  <r>
    <s v="UC9e6GKzdbAjeq53QQdphLYg"/>
    <s v="UCqbOeHaAUXw9Il7sBVG3_bw"/>
    <s v="192, 192, 192"/>
    <n v="3"/>
    <m/>
    <n v="40"/>
    <m/>
    <m/>
    <m/>
    <m/>
    <s v="No"/>
    <n v="479"/>
    <m/>
    <m/>
    <s v="Commented Video"/>
    <x v="0"/>
    <s v="Anyone here in 2021 this is for my science lesson😂"/>
    <s v="UC9e6GKzdbAjeq53QQdphLYg"/>
    <s v="Evie-louise Allan"/>
    <s v="http://www.youtube.com/channel/UC9e6GKzdbAjeq53QQdphLYg"/>
    <m/>
    <s v="H6DrSG_KQjo"/>
    <s v="https://www.youtube.com/watch?v=H6DrSG_KQjo"/>
    <s v="none"/>
    <n v="16"/>
    <x v="476"/>
    <d v="2021-01-25T15:14:32.000"/>
    <m/>
    <m/>
    <s v=""/>
    <n v="1"/>
    <s v="1"/>
    <s v="1"/>
    <n v="0"/>
    <n v="0"/>
    <n v="0"/>
    <n v="0"/>
    <n v="0"/>
    <n v="0"/>
    <n v="10"/>
    <n v="100"/>
    <n v="10"/>
  </r>
  <r>
    <s v="UCbTWZL8bwDdWBUegcykuNGw"/>
    <s v="UC07-dOwgza1IguKA86jqxNA"/>
    <s v="192, 192, 192"/>
    <n v="3"/>
    <m/>
    <n v="40"/>
    <m/>
    <m/>
    <m/>
    <m/>
    <s v="No"/>
    <n v="480"/>
    <m/>
    <m/>
    <s v="Commented Video"/>
    <x v="0"/>
    <s v="Visit our youtube channel to find out what the Healthy Caribbean Coalition is doing to help educate and agitate people about the Chronic Disease problem"/>
    <s v="UCbTWZL8bwDdWBUegcykuNGw"/>
    <s v="HealthyCaribbean"/>
    <s v="http://www.youtube.com/channel/UCbTWZL8bwDdWBUegcykuNGw"/>
    <m/>
    <s v="VCfyylZdmG0"/>
    <s v="https://www.youtube.com/watch?v=VCfyylZdmG0"/>
    <s v="none"/>
    <n v="0"/>
    <x v="477"/>
    <d v="2011-06-29T13:21:10.000"/>
    <m/>
    <m/>
    <s v=""/>
    <n v="1"/>
    <s v="5"/>
    <s v="5"/>
    <n v="1"/>
    <n v="4"/>
    <n v="2"/>
    <n v="8"/>
    <n v="0"/>
    <n v="0"/>
    <n v="22"/>
    <n v="88"/>
    <n v="25"/>
  </r>
  <r>
    <s v="UCnotihKlMoV1dgUtjkLiouA"/>
    <s v="UCqbOeHaAUXw9Il7sBVG3_bw"/>
    <s v="192, 192, 192"/>
    <n v="3"/>
    <m/>
    <n v="40"/>
    <m/>
    <m/>
    <m/>
    <m/>
    <s v="No"/>
    <n v="481"/>
    <m/>
    <m/>
    <s v="Commented Video"/>
    <x v="0"/>
    <s v="Do u have any flashcards for triple science? Or Revision material on your Website?"/>
    <s v="UCnotihKlMoV1dgUtjkLiouA"/>
    <s v="Sandy Carlie"/>
    <s v="http://www.youtube.com/channel/UCnotihKlMoV1dgUtjkLiouA"/>
    <m/>
    <s v="QYWNXp36O48"/>
    <s v="https://www.youtube.com/watch?v=QYWNXp36O48"/>
    <s v="none"/>
    <n v="0"/>
    <x v="478"/>
    <d v="2017-09-17T19:09:20.000"/>
    <m/>
    <m/>
    <s v=""/>
    <n v="1"/>
    <s v="1"/>
    <s v="1"/>
    <n v="0"/>
    <n v="0"/>
    <n v="0"/>
    <n v="0"/>
    <n v="0"/>
    <n v="0"/>
    <n v="14"/>
    <n v="100"/>
    <n v="14"/>
  </r>
  <r>
    <s v="UCqbOeHaAUXw9Il7sBVG3_bw"/>
    <s v="UC8bsh-WSrZ0C1_g4q0uheSw"/>
    <s v="192, 192, 192"/>
    <n v="3"/>
    <m/>
    <n v="40"/>
    <m/>
    <m/>
    <m/>
    <m/>
    <s v="Yes"/>
    <n v="482"/>
    <m/>
    <m/>
    <s v="Replied Comment"/>
    <x v="1"/>
    <s v="Yes, I cover everything on the spec."/>
    <s v="UCqbOeHaAUXw9Il7sBVG3_bw"/>
    <s v="Freesciencelessons"/>
    <s v="http://www.youtube.com/channel/UCqbOeHaAUXw9Il7sBVG3_bw"/>
    <s v="UgwxUkTlEG3IyGvDmPR4AaABAg"/>
    <s v="QYWNXp36O48"/>
    <s v="https://www.youtube.com/watch?v=QYWNXp36O48"/>
    <s v="none"/>
    <n v="12"/>
    <x v="479"/>
    <d v="2017-09-17T21:55:17.000"/>
    <m/>
    <m/>
    <s v=""/>
    <n v="1"/>
    <s v="1"/>
    <s v="1"/>
    <n v="0"/>
    <n v="0"/>
    <n v="0"/>
    <n v="0"/>
    <n v="0"/>
    <n v="0"/>
    <n v="7"/>
    <n v="100"/>
    <n v="7"/>
  </r>
  <r>
    <s v="UC8bsh-WSrZ0C1_g4q0uheSw"/>
    <s v="UCqbOeHaAUXw9Il7sBVG3_bw"/>
    <s v="192, 192, 192"/>
    <n v="3"/>
    <m/>
    <n v="40"/>
    <m/>
    <m/>
    <m/>
    <m/>
    <s v="Yes"/>
    <n v="483"/>
    <m/>
    <m/>
    <s v="Commented Video"/>
    <x v="0"/>
    <s v="Do u go over the whole specification"/>
    <s v="UC8bsh-WSrZ0C1_g4q0uheSw"/>
    <s v="يا كلب"/>
    <s v="http://www.youtube.com/channel/UC8bsh-WSrZ0C1_g4q0uheSw"/>
    <m/>
    <s v="QYWNXp36O48"/>
    <s v="https://www.youtube.com/watch?v=QYWNXp36O48"/>
    <s v="none"/>
    <n v="3"/>
    <x v="480"/>
    <d v="2017-09-17T19:28:58.000"/>
    <m/>
    <m/>
    <s v=""/>
    <n v="1"/>
    <s v="1"/>
    <s v="1"/>
    <n v="0"/>
    <n v="0"/>
    <n v="0"/>
    <n v="0"/>
    <n v="0"/>
    <n v="0"/>
    <n v="7"/>
    <n v="100"/>
    <n v="7"/>
  </r>
  <r>
    <s v="UCbnlzasIDFMA-otUhzPIgsw"/>
    <s v="UCuyr7c1eKDQOYOTUfTxGMBA"/>
    <s v="192, 192, 192"/>
    <n v="3"/>
    <m/>
    <n v="40"/>
    <m/>
    <m/>
    <m/>
    <m/>
    <s v="No"/>
    <n v="484"/>
    <m/>
    <m/>
    <s v="Replied Comment"/>
    <x v="1"/>
    <s v="Youngji 16 I"/>
    <s v="UCbnlzasIDFMA-otUhzPIgsw"/>
    <s v="Airbus A380-800"/>
    <s v="http://www.youtube.com/channel/UCbnlzasIDFMA-otUhzPIgsw"/>
    <s v="UgyLESuoCYp-Jg4hza54AaABAg"/>
    <s v="QYWNXp36O48"/>
    <s v="https://www.youtube.com/watch?v=QYWNXp36O48"/>
    <s v="none"/>
    <n v="3"/>
    <x v="481"/>
    <d v="2018-05-14T23:16:06.000"/>
    <m/>
    <m/>
    <s v=""/>
    <n v="1"/>
    <s v="1"/>
    <s v="1"/>
    <n v="0"/>
    <n v="0"/>
    <n v="0"/>
    <n v="0"/>
    <n v="0"/>
    <n v="0"/>
    <n v="3"/>
    <n v="100"/>
    <n v="3"/>
  </r>
  <r>
    <s v="UCdgATLC3qPTQSezm2lpPRiw"/>
    <s v="UCuyr7c1eKDQOYOTUfTxGMBA"/>
    <s v="192, 192, 192"/>
    <n v="3"/>
    <m/>
    <n v="40"/>
    <m/>
    <m/>
    <m/>
    <m/>
    <s v="No"/>
    <n v="485"/>
    <m/>
    <m/>
    <s v="Replied Comment"/>
    <x v="1"/>
    <s v="I’m only doing mocks. You got any advice?"/>
    <s v="UCdgATLC3qPTQSezm2lpPRiw"/>
    <s v="Shadow Cooper"/>
    <s v="http://www.youtube.com/channel/UCdgATLC3qPTQSezm2lpPRiw"/>
    <s v="UgyLESuoCYp-Jg4hza54AaABAg"/>
    <s v="QYWNXp36O48"/>
    <s v="https://www.youtube.com/watch?v=QYWNXp36O48"/>
    <s v="none"/>
    <n v="8"/>
    <x v="482"/>
    <d v="2019-06-17T22:59:39.000"/>
    <m/>
    <m/>
    <s v=""/>
    <n v="1"/>
    <s v="1"/>
    <s v="1"/>
    <n v="0"/>
    <n v="0"/>
    <n v="1"/>
    <n v="11.11111111111111"/>
    <n v="0"/>
    <n v="0"/>
    <n v="8"/>
    <n v="88.88888888888889"/>
    <n v="9"/>
  </r>
  <r>
    <s v="UCuyr7c1eKDQOYOTUfTxGMBA"/>
    <s v="UCqbOeHaAUXw9Il7sBVG3_bw"/>
    <s v="192, 192, 192"/>
    <n v="3"/>
    <m/>
    <n v="40"/>
    <m/>
    <m/>
    <m/>
    <m/>
    <s v="No"/>
    <n v="486"/>
    <m/>
    <m/>
    <s v="Commented Video"/>
    <x v="0"/>
    <s v="Hi I did my gcse this year and I was really happy with my results (I got an A) and I wanted to thank you sooo much for helping me achieve this I made notes and watched your videos constantly during the exam season and it helped me so much &lt;br&gt;Thank you"/>
    <s v="UCuyr7c1eKDQOYOTUfTxGMBA"/>
    <s v="Zahra Al-Batul"/>
    <s v="http://www.youtube.com/channel/UCuyr7c1eKDQOYOTUfTxGMBA"/>
    <m/>
    <s v="QYWNXp36O48"/>
    <s v="https://www.youtube.com/watch?v=QYWNXp36O48"/>
    <s v="none"/>
    <n v="159"/>
    <x v="483"/>
    <d v="2017-09-17T19:35:52.000"/>
    <m/>
    <m/>
    <s v=""/>
    <n v="1"/>
    <s v="1"/>
    <s v="1"/>
    <n v="5"/>
    <n v="9.433962264150944"/>
    <n v="0"/>
    <n v="0"/>
    <n v="0"/>
    <n v="0"/>
    <n v="48"/>
    <n v="90.56603773584905"/>
    <n v="53"/>
  </r>
  <r>
    <s v="UC4LkC8orOfPAL6JcREKcwLg"/>
    <s v="UCdNDDoX2E_HLp9xMTbh7SMg"/>
    <s v="192, 192, 192"/>
    <n v="3"/>
    <m/>
    <n v="40"/>
    <m/>
    <m/>
    <m/>
    <m/>
    <s v="No"/>
    <n v="487"/>
    <m/>
    <m/>
    <s v="Replied Comment"/>
    <x v="1"/>
    <s v="freshi3 king yes he is"/>
    <s v="UC4LkC8orOfPAL6JcREKcwLg"/>
    <s v="Amit Bangari"/>
    <s v="http://www.youtube.com/channel/UC4LkC8orOfPAL6JcREKcwLg"/>
    <s v="UgzIy5ohII9-2qbR2BV4AaABAg"/>
    <s v="QYWNXp36O48"/>
    <s v="https://www.youtube.com/watch?v="/>
    <s v="none"/>
    <n v="11"/>
    <x v="484"/>
    <d v="2018-01-07T18:52:12.000"/>
    <m/>
    <m/>
    <s v=""/>
    <n v="1"/>
    <s v="12"/>
    <s v="12"/>
    <n v="0"/>
    <n v="0"/>
    <n v="0"/>
    <n v="0"/>
    <n v="0"/>
    <n v="0"/>
    <n v="5"/>
    <n v="100"/>
    <n v="5"/>
  </r>
  <r>
    <s v="UCkYhBzBLlFWcH49l9vGgylQ"/>
    <s v="UCdNDDoX2E_HLp9xMTbh7SMg"/>
    <s v="192, 192, 192"/>
    <n v="3"/>
    <m/>
    <n v="40"/>
    <m/>
    <m/>
    <m/>
    <m/>
    <s v="No"/>
    <n v="488"/>
    <m/>
    <m/>
    <s v="Replied Comment"/>
    <x v="1"/>
    <s v="he is cute ☻ lol"/>
    <s v="UCkYhBzBLlFWcH49l9vGgylQ"/>
    <s v="N M"/>
    <s v="http://www.youtube.com/channel/UCkYhBzBLlFWcH49l9vGgylQ"/>
    <s v="UgzIy5ohII9-2qbR2BV4AaABAg"/>
    <s v="QYWNXp36O48"/>
    <s v="https://www.youtube.com/watch?v="/>
    <s v="none"/>
    <n v="11"/>
    <x v="485"/>
    <d v="2018-05-02T19:08:40.000"/>
    <m/>
    <m/>
    <s v=""/>
    <n v="1"/>
    <s v="12"/>
    <s v="12"/>
    <n v="1"/>
    <n v="25"/>
    <n v="0"/>
    <n v="0"/>
    <n v="0"/>
    <n v="0"/>
    <n v="3"/>
    <n v="75"/>
    <n v="4"/>
  </r>
  <r>
    <s v="UCkje6Mcjq7DR0FIUQtLe82Q"/>
    <s v="UCdNDDoX2E_HLp9xMTbh7SMg"/>
    <s v="192, 192, 192"/>
    <n v="3"/>
    <m/>
    <n v="40"/>
    <m/>
    <m/>
    <m/>
    <m/>
    <s v="No"/>
    <n v="489"/>
    <m/>
    <m/>
    <s v="Replied Comment"/>
    <x v="1"/>
    <s v="No matter what they say"/>
    <s v="UCkje6Mcjq7DR0FIUQtLe82Q"/>
    <s v="Tunnel Vision"/>
    <s v="http://www.youtube.com/channel/UCkje6Mcjq7DR0FIUQtLe82Q"/>
    <s v="UgzIy5ohII9-2qbR2BV4AaABAg"/>
    <s v="QYWNXp36O48"/>
    <s v="https://www.youtube.com/watch?v="/>
    <s v="none"/>
    <n v="3"/>
    <x v="486"/>
    <d v="2018-09-12T20:47:30.000"/>
    <m/>
    <m/>
    <s v=""/>
    <n v="1"/>
    <s v="12"/>
    <s v="12"/>
    <n v="0"/>
    <n v="0"/>
    <n v="0"/>
    <n v="0"/>
    <n v="0"/>
    <n v="0"/>
    <n v="5"/>
    <n v="100"/>
    <n v="5"/>
  </r>
  <r>
    <s v="UC5svPzYb-Q2h5UgW3fUxIfg"/>
    <s v="UCdNDDoX2E_HLp9xMTbh7SMg"/>
    <s v="192, 192, 192"/>
    <n v="3"/>
    <m/>
    <n v="40"/>
    <m/>
    <m/>
    <m/>
    <m/>
    <s v="No"/>
    <n v="490"/>
    <m/>
    <m/>
    <s v="Replied Comment"/>
    <x v="1"/>
    <s v="Ummm... I think I stumbled into the wrong fan club"/>
    <s v="UC5svPzYb-Q2h5UgW3fUxIfg"/>
    <s v="Joey"/>
    <s v="http://www.youtube.com/channel/UC5svPzYb-Q2h5UgW3fUxIfg"/>
    <s v="UgzIy5ohII9-2qbR2BV4AaABAg"/>
    <s v="QYWNXp36O48"/>
    <s v="https://www.youtube.com/watch?v="/>
    <s v="none"/>
    <n v="36"/>
    <x v="487"/>
    <d v="2019-04-09T15:54:32.000"/>
    <m/>
    <m/>
    <s v=""/>
    <n v="1"/>
    <s v="12"/>
    <s v="12"/>
    <n v="0"/>
    <n v="0"/>
    <n v="2"/>
    <n v="20"/>
    <n v="0"/>
    <n v="0"/>
    <n v="8"/>
    <n v="80"/>
    <n v="10"/>
  </r>
  <r>
    <s v="UCxNm0L1VAwHS8dZ7yDXOjxA"/>
    <s v="UCdNDDoX2E_HLp9xMTbh7SMg"/>
    <s v="192, 192, 192"/>
    <n v="3"/>
    <m/>
    <n v="40"/>
    <m/>
    <m/>
    <m/>
    <m/>
    <s v="No"/>
    <n v="491"/>
    <m/>
    <m/>
    <s v="Replied Comment"/>
    <x v="1"/>
    <s v="@Joey *right"/>
    <s v="UCxNm0L1VAwHS8dZ7yDXOjxA"/>
    <s v="Ronin"/>
    <s v="http://www.youtube.com/channel/UCxNm0L1VAwHS8dZ7yDXOjxA"/>
    <s v="UgzIy5ohII9-2qbR2BV4AaABAg"/>
    <s v="QYWNXp36O48"/>
    <s v="https://www.youtube.com/watch?v="/>
    <s v="none"/>
    <n v="10"/>
    <x v="488"/>
    <d v="2019-05-08T14:03:10.000"/>
    <m/>
    <m/>
    <s v=""/>
    <n v="1"/>
    <s v="12"/>
    <s v="12"/>
    <n v="1"/>
    <n v="50"/>
    <n v="0"/>
    <n v="0"/>
    <n v="0"/>
    <n v="0"/>
    <n v="1"/>
    <n v="50"/>
    <n v="2"/>
  </r>
  <r>
    <s v="UC3LBkyF05aXlH8CTdYBy_Eg"/>
    <s v="UCdNDDoX2E_HLp9xMTbh7SMg"/>
    <s v="192, 192, 192"/>
    <n v="3"/>
    <m/>
    <n v="40"/>
    <m/>
    <m/>
    <m/>
    <m/>
    <s v="No"/>
    <n v="492"/>
    <m/>
    <m/>
    <s v="Replied Comment"/>
    <x v="1"/>
    <s v="Ismabos 99 his smile too"/>
    <s v="UC3LBkyF05aXlH8CTdYBy_Eg"/>
    <s v="Satan"/>
    <s v="http://www.youtube.com/channel/UC3LBkyF05aXlH8CTdYBy_Eg"/>
    <s v="UgzIy5ohII9-2qbR2BV4AaABAg"/>
    <s v="QYWNXp36O48"/>
    <s v="https://www.youtube.com/watch?v="/>
    <s v="none"/>
    <n v="1"/>
    <x v="489"/>
    <d v="2019-11-30T18:09:42.000"/>
    <m/>
    <m/>
    <s v=""/>
    <n v="1"/>
    <s v="12"/>
    <s v="12"/>
    <n v="1"/>
    <n v="20"/>
    <n v="0"/>
    <n v="0"/>
    <n v="0"/>
    <n v="0"/>
    <n v="4"/>
    <n v="80"/>
    <n v="5"/>
  </r>
  <r>
    <s v="UCtDTJswKfTIo929ea9LuyVA"/>
    <s v="UCdNDDoX2E_HLp9xMTbh7SMg"/>
    <s v="192, 192, 192"/>
    <n v="3"/>
    <m/>
    <n v="40"/>
    <m/>
    <m/>
    <m/>
    <m/>
    <s v="No"/>
    <n v="493"/>
    <m/>
    <m/>
    <s v="Replied Comment"/>
    <x v="1"/>
    <s v="you&amp;#39;re breathtaking!"/>
    <s v="UCtDTJswKfTIo929ea9LuyVA"/>
    <s v="majwaska"/>
    <s v="http://www.youtube.com/channel/UCtDTJswKfTIo929ea9LuyVA"/>
    <s v="UgzIy5ohII9-2qbR2BV4AaABAg"/>
    <s v="QYWNXp36O48"/>
    <s v="https://www.youtube.com/watch?v="/>
    <s v="none"/>
    <n v="1"/>
    <x v="490"/>
    <d v="2019-12-03T20:52:13.000"/>
    <m/>
    <m/>
    <s v=""/>
    <n v="1"/>
    <s v="12"/>
    <s v="12"/>
    <n v="1"/>
    <n v="25"/>
    <n v="0"/>
    <n v="0"/>
    <n v="0"/>
    <n v="0"/>
    <n v="3"/>
    <n v="75"/>
    <n v="4"/>
  </r>
  <r>
    <s v="UCVTQwxMQKcjgXSajrmFcadg"/>
    <s v="UCdNDDoX2E_HLp9xMTbh7SMg"/>
    <s v="192, 192, 192"/>
    <n v="3"/>
    <m/>
    <n v="40"/>
    <m/>
    <m/>
    <m/>
    <m/>
    <s v="No"/>
    <n v="494"/>
    <m/>
    <m/>
    <s v="Replied Comment"/>
    <x v="1"/>
    <s v="@Tunnel Vision WoRdS cAnT bRiNg Me DoWn"/>
    <s v="UCVTQwxMQKcjgXSajrmFcadg"/>
    <s v="Theodora R Poli"/>
    <s v="http://www.youtube.com/channel/UCVTQwxMQKcjgXSajrmFcadg"/>
    <s v="UgzIy5ohII9-2qbR2BV4AaABAg"/>
    <s v="QYWNXp36O48"/>
    <s v="https://www.youtube.com/watch?v="/>
    <s v="none"/>
    <n v="1"/>
    <x v="491"/>
    <d v="2020-06-17T16:20:20.000"/>
    <m/>
    <m/>
    <s v=""/>
    <n v="1"/>
    <s v="12"/>
    <s v="12"/>
    <n v="0"/>
    <n v="0"/>
    <n v="0"/>
    <n v="0"/>
    <n v="0"/>
    <n v="0"/>
    <n v="7"/>
    <n v="100"/>
    <n v="7"/>
  </r>
  <r>
    <s v="UCW2mhNoDumoJAeqYxmSBVJA"/>
    <s v="UCdNDDoX2E_HLp9xMTbh7SMg"/>
    <s v="192, 192, 192"/>
    <n v="3"/>
    <m/>
    <n v="40"/>
    <m/>
    <m/>
    <m/>
    <m/>
    <s v="No"/>
    <n v="495"/>
    <m/>
    <m/>
    <s v="Replied Comment"/>
    <x v="1"/>
    <s v="he’s perfect ❤️ too perfect 😍😍"/>
    <s v="UCW2mhNoDumoJAeqYxmSBVJA"/>
    <s v="aadon and cloud"/>
    <s v="http://www.youtube.com/channel/UCW2mhNoDumoJAeqYxmSBVJA"/>
    <s v="UgzIy5ohII9-2qbR2BV4AaABAg"/>
    <s v="QYWNXp36O48"/>
    <s v="https://www.youtube.com/watch?v="/>
    <s v="none"/>
    <n v="0"/>
    <x v="492"/>
    <d v="2021-03-05T17:15:45.000"/>
    <m/>
    <m/>
    <s v=""/>
    <n v="1"/>
    <s v="12"/>
    <s v="12"/>
    <n v="2"/>
    <n v="40"/>
    <n v="0"/>
    <n v="0"/>
    <n v="0"/>
    <n v="0"/>
    <n v="3"/>
    <n v="60"/>
    <n v="5"/>
  </r>
  <r>
    <s v="UCdNDDoX2E_HLp9xMTbh7SMg"/>
    <s v="UCqbOeHaAUXw9Il7sBVG3_bw"/>
    <s v="192, 192, 192"/>
    <n v="3"/>
    <m/>
    <n v="40"/>
    <m/>
    <m/>
    <m/>
    <m/>
    <s v="No"/>
    <n v="496"/>
    <m/>
    <m/>
    <s v="Commented Video"/>
    <x v="0"/>
    <s v="You are  beautiful."/>
    <s v="UCdNDDoX2E_HLp9xMTbh7SMg"/>
    <s v="Ismail B"/>
    <s v="http://www.youtube.com/channel/UCdNDDoX2E_HLp9xMTbh7SMg"/>
    <m/>
    <s v="QYWNXp36O48"/>
    <s v="https://www.youtube.com/watch?v=QYWNXp36O48"/>
    <s v="none"/>
    <n v="284"/>
    <x v="493"/>
    <d v="2017-09-17T19:41:32.000"/>
    <m/>
    <m/>
    <s v=""/>
    <n v="1"/>
    <s v="12"/>
    <s v="1"/>
    <n v="1"/>
    <n v="33.333333333333336"/>
    <n v="0"/>
    <n v="0"/>
    <n v="0"/>
    <n v="0"/>
    <n v="2"/>
    <n v="66.66666666666667"/>
    <n v="3"/>
  </r>
  <r>
    <s v="UCk1v-IfRLmWAm-SiRqnxnJQ"/>
    <s v="UCqbOeHaAUXw9Il7sBVG3_bw"/>
    <s v="192, 192, 192"/>
    <n v="3"/>
    <m/>
    <n v="40"/>
    <m/>
    <m/>
    <m/>
    <m/>
    <s v="No"/>
    <n v="497"/>
    <m/>
    <m/>
    <s v="Commented Video"/>
    <x v="0"/>
    <s v="I have my first mock in november .I will be grateful if u make more videos on this topic and topic 4 like protein synthesis ."/>
    <s v="UCk1v-IfRLmWAm-SiRqnxnJQ"/>
    <s v="Safiya Ali"/>
    <s v="http://www.youtube.com/channel/UCk1v-IfRLmWAm-SiRqnxnJQ"/>
    <m/>
    <s v="QYWNXp36O48"/>
    <s v="https://www.youtube.com/watch?v=QYWNXp36O48"/>
    <s v="none"/>
    <n v="29"/>
    <x v="494"/>
    <d v="2017-09-18T08:47:20.000"/>
    <m/>
    <m/>
    <s v=""/>
    <n v="1"/>
    <s v="1"/>
    <s v="1"/>
    <n v="2"/>
    <n v="8"/>
    <n v="1"/>
    <n v="4"/>
    <n v="0"/>
    <n v="0"/>
    <n v="22"/>
    <n v="88"/>
    <n v="25"/>
  </r>
  <r>
    <s v="UCoxUHvB2cSCItSwpVN-V_VQ"/>
    <s v="UCMc7OjtNwZ2L8uXCtPhjM_A"/>
    <s v="192, 192, 192"/>
    <n v="3"/>
    <m/>
    <n v="40"/>
    <m/>
    <m/>
    <m/>
    <m/>
    <s v="No"/>
    <n v="498"/>
    <m/>
    <m/>
    <s v="Replied Comment"/>
    <x v="1"/>
    <s v="CORONA"/>
    <s v="UCoxUHvB2cSCItSwpVN-V_VQ"/>
    <s v="Tango Rust"/>
    <s v="http://www.youtube.com/channel/UCoxUHvB2cSCItSwpVN-V_VQ"/>
    <s v="UgwGr5rpDTFE3IaoInl4AaABAg"/>
    <s v="QYWNXp36O48"/>
    <s v="https://www.youtube.com/watch?v=QYWNXp36O48"/>
    <s v="none"/>
    <n v="0"/>
    <x v="495"/>
    <d v="2020-11-19T23:33:45.000"/>
    <m/>
    <m/>
    <s v=""/>
    <n v="1"/>
    <s v="1"/>
    <s v="1"/>
    <n v="0"/>
    <n v="0"/>
    <n v="0"/>
    <n v="0"/>
    <n v="0"/>
    <n v="0"/>
    <n v="1"/>
    <n v="100"/>
    <n v="1"/>
  </r>
  <r>
    <s v="UCMc7OjtNwZ2L8uXCtPhjM_A"/>
    <s v="UCqbOeHaAUXw9Il7sBVG3_bw"/>
    <s v="Red"/>
    <n v="10"/>
    <m/>
    <n v="15"/>
    <m/>
    <m/>
    <m/>
    <m/>
    <s v="Yes"/>
    <n v="499"/>
    <m/>
    <m/>
    <s v="Commented Video"/>
    <x v="0"/>
    <s v="Thanks again:)"/>
    <s v="UCMc7OjtNwZ2L8uXCtPhjM_A"/>
    <s v="Olivia Elliott"/>
    <s v="http://www.youtube.com/channel/UCMc7OjtNwZ2L8uXCtPhjM_A"/>
    <m/>
    <s v="QYWNXp36O48"/>
    <s v="https://www.youtube.com/watch?v=QYWNXp36O48"/>
    <s v="none"/>
    <n v="2"/>
    <x v="496"/>
    <d v="2018-02-04T12:19:48.000"/>
    <m/>
    <m/>
    <s v=""/>
    <n v="2"/>
    <s v="1"/>
    <s v="1"/>
    <n v="0"/>
    <n v="0"/>
    <n v="0"/>
    <n v="0"/>
    <n v="0"/>
    <n v="0"/>
    <n v="2"/>
    <n v="100"/>
    <n v="2"/>
  </r>
  <r>
    <s v="UCqbOeHaAUXw9Il7sBVG3_bw"/>
    <s v="UCMc7OjtNwZ2L8uXCtPhjM_A"/>
    <s v="192, 192, 192"/>
    <n v="3"/>
    <m/>
    <n v="40"/>
    <m/>
    <m/>
    <m/>
    <m/>
    <s v="Yes"/>
    <n v="500"/>
    <m/>
    <m/>
    <s v="Replied Comment"/>
    <x v="1"/>
    <s v="Yes, they&amp;#39;re in the playlists on organisation."/>
    <s v="UCqbOeHaAUXw9Il7sBVG3_bw"/>
    <s v="Freesciencelessons"/>
    <s v="http://www.youtube.com/channel/UCqbOeHaAUXw9Il7sBVG3_bw"/>
    <s v="UgwGr5rpDTFE3IaoInl4AaABAg"/>
    <s v="QYWNXp36O48"/>
    <s v="https://www.youtube.com/watch?v=QYWNXp36O48"/>
    <s v="none"/>
    <n v="17"/>
    <x v="497"/>
    <d v="2018-02-04T21:12:10.000"/>
    <m/>
    <m/>
    <s v=""/>
    <n v="1"/>
    <s v="1"/>
    <s v="1"/>
    <n v="0"/>
    <n v="0"/>
    <n v="0"/>
    <n v="0"/>
    <n v="0"/>
    <n v="0"/>
    <n v="9"/>
    <n v="100"/>
    <n v="9"/>
  </r>
  <r>
    <s v="UCMc7OjtNwZ2L8uXCtPhjM_A"/>
    <s v="UCqbOeHaAUXw9Il7sBVG3_bw"/>
    <s v="Red"/>
    <n v="10"/>
    <m/>
    <n v="15"/>
    <m/>
    <m/>
    <m/>
    <m/>
    <s v="Yes"/>
    <n v="501"/>
    <m/>
    <m/>
    <s v="Commented Video"/>
    <x v="0"/>
    <s v="Are there any specific diseases/infections we need to know about apart from malaria etc."/>
    <s v="UCMc7OjtNwZ2L8uXCtPhjM_A"/>
    <s v="Olivia Elliott"/>
    <s v="http://www.youtube.com/channel/UCMc7OjtNwZ2L8uXCtPhjM_A"/>
    <m/>
    <s v="QYWNXp36O48"/>
    <s v="https://www.youtube.com/watch?v=QYWNXp36O48"/>
    <s v="none"/>
    <n v="21"/>
    <x v="498"/>
    <d v="2018-02-04T12:23:59.000"/>
    <m/>
    <m/>
    <s v=""/>
    <n v="2"/>
    <s v="1"/>
    <s v="1"/>
    <n v="0"/>
    <n v="0"/>
    <n v="1"/>
    <n v="6.666666666666667"/>
    <n v="0"/>
    <n v="0"/>
    <n v="14"/>
    <n v="93.33333333333333"/>
    <n v="15"/>
  </r>
  <r>
    <s v="UCYyePgFFf8AZiGQvMV1x8vw"/>
    <s v="UCqbOeHaAUXw9Il7sBVG3_bw"/>
    <s v="192, 192, 192"/>
    <n v="3"/>
    <m/>
    <n v="40"/>
    <m/>
    <m/>
    <m/>
    <m/>
    <s v="No"/>
    <n v="502"/>
    <m/>
    <m/>
    <s v="Commented Video"/>
    <x v="0"/>
    <s v="these videos are so helpful, thank you so much"/>
    <s v="UCYyePgFFf8AZiGQvMV1x8vw"/>
    <s v="taylormoseley"/>
    <s v="http://www.youtube.com/channel/UCYyePgFFf8AZiGQvMV1x8vw"/>
    <m/>
    <s v="QYWNXp36O48"/>
    <s v="https://www.youtube.com/watch?v=QYWNXp36O48"/>
    <s v="none"/>
    <n v="5"/>
    <x v="499"/>
    <d v="2018-02-28T20:13:46.000"/>
    <m/>
    <m/>
    <s v=""/>
    <n v="1"/>
    <s v="1"/>
    <s v="1"/>
    <n v="2"/>
    <n v="22.22222222222222"/>
    <n v="0"/>
    <n v="0"/>
    <n v="0"/>
    <n v="0"/>
    <n v="7"/>
    <n v="77.77777777777777"/>
    <n v="9"/>
  </r>
  <r>
    <s v="UCujKLrTPGoMqbsV6ut4h7NQ"/>
    <s v="UCqbOeHaAUXw9Il7sBVG3_bw"/>
    <s v="192, 192, 192"/>
    <n v="3"/>
    <m/>
    <n v="40"/>
    <m/>
    <m/>
    <m/>
    <m/>
    <s v="No"/>
    <n v="503"/>
    <m/>
    <m/>
    <s v="Commented Video"/>
    <x v="0"/>
    <s v="@freesciencelessons Do we need to know these examples of communicable and non communicable diseases?"/>
    <s v="UCujKLrTPGoMqbsV6ut4h7NQ"/>
    <s v="Troy Templeton"/>
    <s v="http://www.youtube.com/channel/UCujKLrTPGoMqbsV6ut4h7NQ"/>
    <m/>
    <s v="QYWNXp36O48"/>
    <s v="https://www.youtube.com/watch?v=QYWNXp36O48"/>
    <s v="none"/>
    <n v="2"/>
    <x v="500"/>
    <d v="2018-04-03T22:19:21.000"/>
    <m/>
    <m/>
    <s v=""/>
    <n v="1"/>
    <s v="1"/>
    <s v="1"/>
    <n v="0"/>
    <n v="0"/>
    <n v="0"/>
    <n v="0"/>
    <n v="0"/>
    <n v="0"/>
    <n v="14"/>
    <n v="100"/>
    <n v="14"/>
  </r>
  <r>
    <s v="UC2LMT35ZLfTJwj6tsJVL_Kg"/>
    <s v="UCsLEd0PtEtGzKOi9xBLQF8g"/>
    <s v="192, 192, 192"/>
    <n v="3"/>
    <m/>
    <n v="40"/>
    <m/>
    <m/>
    <m/>
    <m/>
    <s v="No"/>
    <n v="504"/>
    <m/>
    <m/>
    <s v="Replied Comment"/>
    <x v="1"/>
    <s v="Abbie Rose same my both legs"/>
    <s v="UC2LMT35ZLfTJwj6tsJVL_Kg"/>
    <s v="Please Wait !!"/>
    <s v="http://www.youtube.com/channel/UC2LMT35ZLfTJwj6tsJVL_Kg"/>
    <s v="UgyfTJJFHPlbAQEqYNl4AaABAg"/>
    <s v="QYWNXp36O48"/>
    <s v="https://www.youtube.com/watch?v=QYWNXp36O48"/>
    <s v="none"/>
    <n v="1"/>
    <x v="501"/>
    <d v="2018-06-25T20:40:24.000"/>
    <m/>
    <m/>
    <s v=""/>
    <n v="1"/>
    <s v="1"/>
    <s v="1"/>
    <n v="0"/>
    <n v="0"/>
    <n v="0"/>
    <n v="0"/>
    <n v="0"/>
    <n v="0"/>
    <n v="6"/>
    <n v="100"/>
    <n v="6"/>
  </r>
  <r>
    <s v="UCpdGXkszzXE5LAkaICL6FVQ"/>
    <s v="UCsLEd0PtEtGzKOi9xBLQF8g"/>
    <s v="192, 192, 192"/>
    <n v="3"/>
    <m/>
    <n v="40"/>
    <m/>
    <m/>
    <m/>
    <m/>
    <s v="No"/>
    <n v="505"/>
    <m/>
    <m/>
    <s v="Replied Comment"/>
    <x v="1"/>
    <s v="Its gonna be alright, my prayers are with you."/>
    <s v="UCpdGXkszzXE5LAkaICL6FVQ"/>
    <s v="Vishal Farma"/>
    <s v="http://www.youtube.com/channel/UCpdGXkszzXE5LAkaICL6FVQ"/>
    <s v="UgyfTJJFHPlbAQEqYNl4AaABAg"/>
    <s v="QYWNXp36O48"/>
    <s v="https://www.youtube.com/watch?v=QYWNXp36O48"/>
    <s v="none"/>
    <n v="2"/>
    <x v="502"/>
    <d v="2019-05-08T20:50:57.000"/>
    <m/>
    <m/>
    <s v=""/>
    <n v="1"/>
    <s v="1"/>
    <s v="1"/>
    <n v="0"/>
    <n v="0"/>
    <n v="0"/>
    <n v="0"/>
    <n v="0"/>
    <n v="0"/>
    <n v="9"/>
    <n v="100"/>
    <n v="9"/>
  </r>
  <r>
    <s v="UCsLEd0PtEtGzKOi9xBLQF8g"/>
    <s v="UCqbOeHaAUXw9Il7sBVG3_bw"/>
    <s v="192, 192, 192"/>
    <n v="3"/>
    <m/>
    <n v="40"/>
    <m/>
    <m/>
    <m/>
    <m/>
    <s v="No"/>
    <n v="506"/>
    <m/>
    <m/>
    <s v="Commented Video"/>
    <x v="0"/>
    <s v="I&amp;#39;ve got Arthritis :("/>
    <s v="UCsLEd0PtEtGzKOi9xBLQF8g"/>
    <s v="Abbie Rose"/>
    <s v="http://www.youtube.com/channel/UCsLEd0PtEtGzKOi9xBLQF8g"/>
    <m/>
    <s v="QYWNXp36O48"/>
    <s v="https://www.youtube.com/watch?v=QYWNXp36O48"/>
    <s v="none"/>
    <n v="3"/>
    <x v="503"/>
    <d v="2018-05-12T17:27:36.000"/>
    <m/>
    <m/>
    <s v=""/>
    <n v="1"/>
    <s v="1"/>
    <s v="1"/>
    <n v="0"/>
    <n v="0"/>
    <n v="0"/>
    <n v="0"/>
    <n v="0"/>
    <n v="0"/>
    <n v="5"/>
    <n v="100"/>
    <n v="5"/>
  </r>
  <r>
    <s v="UCTCSylPHRVXT6mGgWCb2Dmw"/>
    <s v="UCcAmaqdRiS3nG9Zc-X_B4Kw"/>
    <s v="192, 192, 192"/>
    <n v="3"/>
    <m/>
    <n v="40"/>
    <m/>
    <m/>
    <m/>
    <m/>
    <s v="No"/>
    <n v="507"/>
    <m/>
    <m/>
    <s v="Replied Comment"/>
    <x v="1"/>
    <s v="Lil Peeper armyyyy :’)"/>
    <s v="UCTCSylPHRVXT6mGgWCb2Dmw"/>
    <s v="Alex"/>
    <s v="http://www.youtube.com/channel/UCTCSylPHRVXT6mGgWCb2Dmw"/>
    <s v="UgzLBP18bdCldi_NtFF4AaABAg"/>
    <s v="QYWNXp36O48"/>
    <s v="https://www.youtube.com/watch?v=QYWNXp36O48"/>
    <s v="none"/>
    <n v="2"/>
    <x v="504"/>
    <d v="2019-05-09T21:58:41.000"/>
    <m/>
    <m/>
    <s v=""/>
    <n v="1"/>
    <s v="19"/>
    <s v="19"/>
    <n v="0"/>
    <n v="0"/>
    <n v="0"/>
    <n v="0"/>
    <n v="0"/>
    <n v="0"/>
    <n v="3"/>
    <n v="100"/>
    <n v="3"/>
  </r>
  <r>
    <s v="UCpIxpKzjZTZrYdYQtIPLG1A"/>
    <s v="UCcAmaqdRiS3nG9Zc-X_B4Kw"/>
    <s v="192, 192, 192"/>
    <n v="3"/>
    <m/>
    <n v="40"/>
    <m/>
    <m/>
    <m/>
    <m/>
    <s v="No"/>
    <n v="508"/>
    <m/>
    <m/>
    <s v="Replied Comment"/>
    <x v="1"/>
    <s v="lol my test is in two days ..."/>
    <s v="UCpIxpKzjZTZrYdYQtIPLG1A"/>
    <s v="CHEY"/>
    <s v="http://www.youtube.com/channel/UCpIxpKzjZTZrYdYQtIPLG1A"/>
    <s v="UgzLBP18bdCldi_NtFF4AaABAg"/>
    <s v="QYWNXp36O48"/>
    <s v="https://www.youtube.com/watch?v=QYWNXp36O48"/>
    <s v="none"/>
    <n v="1"/>
    <x v="505"/>
    <d v="2019-05-12T16:57:51.000"/>
    <m/>
    <m/>
    <s v=""/>
    <n v="1"/>
    <s v="19"/>
    <s v="19"/>
    <n v="0"/>
    <n v="0"/>
    <n v="0"/>
    <n v="0"/>
    <n v="0"/>
    <n v="0"/>
    <n v="7"/>
    <n v="100"/>
    <n v="7"/>
  </r>
  <r>
    <s v="UCAfKX5atbQk4nK1ELw2nkKQ"/>
    <s v="UCcAmaqdRiS3nG9Zc-X_B4Kw"/>
    <s v="192, 192, 192"/>
    <n v="3"/>
    <m/>
    <n v="40"/>
    <m/>
    <m/>
    <m/>
    <m/>
    <s v="No"/>
    <n v="509"/>
    <m/>
    <m/>
    <s v="Replied Comment"/>
    <x v="1"/>
    <s v="How’d it go?"/>
    <s v="UCAfKX5atbQk4nK1ELw2nkKQ"/>
    <s v="keavy cartledge"/>
    <s v="http://www.youtube.com/channel/UCAfKX5atbQk4nK1ELw2nkKQ"/>
    <s v="UgzLBP18bdCldi_NtFF4AaABAg"/>
    <s v="QYWNXp36O48"/>
    <s v="https://www.youtube.com/watch?v=QYWNXp36O48"/>
    <s v="none"/>
    <n v="1"/>
    <x v="506"/>
    <d v="2020-03-25T12:43:39.000"/>
    <m/>
    <m/>
    <s v=""/>
    <n v="1"/>
    <s v="19"/>
    <s v="19"/>
    <n v="0"/>
    <n v="0"/>
    <n v="0"/>
    <n v="0"/>
    <n v="0"/>
    <n v="0"/>
    <n v="4"/>
    <n v="100"/>
    <n v="4"/>
  </r>
  <r>
    <s v="UCcAmaqdRiS3nG9Zc-X_B4Kw"/>
    <s v="UCqbOeHaAUXw9Il7sBVG3_bw"/>
    <s v="192, 192, 192"/>
    <n v="3"/>
    <m/>
    <n v="40"/>
    <m/>
    <m/>
    <m/>
    <m/>
    <s v="No"/>
    <n v="510"/>
    <m/>
    <m/>
    <s v="Commented Video"/>
    <x v="0"/>
    <s v="Who else is here 30 mins before the exam because same"/>
    <s v="UCcAmaqdRiS3nG9Zc-X_B4Kw"/>
    <s v="Hexbugz"/>
    <s v="http://www.youtube.com/channel/UCcAmaqdRiS3nG9Zc-X_B4Kw"/>
    <m/>
    <s v="QYWNXp36O48"/>
    <s v="https://www.youtube.com/watch?v=QYWNXp36O48"/>
    <s v="none"/>
    <n v="187"/>
    <x v="507"/>
    <d v="2018-05-15T13:44:42.000"/>
    <m/>
    <m/>
    <s v=""/>
    <n v="1"/>
    <s v="19"/>
    <s v="1"/>
    <n v="0"/>
    <n v="0"/>
    <n v="0"/>
    <n v="0"/>
    <n v="0"/>
    <n v="0"/>
    <n v="11"/>
    <n v="100"/>
    <n v="11"/>
  </r>
  <r>
    <s v="UCtCpsvqYYe32baaJLCRsbuA"/>
    <s v="UCqbOeHaAUXw9Il7sBVG3_bw"/>
    <s v="192, 192, 192"/>
    <n v="3"/>
    <m/>
    <n v="40"/>
    <m/>
    <m/>
    <m/>
    <m/>
    <s v="No"/>
    <n v="511"/>
    <m/>
    <m/>
    <s v="Commented Video"/>
    <x v="0"/>
    <s v="Thank you. So much."/>
    <s v="UCtCpsvqYYe32baaJLCRsbuA"/>
    <s v="طوق الياسمين"/>
    <s v="http://www.youtube.com/channel/UCtCpsvqYYe32baaJLCRsbuA"/>
    <m/>
    <s v="QYWNXp36O48"/>
    <s v="https://www.youtube.com/watch?v=QYWNXp36O48"/>
    <s v="none"/>
    <n v="1"/>
    <x v="508"/>
    <d v="2018-10-29T20:07:46.000"/>
    <m/>
    <m/>
    <s v=""/>
    <n v="1"/>
    <s v="1"/>
    <s v="1"/>
    <n v="1"/>
    <n v="25"/>
    <n v="0"/>
    <n v="0"/>
    <n v="0"/>
    <n v="0"/>
    <n v="3"/>
    <n v="75"/>
    <n v="4"/>
  </r>
  <r>
    <s v="UC59Y1UyNh5yWSP7pJvOkevw"/>
    <s v="UCqbOeHaAUXw9Il7sBVG3_bw"/>
    <s v="192, 192, 192"/>
    <n v="3"/>
    <m/>
    <n v="40"/>
    <m/>
    <m/>
    <m/>
    <m/>
    <s v="No"/>
    <n v="512"/>
    <m/>
    <m/>
    <s v="Commented Video"/>
    <x v="0"/>
    <s v="God damn tuberculosis killed my boah ARTHUR!"/>
    <s v="UC59Y1UyNh5yWSP7pJvOkevw"/>
    <s v="N B"/>
    <s v="http://www.youtube.com/channel/UC59Y1UyNh5yWSP7pJvOkevw"/>
    <m/>
    <s v="QYWNXp36O48"/>
    <s v="https://www.youtube.com/watch?v=QYWNXp36O48"/>
    <s v="none"/>
    <n v="1"/>
    <x v="509"/>
    <d v="2019-01-29T23:30:18.000"/>
    <m/>
    <m/>
    <s v=""/>
    <n v="1"/>
    <s v="1"/>
    <s v="1"/>
    <n v="0"/>
    <n v="0"/>
    <n v="2"/>
    <n v="28.571428571428573"/>
    <n v="0"/>
    <n v="0"/>
    <n v="5"/>
    <n v="71.42857142857143"/>
    <n v="7"/>
  </r>
  <r>
    <s v="UCE72zxLGsm_AcyQtOqs84SQ"/>
    <s v="UCEbfrWiWbnQOM7KDxO_Evmg"/>
    <s v="Red"/>
    <n v="10"/>
    <m/>
    <n v="15"/>
    <m/>
    <m/>
    <m/>
    <m/>
    <s v="No"/>
    <n v="513"/>
    <m/>
    <m/>
    <s v="Replied Comment"/>
    <x v="1"/>
    <s v="hiya, i&amp;#39;m not definitely sure about HIV&amp;#39;s, but the common cold has so many different types of colds that can occur in your body, so if they make a vaccine for one type of cold, it may only work against one person; there are so many different types of them."/>
    <s v="UCE72zxLGsm_AcyQtOqs84SQ"/>
    <s v="Salome Balasuriya"/>
    <s v="http://www.youtube.com/channel/UCE72zxLGsm_AcyQtOqs84SQ"/>
    <s v="Ugx-YWS50HK_e7kIoLN4AaABAg"/>
    <s v="QYWNXp36O48"/>
    <s v="https://www.youtube.com/watch?v=QYWNXp36O48"/>
    <s v="none"/>
    <n v="0"/>
    <x v="510"/>
    <d v="2019-02-05T20:24:17.000"/>
    <m/>
    <m/>
    <s v=""/>
    <n v="2"/>
    <s v="1"/>
    <s v="1"/>
    <n v="1"/>
    <n v="1.8518518518518519"/>
    <n v="2"/>
    <n v="3.7037037037037037"/>
    <n v="0"/>
    <n v="0"/>
    <n v="51"/>
    <n v="94.44444444444444"/>
    <n v="54"/>
  </r>
  <r>
    <s v="UCE72zxLGsm_AcyQtOqs84SQ"/>
    <s v="UCEbfrWiWbnQOM7KDxO_Evmg"/>
    <s v="Red"/>
    <n v="10"/>
    <m/>
    <n v="15"/>
    <m/>
    <m/>
    <m/>
    <m/>
    <s v="No"/>
    <n v="514"/>
    <m/>
    <m/>
    <s v="Replied Comment"/>
    <x v="1"/>
    <s v="@Freesciencelessons thanks!"/>
    <s v="UCE72zxLGsm_AcyQtOqs84SQ"/>
    <s v="Salome Balasuriya"/>
    <s v="http://www.youtube.com/channel/UCE72zxLGsm_AcyQtOqs84SQ"/>
    <s v="Ugx-YWS50HK_e7kIoLN4AaABAg"/>
    <s v="QYWNXp36O48"/>
    <s v="https://www.youtube.com/watch?v=QYWNXp36O48"/>
    <s v="none"/>
    <n v="0"/>
    <x v="511"/>
    <d v="2019-02-05T21:37:53.000"/>
    <m/>
    <m/>
    <s v=""/>
    <n v="2"/>
    <s v="1"/>
    <s v="1"/>
    <n v="0"/>
    <n v="0"/>
    <n v="0"/>
    <n v="0"/>
    <n v="0"/>
    <n v="0"/>
    <n v="2"/>
    <n v="100"/>
    <n v="2"/>
  </r>
  <r>
    <s v="UCqbOeHaAUXw9Il7sBVG3_bw"/>
    <s v="UCEbfrWiWbnQOM7KDxO_Evmg"/>
    <s v="192, 192, 192"/>
    <n v="3"/>
    <m/>
    <n v="40"/>
    <m/>
    <m/>
    <m/>
    <m/>
    <s v="Yes"/>
    <n v="515"/>
    <m/>
    <m/>
    <s v="Replied Comment"/>
    <x v="1"/>
    <s v="As the viewer below says, there are lots (around 160) of different versions of the common cold virus so a vaccine could never be effective. HIV is extremely easy to mutate so it is constantly changing. This means that any antibodies against it will not work for very long. Also, HIV damages the immune system, again making a vaccine against it extremely challenging."/>
    <s v="UCqbOeHaAUXw9Il7sBVG3_bw"/>
    <s v="Freesciencelessons"/>
    <s v="http://www.youtube.com/channel/UCqbOeHaAUXw9Il7sBVG3_bw"/>
    <s v="Ugx-YWS50HK_e7kIoLN4AaABAg"/>
    <s v="QYWNXp36O48"/>
    <s v="https://www.youtube.com/watch?v=QYWNXp36O48"/>
    <s v="none"/>
    <n v="3"/>
    <x v="512"/>
    <d v="2019-02-05T20:59:56.000"/>
    <m/>
    <m/>
    <s v=""/>
    <n v="1"/>
    <s v="1"/>
    <s v="1"/>
    <n v="3"/>
    <n v="4.761904761904762"/>
    <n v="4"/>
    <n v="6.349206349206349"/>
    <n v="0"/>
    <n v="0"/>
    <n v="56"/>
    <n v="88.88888888888889"/>
    <n v="63"/>
  </r>
  <r>
    <s v="UCEbfrWiWbnQOM7KDxO_Evmg"/>
    <s v="UCEbfrWiWbnQOM7KDxO_Evmg"/>
    <s v="Red"/>
    <n v="10"/>
    <m/>
    <n v="15"/>
    <m/>
    <m/>
    <m/>
    <m/>
    <s v="No"/>
    <n v="516"/>
    <m/>
    <m/>
    <s v="Replied Comment"/>
    <x v="1"/>
    <s v="@Freesciencelessons Thank you for responding ☺️☺️"/>
    <s v="UCEbfrWiWbnQOM7KDxO_Evmg"/>
    <s v="Mehnaaz"/>
    <s v="http://www.youtube.com/channel/UCEbfrWiWbnQOM7KDxO_Evmg"/>
    <s v="Ugx-YWS50HK_e7kIoLN4AaABAg"/>
    <s v="QYWNXp36O48"/>
    <s v="https://www.youtube.com/watch?v=QYWNXp36O48"/>
    <s v="none"/>
    <n v="1"/>
    <x v="513"/>
    <d v="2019-02-05T21:10:09.000"/>
    <m/>
    <m/>
    <s v=""/>
    <n v="2"/>
    <s v="1"/>
    <s v="1"/>
    <n v="1"/>
    <n v="20"/>
    <n v="0"/>
    <n v="0"/>
    <n v="0"/>
    <n v="0"/>
    <n v="4"/>
    <n v="80"/>
    <n v="5"/>
  </r>
  <r>
    <s v="UCEbfrWiWbnQOM7KDxO_Evmg"/>
    <s v="UCEbfrWiWbnQOM7KDxO_Evmg"/>
    <s v="Red"/>
    <n v="10"/>
    <m/>
    <n v="15"/>
    <m/>
    <m/>
    <m/>
    <m/>
    <s v="No"/>
    <n v="517"/>
    <m/>
    <m/>
    <s v="Replied Comment"/>
    <x v="1"/>
    <s v="@Salome Balasuriya Thank you for helping ☺️☺️"/>
    <s v="UCEbfrWiWbnQOM7KDxO_Evmg"/>
    <s v="Mehnaaz"/>
    <s v="http://www.youtube.com/channel/UCEbfrWiWbnQOM7KDxO_Evmg"/>
    <s v="Ugx-YWS50HK_e7kIoLN4AaABAg"/>
    <s v="QYWNXp36O48"/>
    <s v="https://www.youtube.com/watch?v=QYWNXp36O48"/>
    <s v="none"/>
    <n v="1"/>
    <x v="514"/>
    <d v="2019-02-05T21:10:33.000"/>
    <m/>
    <m/>
    <s v=""/>
    <n v="2"/>
    <s v="1"/>
    <s v="1"/>
    <n v="2"/>
    <n v="33.333333333333336"/>
    <n v="0"/>
    <n v="0"/>
    <n v="0"/>
    <n v="0"/>
    <n v="4"/>
    <n v="66.66666666666667"/>
    <n v="6"/>
  </r>
  <r>
    <s v="UCEbfrWiWbnQOM7KDxO_Evmg"/>
    <s v="UCqbOeHaAUXw9Il7sBVG3_bw"/>
    <s v="192, 192, 192"/>
    <n v="3"/>
    <m/>
    <n v="40"/>
    <m/>
    <m/>
    <m/>
    <m/>
    <s v="Yes"/>
    <n v="518"/>
    <m/>
    <m/>
    <s v="Commented Video"/>
    <x v="0"/>
    <s v="Can you tell me why it&amp;#39;s difficult to produce a vaccine against hiv/common cold??"/>
    <s v="UCEbfrWiWbnQOM7KDxO_Evmg"/>
    <s v="Mehnaaz"/>
    <s v="http://www.youtube.com/channel/UCEbfrWiWbnQOM7KDxO_Evmg"/>
    <m/>
    <s v="QYWNXp36O48"/>
    <s v="https://www.youtube.com/watch?v=QYWNXp36O48"/>
    <s v="none"/>
    <n v="0"/>
    <x v="515"/>
    <d v="2019-01-30T22:27:56.000"/>
    <m/>
    <m/>
    <s v=""/>
    <n v="1"/>
    <s v="1"/>
    <s v="1"/>
    <n v="0"/>
    <n v="0"/>
    <n v="2"/>
    <n v="11.764705882352942"/>
    <n v="0"/>
    <n v="0"/>
    <n v="15"/>
    <n v="88.23529411764706"/>
    <n v="17"/>
  </r>
  <r>
    <s v="UCWEnrt2wJSyJ8UF9gGLxhgA"/>
    <s v="UCqbOeHaAUXw9Il7sBVG3_bw"/>
    <s v="192, 192, 192"/>
    <n v="3"/>
    <m/>
    <n v="40"/>
    <m/>
    <m/>
    <m/>
    <m/>
    <s v="No"/>
    <n v="519"/>
    <m/>
    <m/>
    <s v="Commented Video"/>
    <x v="0"/>
    <s v="geezer"/>
    <s v="UCWEnrt2wJSyJ8UF9gGLxhgA"/>
    <s v="HENIX"/>
    <s v="http://www.youtube.com/channel/UCWEnrt2wJSyJ8UF9gGLxhgA"/>
    <m/>
    <s v="QYWNXp36O48"/>
    <s v="https://www.youtube.com/watch?v=QYWNXp36O48"/>
    <s v="none"/>
    <n v="2"/>
    <x v="516"/>
    <d v="2019-02-11T23:51:46.000"/>
    <m/>
    <m/>
    <s v=""/>
    <n v="1"/>
    <s v="1"/>
    <s v="1"/>
    <n v="0"/>
    <n v="0"/>
    <n v="1"/>
    <n v="100"/>
    <n v="0"/>
    <n v="0"/>
    <n v="0"/>
    <n v="0"/>
    <n v="1"/>
  </r>
  <r>
    <s v="UCqbOeHaAUXw9Il7sBVG3_bw"/>
    <s v="UC9FjksoBHY_UxYRP6tvNnww"/>
    <s v="192, 192, 192"/>
    <n v="3"/>
    <m/>
    <n v="40"/>
    <m/>
    <m/>
    <m/>
    <m/>
    <s v="Yes"/>
    <n v="520"/>
    <m/>
    <m/>
    <s v="Replied Comment"/>
    <x v="1"/>
    <s v="Yes it&amp;#39;s in two parts of the spec."/>
    <s v="UCqbOeHaAUXw9Il7sBVG3_bw"/>
    <s v="Freesciencelessons"/>
    <s v="http://www.youtube.com/channel/UCqbOeHaAUXw9Il7sBVG3_bw"/>
    <s v="UgxccqcvUqs08iHuW454AaABAg"/>
    <s v="QYWNXp36O48"/>
    <s v="https://www.youtube.com/watch?v=QYWNXp36O48"/>
    <s v="none"/>
    <n v="0"/>
    <x v="517"/>
    <d v="2019-03-24T16:40:40.000"/>
    <m/>
    <m/>
    <s v=""/>
    <n v="1"/>
    <s v="1"/>
    <s v="1"/>
    <n v="0"/>
    <n v="0"/>
    <n v="0"/>
    <n v="0"/>
    <n v="0"/>
    <n v="0"/>
    <n v="10"/>
    <n v="100"/>
    <n v="10"/>
  </r>
  <r>
    <s v="UC9FjksoBHY_UxYRP6tvNnww"/>
    <s v="UCqbOeHaAUXw9Il7sBVG3_bw"/>
    <s v="192, 192, 192"/>
    <n v="3"/>
    <m/>
    <n v="40"/>
    <m/>
    <m/>
    <m/>
    <m/>
    <s v="Yes"/>
    <n v="521"/>
    <m/>
    <m/>
    <s v="Commented Video"/>
    <x v="0"/>
    <s v="is this video in the organisation topic aswell?"/>
    <s v="UC9FjksoBHY_UxYRP6tvNnww"/>
    <s v="Tony H"/>
    <s v="http://www.youtube.com/channel/UC9FjksoBHY_UxYRP6tvNnww"/>
    <m/>
    <s v="QYWNXp36O48"/>
    <s v="https://www.youtube.com/watch?v=QYWNXp36O48"/>
    <s v="none"/>
    <n v="1"/>
    <x v="518"/>
    <d v="2019-03-24T15:40:17.000"/>
    <m/>
    <m/>
    <s v=""/>
    <n v="1"/>
    <s v="1"/>
    <s v="1"/>
    <n v="0"/>
    <n v="0"/>
    <n v="0"/>
    <n v="0"/>
    <n v="0"/>
    <n v="0"/>
    <n v="8"/>
    <n v="100"/>
    <n v="8"/>
  </r>
  <r>
    <s v="UC1g2nw6FsShjFX5ycvYjKrQ"/>
    <s v="UCqbOeHaAUXw9Il7sBVG3_bw"/>
    <s v="192, 192, 192"/>
    <n v="3"/>
    <m/>
    <n v="40"/>
    <m/>
    <m/>
    <m/>
    <m/>
    <s v="No"/>
    <n v="522"/>
    <m/>
    <m/>
    <s v="Commented Video"/>
    <x v="0"/>
    <s v="thank you, the video really helped me"/>
    <s v="UC1g2nw6FsShjFX5ycvYjKrQ"/>
    <s v="Bima Yudistirangga"/>
    <s v="http://www.youtube.com/channel/UC1g2nw6FsShjFX5ycvYjKrQ"/>
    <m/>
    <s v="QYWNXp36O48"/>
    <s v="https://www.youtube.com/watch?v=QYWNXp36O48"/>
    <s v="none"/>
    <n v="4"/>
    <x v="519"/>
    <d v="2019-04-09T13:36:50.000"/>
    <m/>
    <m/>
    <s v=""/>
    <n v="1"/>
    <s v="1"/>
    <s v="1"/>
    <n v="2"/>
    <n v="28.571428571428573"/>
    <n v="0"/>
    <n v="0"/>
    <n v="0"/>
    <n v="0"/>
    <n v="5"/>
    <n v="71.42857142857143"/>
    <n v="7"/>
  </r>
  <r>
    <s v="UCiv0P8ZBx6PUV9CptXEkWKw"/>
    <s v="UCqbOeHaAUXw9Il7sBVG3_bw"/>
    <s v="192, 192, 192"/>
    <n v="3"/>
    <m/>
    <n v="40"/>
    <m/>
    <m/>
    <m/>
    <m/>
    <s v="No"/>
    <n v="523"/>
    <m/>
    <m/>
    <s v="Commented Video"/>
    <x v="0"/>
    <s v="thank you the video is very good and inspiring"/>
    <s v="UCiv0P8ZBx6PUV9CptXEkWKw"/>
    <s v="Badiatul Khasanah"/>
    <s v="http://www.youtube.com/channel/UCiv0P8ZBx6PUV9CptXEkWKw"/>
    <m/>
    <s v="QYWNXp36O48"/>
    <s v="https://www.youtube.com/watch?v=QYWNXp36O48"/>
    <s v="none"/>
    <n v="0"/>
    <x v="520"/>
    <d v="2019-04-09T13:52:16.000"/>
    <m/>
    <m/>
    <s v=""/>
    <n v="1"/>
    <s v="1"/>
    <s v="1"/>
    <n v="3"/>
    <n v="33.333333333333336"/>
    <n v="0"/>
    <n v="0"/>
    <n v="0"/>
    <n v="0"/>
    <n v="6"/>
    <n v="66.66666666666667"/>
    <n v="9"/>
  </r>
  <r>
    <s v="UClzQpgwaQA51uOv-8VooFlA"/>
    <s v="UCqbOeHaAUXw9Il7sBVG3_bw"/>
    <s v="192, 192, 192"/>
    <n v="3"/>
    <m/>
    <n v="40"/>
    <m/>
    <m/>
    <m/>
    <m/>
    <s v="No"/>
    <n v="524"/>
    <m/>
    <m/>
    <s v="Commented Video"/>
    <x v="0"/>
    <s v="thank you this video really helped me"/>
    <s v="UClzQpgwaQA51uOv-8VooFlA"/>
    <s v="Alfi ilhamu Fajri"/>
    <s v="http://www.youtube.com/channel/UClzQpgwaQA51uOv-8VooFlA"/>
    <m/>
    <s v="QYWNXp36O48"/>
    <s v="https://www.youtube.com/watch?v=QYWNXp36O48"/>
    <s v="none"/>
    <n v="2"/>
    <x v="521"/>
    <d v="2019-04-09T15:45:02.000"/>
    <m/>
    <m/>
    <s v=""/>
    <n v="1"/>
    <s v="1"/>
    <s v="1"/>
    <n v="2"/>
    <n v="28.571428571428573"/>
    <n v="0"/>
    <n v="0"/>
    <n v="0"/>
    <n v="0"/>
    <n v="5"/>
    <n v="71.42857142857143"/>
    <n v="7"/>
  </r>
  <r>
    <s v="UC9sz15QtSp_Sr-fg48i3v6A"/>
    <s v="UCnwjwXdjfM_YgmDFTr0NChg"/>
    <s v="192, 192, 192"/>
    <n v="3"/>
    <m/>
    <n v="40"/>
    <m/>
    <m/>
    <m/>
    <m/>
    <s v="No"/>
    <n v="525"/>
    <m/>
    <m/>
    <s v="Replied Comment"/>
    <x v="1"/>
    <s v="We don&amp;#39;t learn about mental health in AQA spec which sucks cuz it&amp;#39;s important"/>
    <s v="UC9sz15QtSp_Sr-fg48i3v6A"/>
    <s v="Meera Assan"/>
    <s v="http://www.youtube.com/channel/UC9sz15QtSp_Sr-fg48i3v6A"/>
    <s v="UgzQ0wKogZmYQOIQWT94AaABAg"/>
    <s v="QYWNXp36O48"/>
    <s v="https://www.youtube.com/watch?v=QYWNXp36O48"/>
    <s v="none"/>
    <n v="1"/>
    <x v="522"/>
    <d v="2019-04-16T11:52:40.000"/>
    <m/>
    <m/>
    <s v=""/>
    <n v="1"/>
    <s v="1"/>
    <s v="1"/>
    <n v="1"/>
    <n v="5.555555555555555"/>
    <n v="1"/>
    <n v="5.555555555555555"/>
    <n v="0"/>
    <n v="0"/>
    <n v="16"/>
    <n v="88.88888888888889"/>
    <n v="18"/>
  </r>
  <r>
    <s v="UCqbOeHaAUXw9Il7sBVG3_bw"/>
    <s v="UCnwjwXdjfM_YgmDFTr0NChg"/>
    <s v="192, 192, 192"/>
    <n v="3"/>
    <m/>
    <n v="40"/>
    <m/>
    <m/>
    <m/>
    <m/>
    <s v="Yes"/>
    <n v="526"/>
    <m/>
    <m/>
    <s v="Replied Comment"/>
    <x v="1"/>
    <s v="My videos are aimed at the AQA spec, so I&amp;#39;d stick to the definition given in the Edexcel spec."/>
    <s v="UCqbOeHaAUXw9Il7sBVG3_bw"/>
    <s v="Freesciencelessons"/>
    <s v="http://www.youtube.com/channel/UCqbOeHaAUXw9Il7sBVG3_bw"/>
    <s v="UgzQ0wKogZmYQOIQWT94AaABAg"/>
    <s v="QYWNXp36O48"/>
    <s v="https://www.youtube.com/watch?v=QYWNXp36O48"/>
    <s v="none"/>
    <n v="1"/>
    <x v="523"/>
    <d v="2019-04-14T12:46:06.000"/>
    <m/>
    <m/>
    <s v=""/>
    <n v="1"/>
    <s v="1"/>
    <s v="1"/>
    <n v="0"/>
    <n v="0"/>
    <n v="0"/>
    <n v="0"/>
    <n v="0"/>
    <n v="0"/>
    <n v="21"/>
    <n v="100"/>
    <n v="21"/>
  </r>
  <r>
    <s v="UCnwjwXdjfM_YgmDFTr0NChg"/>
    <s v="UCnwjwXdjfM_YgmDFTr0NChg"/>
    <s v="192, 192, 192"/>
    <n v="3"/>
    <m/>
    <n v="40"/>
    <m/>
    <m/>
    <m/>
    <m/>
    <s v="No"/>
    <n v="527"/>
    <m/>
    <m/>
    <s v="Replied Comment"/>
    <x v="1"/>
    <s v="@Freesciencelessons Oh ok but at least most of the topics you teach are in the same papers as Edexcel, so it shouldn&amp;#39;t make a difference."/>
    <s v="UCnwjwXdjfM_YgmDFTr0NChg"/>
    <s v="Hannan Jawad"/>
    <s v="http://www.youtube.com/channel/UCnwjwXdjfM_YgmDFTr0NChg"/>
    <s v="UgzQ0wKogZmYQOIQWT94AaABAg"/>
    <s v="QYWNXp36O48"/>
    <s v="https://www.youtube.com/watch?v=QYWNXp36O48"/>
    <s v="none"/>
    <n v="1"/>
    <x v="524"/>
    <d v="2019-04-14T12:51:13.000"/>
    <m/>
    <m/>
    <s v=""/>
    <n v="1"/>
    <s v="1"/>
    <s v="1"/>
    <n v="0"/>
    <n v="0"/>
    <n v="0"/>
    <n v="0"/>
    <n v="0"/>
    <n v="0"/>
    <n v="27"/>
    <n v="100"/>
    <n v="27"/>
  </r>
  <r>
    <s v="UCnwjwXdjfM_YgmDFTr0NChg"/>
    <s v="UCqbOeHaAUXw9Il7sBVG3_bw"/>
    <s v="192, 192, 192"/>
    <n v="3"/>
    <m/>
    <n v="40"/>
    <m/>
    <m/>
    <m/>
    <m/>
    <s v="Yes"/>
    <n v="528"/>
    <m/>
    <m/>
    <s v="Commented Video"/>
    <x v="0"/>
    <s v="In the Edexcel 9-1 CGP revision guide it states mental health is &amp;quot;a state of complete physical, mental and social well-being, and not merely the absence of disease or infirmity(old age)&amp;quot; would I still get full marks if I were to state your definition of mental health?"/>
    <s v="UCnwjwXdjfM_YgmDFTr0NChg"/>
    <s v="Hannan Jawad"/>
    <s v="http://www.youtube.com/channel/UCnwjwXdjfM_YgmDFTr0NChg"/>
    <m/>
    <s v="QYWNXp36O48"/>
    <s v="https://www.youtube.com/watch?v=QYWNXp36O48"/>
    <s v="none"/>
    <n v="1"/>
    <x v="525"/>
    <d v="2019-04-14T00:18:30.000"/>
    <m/>
    <m/>
    <s v=""/>
    <n v="1"/>
    <s v="1"/>
    <s v="1"/>
    <n v="1"/>
    <n v="1.9230769230769231"/>
    <n v="1"/>
    <n v="1.9230769230769231"/>
    <n v="0"/>
    <n v="0"/>
    <n v="50"/>
    <n v="96.15384615384616"/>
    <n v="52"/>
  </r>
  <r>
    <s v="UCpdGXkszzXE5LAkaICL6FVQ"/>
    <s v="UCgC4gwzrL6yC0QKTzYqgdTQ"/>
    <s v="192, 192, 192"/>
    <n v="3"/>
    <m/>
    <n v="40"/>
    <m/>
    <m/>
    <m/>
    <m/>
    <s v="No"/>
    <n v="529"/>
    <m/>
    <m/>
    <s v="Replied Comment"/>
    <x v="1"/>
    <s v="@finn hadley-burgess I think these these examples are pretty self-explanatory anyway, but to be on the safe side, I&amp;#39;d reccomend going over them. Good luck."/>
    <s v="UCpdGXkszzXE5LAkaICL6FVQ"/>
    <s v="Vishal Farma"/>
    <s v="http://www.youtube.com/channel/UCpdGXkszzXE5LAkaICL6FVQ"/>
    <s v="UgwWyMiCIDGie5SpnAF4AaABAg"/>
    <s v="QYWNXp36O48"/>
    <s v="https://www.youtube.com/watch?v=QYWNXp36O48"/>
    <s v="none"/>
    <n v="0"/>
    <x v="526"/>
    <d v="2019-05-08T20:53:23.000"/>
    <m/>
    <m/>
    <s v=""/>
    <n v="1"/>
    <s v="1"/>
    <s v="1"/>
    <n v="4"/>
    <n v="13.793103448275861"/>
    <n v="0"/>
    <n v="0"/>
    <n v="0"/>
    <n v="0"/>
    <n v="25"/>
    <n v="86.20689655172414"/>
    <n v="29"/>
  </r>
  <r>
    <s v="UCqbOeHaAUXw9Il7sBVG3_bw"/>
    <s v="UCgC4gwzrL6yC0QKTzYqgdTQ"/>
    <s v="192, 192, 192"/>
    <n v="3"/>
    <m/>
    <n v="40"/>
    <m/>
    <m/>
    <m/>
    <m/>
    <s v="Yes"/>
    <n v="530"/>
    <m/>
    <m/>
    <s v="Replied Comment"/>
    <x v="1"/>
    <s v="This is an old video for the spec that has finished. I&amp;#39;d recommend only using videos from my playlists with &amp;quot;9-1&amp;quot; in the title."/>
    <s v="UCqbOeHaAUXw9Il7sBVG3_bw"/>
    <s v="Freesciencelessons"/>
    <s v="http://www.youtube.com/channel/UCqbOeHaAUXw9Il7sBVG3_bw"/>
    <s v="UgwWyMiCIDGie5SpnAF4AaABAg"/>
    <s v="QYWNXp36O48"/>
    <s v="https://www.youtube.com/watch?v=QYWNXp36O48"/>
    <s v="none"/>
    <n v="0"/>
    <x v="527"/>
    <d v="2019-04-14T17:46:54.000"/>
    <m/>
    <m/>
    <s v=""/>
    <n v="1"/>
    <s v="1"/>
    <s v="1"/>
    <n v="1"/>
    <n v="3.4482758620689653"/>
    <n v="0"/>
    <n v="0"/>
    <n v="0"/>
    <n v="0"/>
    <n v="28"/>
    <n v="96.55172413793103"/>
    <n v="29"/>
  </r>
  <r>
    <s v="UCgC4gwzrL6yC0QKTzYqgdTQ"/>
    <s v="UCgC4gwzrL6yC0QKTzYqgdTQ"/>
    <s v="Red"/>
    <n v="10"/>
    <m/>
    <n v="15"/>
    <m/>
    <m/>
    <m/>
    <m/>
    <s v="No"/>
    <n v="531"/>
    <m/>
    <m/>
    <s v="Replied Comment"/>
    <x v="1"/>
    <s v="But sir, this video does have &amp;quot;(9-1)&amp;quot; in the title. Is this playlist up to date for the upcoming exam?@Freesciencelessons"/>
    <s v="UCgC4gwzrL6yC0QKTzYqgdTQ"/>
    <s v="finn hadley-burgess"/>
    <s v="http://www.youtube.com/channel/UCgC4gwzrL6yC0QKTzYqgdTQ"/>
    <s v="UgwWyMiCIDGie5SpnAF4AaABAg"/>
    <s v="QYWNXp36O48"/>
    <s v="https://www.youtube.com/watch?v=QYWNXp36O48"/>
    <s v="none"/>
    <n v="2"/>
    <x v="528"/>
    <d v="2019-04-16T15:57:49.000"/>
    <m/>
    <m/>
    <s v=""/>
    <n v="2"/>
    <s v="1"/>
    <s v="1"/>
    <n v="0"/>
    <n v="0"/>
    <n v="0"/>
    <n v="0"/>
    <n v="0"/>
    <n v="0"/>
    <n v="24"/>
    <n v="100"/>
    <n v="24"/>
  </r>
  <r>
    <s v="UCgC4gwzrL6yC0QKTzYqgdTQ"/>
    <s v="UCgC4gwzrL6yC0QKTzYqgdTQ"/>
    <s v="Red"/>
    <n v="10"/>
    <m/>
    <n v="15"/>
    <m/>
    <m/>
    <m/>
    <m/>
    <s v="No"/>
    <n v="532"/>
    <m/>
    <m/>
    <s v="Replied Comment"/>
    <x v="1"/>
    <s v="Sir, are these videos applicable to our exam&amp;#39;s content? Is there a separate playlist I&amp;#39;ve been missing instead? @Freesciencelessons"/>
    <s v="UCgC4gwzrL6yC0QKTzYqgdTQ"/>
    <s v="finn hadley-burgess"/>
    <s v="http://www.youtube.com/channel/UCgC4gwzrL6yC0QKTzYqgdTQ"/>
    <s v="UgwWyMiCIDGie5SpnAF4AaABAg"/>
    <s v="QYWNXp36O48"/>
    <s v="https://www.youtube.com/watch?v=QYWNXp36O48"/>
    <s v="none"/>
    <n v="0"/>
    <x v="529"/>
    <d v="2019-04-18T15:41:33.000"/>
    <m/>
    <m/>
    <s v=""/>
    <n v="2"/>
    <s v="1"/>
    <s v="1"/>
    <n v="0"/>
    <n v="0"/>
    <n v="0"/>
    <n v="0"/>
    <n v="0"/>
    <n v="0"/>
    <n v="23"/>
    <n v="100"/>
    <n v="23"/>
  </r>
  <r>
    <s v="UCgC4gwzrL6yC0QKTzYqgdTQ"/>
    <s v="UCqbOeHaAUXw9Il7sBVG3_bw"/>
    <s v="192, 192, 192"/>
    <n v="3"/>
    <m/>
    <n v="40"/>
    <m/>
    <m/>
    <m/>
    <m/>
    <s v="Yes"/>
    <n v="533"/>
    <m/>
    <m/>
    <s v="Commented Video"/>
    <x v="0"/>
    <s v="Hi Sir, should we learn the given examples in this video (e.g. TB, HIV and HPV)? Thanks."/>
    <s v="UCgC4gwzrL6yC0QKTzYqgdTQ"/>
    <s v="finn hadley-burgess"/>
    <s v="http://www.youtube.com/channel/UCgC4gwzrL6yC0QKTzYqgdTQ"/>
    <m/>
    <s v="QYWNXp36O48"/>
    <s v="https://www.youtube.com/watch?v=QYWNXp36O48"/>
    <s v="none"/>
    <n v="3"/>
    <x v="530"/>
    <d v="2019-04-14T13:49:15.000"/>
    <m/>
    <m/>
    <s v=""/>
    <n v="1"/>
    <s v="1"/>
    <s v="1"/>
    <n v="0"/>
    <n v="0"/>
    <n v="0"/>
    <n v="0"/>
    <n v="0"/>
    <n v="0"/>
    <n v="18"/>
    <n v="100"/>
    <n v="18"/>
  </r>
  <r>
    <s v="UC21eh8XGrSD2-WounNAwuCw"/>
    <s v="UCqbOeHaAUXw9Il7sBVG3_bw"/>
    <s v="192, 192, 192"/>
    <n v="3"/>
    <m/>
    <n v="40"/>
    <m/>
    <m/>
    <m/>
    <m/>
    <s v="No"/>
    <n v="534"/>
    <m/>
    <m/>
    <s v="Commented Video"/>
    <x v="0"/>
    <s v="thank you this video really helped me"/>
    <s v="UC21eh8XGrSD2-WounNAwuCw"/>
    <s v="Indah Sari Pendra"/>
    <s v="http://www.youtube.com/channel/UC21eh8XGrSD2-WounNAwuCw"/>
    <m/>
    <s v="QYWNXp36O48"/>
    <s v="https://www.youtube.com/watch?v=QYWNXp36O48"/>
    <s v="none"/>
    <n v="1"/>
    <x v="531"/>
    <d v="2019-04-22T03:35:04.000"/>
    <m/>
    <m/>
    <s v=""/>
    <n v="1"/>
    <s v="1"/>
    <s v="1"/>
    <n v="2"/>
    <n v="28.571428571428573"/>
    <n v="0"/>
    <n v="0"/>
    <n v="0"/>
    <n v="0"/>
    <n v="5"/>
    <n v="71.42857142857143"/>
    <n v="7"/>
  </r>
  <r>
    <s v="UC1n4O9YInmQOhlVddAdXJDQ"/>
    <s v="UCqbOeHaAUXw9Il7sBVG3_bw"/>
    <s v="192, 192, 192"/>
    <n v="3"/>
    <m/>
    <n v="40"/>
    <m/>
    <m/>
    <m/>
    <m/>
    <s v="No"/>
    <n v="535"/>
    <m/>
    <m/>
    <s v="Commented Video"/>
    <x v="0"/>
    <s v="miss jones test tomorrow"/>
    <s v="UC1n4O9YInmQOhlVddAdXJDQ"/>
    <s v="Dan's Den"/>
    <s v="http://www.youtube.com/channel/UC1n4O9YInmQOhlVddAdXJDQ"/>
    <m/>
    <s v="QYWNXp36O48"/>
    <s v="https://www.youtube.com/watch?v=QYWNXp36O48"/>
    <s v="none"/>
    <n v="3"/>
    <x v="532"/>
    <d v="2019-05-08T23:09:41.000"/>
    <m/>
    <m/>
    <s v=""/>
    <n v="1"/>
    <s v="1"/>
    <s v="1"/>
    <n v="0"/>
    <n v="0"/>
    <n v="1"/>
    <n v="25"/>
    <n v="0"/>
    <n v="0"/>
    <n v="3"/>
    <n v="75"/>
    <n v="4"/>
  </r>
  <r>
    <s v="UCApCzBa-q9eEYCXJ8bJly4Q"/>
    <s v="UCKoD9Yq28XTm0LetSmQp7DQ"/>
    <s v="192, 192, 192"/>
    <n v="3"/>
    <m/>
    <n v="40"/>
    <m/>
    <m/>
    <m/>
    <m/>
    <s v="No"/>
    <n v="536"/>
    <m/>
    <m/>
    <s v="Replied Comment"/>
    <x v="1"/>
    <s v="your lucky there was no lockdown"/>
    <s v="UCApCzBa-q9eEYCXJ8bJly4Q"/>
    <s v="EddEK"/>
    <s v="http://www.youtube.com/channel/UCApCzBa-q9eEYCXJ8bJly4Q"/>
    <s v="UgzA67xqFtPcajJ2OpZ4AaABAg"/>
    <s v="QYWNXp36O48"/>
    <s v="https://www.youtube.com/watch?v=QYWNXp36O48"/>
    <s v="none"/>
    <n v="10"/>
    <x v="533"/>
    <d v="2021-02-18T18:08:32.000"/>
    <m/>
    <m/>
    <s v=""/>
    <n v="1"/>
    <s v="1"/>
    <s v="1"/>
    <n v="1"/>
    <n v="16.666666666666668"/>
    <n v="0"/>
    <n v="0"/>
    <n v="0"/>
    <n v="0"/>
    <n v="5"/>
    <n v="83.33333333333333"/>
    <n v="6"/>
  </r>
  <r>
    <s v="UCKoD9Yq28XTm0LetSmQp7DQ"/>
    <s v="UCqbOeHaAUXw9Il7sBVG3_bw"/>
    <s v="192, 192, 192"/>
    <n v="3"/>
    <m/>
    <n v="40"/>
    <m/>
    <m/>
    <m/>
    <m/>
    <s v="No"/>
    <n v="537"/>
    <m/>
    <m/>
    <s v="Commented Video"/>
    <x v="0"/>
    <s v="Three days , mid mental breakdown ✌🏻"/>
    <s v="UCKoD9Yq28XTm0LetSmQp7DQ"/>
    <s v="Leah J"/>
    <s v="http://www.youtube.com/channel/UCKoD9Yq28XTm0LetSmQp7DQ"/>
    <m/>
    <s v="QYWNXp36O48"/>
    <s v="https://www.youtube.com/watch?v=QYWNXp36O48"/>
    <s v="none"/>
    <n v="193"/>
    <x v="534"/>
    <d v="2019-05-11T22:05:07.000"/>
    <m/>
    <m/>
    <s v=""/>
    <n v="1"/>
    <s v="1"/>
    <s v="1"/>
    <n v="0"/>
    <n v="0"/>
    <n v="1"/>
    <n v="20"/>
    <n v="0"/>
    <n v="0"/>
    <n v="4"/>
    <n v="80"/>
    <n v="5"/>
  </r>
  <r>
    <s v="UCzAQ3XpcrDTCTfpcUCGc2lg"/>
    <s v="UCqbOeHaAUXw9Il7sBVG3_bw"/>
    <s v="192, 192, 192"/>
    <n v="3"/>
    <m/>
    <n v="40"/>
    <m/>
    <m/>
    <m/>
    <m/>
    <s v="No"/>
    <n v="538"/>
    <m/>
    <m/>
    <s v="Commented Video"/>
    <x v="0"/>
    <s v="good luck for tomorow"/>
    <s v="UCzAQ3XpcrDTCTfpcUCGc2lg"/>
    <s v="Zain MAHMOOD"/>
    <s v="http://www.youtube.com/channel/UCzAQ3XpcrDTCTfpcUCGc2lg"/>
    <m/>
    <s v="QYWNXp36O48"/>
    <s v="https://www.youtube.com/watch?v=QYWNXp36O48"/>
    <s v="none"/>
    <n v="67"/>
    <x v="535"/>
    <d v="2019-05-13T14:25:19.000"/>
    <m/>
    <m/>
    <s v=""/>
    <n v="1"/>
    <s v="1"/>
    <s v="1"/>
    <n v="2"/>
    <n v="50"/>
    <n v="0"/>
    <n v="0"/>
    <n v="0"/>
    <n v="0"/>
    <n v="2"/>
    <n v="50"/>
    <n v="4"/>
  </r>
  <r>
    <s v="UC9sHHj-4pWZqH11x8rEVxUw"/>
    <s v="UCf84n15qrTY7cWJ-a4mgasQ"/>
    <s v="192, 192, 192"/>
    <n v="3"/>
    <m/>
    <n v="40"/>
    <m/>
    <m/>
    <m/>
    <m/>
    <s v="No"/>
    <n v="539"/>
    <m/>
    <m/>
    <s v="Replied Comment"/>
    <x v="1"/>
    <s v="how did it go?"/>
    <s v="UC9sHHj-4pWZqH11x8rEVxUw"/>
    <s v="super riley10"/>
    <s v="http://www.youtube.com/channel/UC9sHHj-4pWZqH11x8rEVxUw"/>
    <s v="Ugxu-RJUR_Qto-Lwk4J4AaABAg"/>
    <s v="QYWNXp36O48"/>
    <s v="https://www.youtube.com/watch?v=QYWNXp36O48"/>
    <s v="none"/>
    <n v="7"/>
    <x v="536"/>
    <d v="2019-05-16T08:01:47.000"/>
    <m/>
    <m/>
    <s v=""/>
    <n v="1"/>
    <s v="18"/>
    <s v="18"/>
    <n v="0"/>
    <n v="0"/>
    <n v="0"/>
    <n v="0"/>
    <n v="0"/>
    <n v="0"/>
    <n v="4"/>
    <n v="100"/>
    <n v="4"/>
  </r>
  <r>
    <s v="UCp9NDK19lWNs_VDxclnH6Bg"/>
    <s v="UCf84n15qrTY7cWJ-a4mgasQ"/>
    <s v="192, 192, 192"/>
    <n v="3"/>
    <m/>
    <n v="40"/>
    <m/>
    <m/>
    <m/>
    <m/>
    <s v="No"/>
    <n v="540"/>
    <m/>
    <m/>
    <s v="Replied Comment"/>
    <x v="1"/>
    <s v="What questions did they ask you"/>
    <s v="UCp9NDK19lWNs_VDxclnH6Bg"/>
    <s v="Queen k"/>
    <s v="http://www.youtube.com/channel/UCp9NDK19lWNs_VDxclnH6Bg"/>
    <s v="Ugxu-RJUR_Qto-Lwk4J4AaABAg"/>
    <s v="QYWNXp36O48"/>
    <s v="https://www.youtube.com/watch?v=QYWNXp36O48"/>
    <s v="none"/>
    <n v="6"/>
    <x v="537"/>
    <d v="2020-01-08T17:54:42.000"/>
    <m/>
    <m/>
    <s v=""/>
    <n v="1"/>
    <s v="18"/>
    <s v="18"/>
    <n v="0"/>
    <n v="0"/>
    <n v="0"/>
    <n v="0"/>
    <n v="0"/>
    <n v="0"/>
    <n v="6"/>
    <n v="100"/>
    <n v="6"/>
  </r>
  <r>
    <s v="UCeaFuHORWFXIM18TEF7sZKA"/>
    <s v="UCf84n15qrTY7cWJ-a4mgasQ"/>
    <s v="192, 192, 192"/>
    <n v="3"/>
    <m/>
    <n v="40"/>
    <m/>
    <m/>
    <m/>
    <m/>
    <s v="No"/>
    <n v="541"/>
    <m/>
    <m/>
    <s v="Replied Comment"/>
    <x v="1"/>
    <s v="hope it went well (:"/>
    <s v="UCeaFuHORWFXIM18TEF7sZKA"/>
    <s v="eliza mae"/>
    <s v="http://www.youtube.com/channel/UCeaFuHORWFXIM18TEF7sZKA"/>
    <s v="Ugxu-RJUR_Qto-Lwk4J4AaABAg"/>
    <s v="QYWNXp36O48"/>
    <s v="https://www.youtube.com/watch?v=QYWNXp36O48"/>
    <s v="none"/>
    <n v="8"/>
    <x v="538"/>
    <d v="2020-06-01T16:30:38.000"/>
    <m/>
    <m/>
    <s v=""/>
    <n v="1"/>
    <s v="18"/>
    <s v="18"/>
    <n v="1"/>
    <n v="25"/>
    <n v="0"/>
    <n v="0"/>
    <n v="0"/>
    <n v="0"/>
    <n v="3"/>
    <n v="75"/>
    <n v="4"/>
  </r>
  <r>
    <s v="UCf84n15qrTY7cWJ-a4mgasQ"/>
    <s v="UCqbOeHaAUXw9Il7sBVG3_bw"/>
    <s v="192, 192, 192"/>
    <n v="3"/>
    <m/>
    <n v="40"/>
    <m/>
    <m/>
    <m/>
    <m/>
    <s v="No"/>
    <n v="542"/>
    <m/>
    <m/>
    <s v="Commented Video"/>
    <x v="0"/>
    <s v="paper 1 tomorrow, les go"/>
    <s v="UCf84n15qrTY7cWJ-a4mgasQ"/>
    <s v="Richu Suresh"/>
    <s v="http://www.youtube.com/channel/UCf84n15qrTY7cWJ-a4mgasQ"/>
    <m/>
    <s v="QYWNXp36O48"/>
    <s v="https://www.youtube.com/watch?v=QYWNXp36O48"/>
    <s v="none"/>
    <n v="251"/>
    <x v="539"/>
    <d v="2019-05-13T18:39:11.000"/>
    <m/>
    <m/>
    <s v=""/>
    <n v="1"/>
    <s v="18"/>
    <s v="1"/>
    <n v="0"/>
    <n v="0"/>
    <n v="0"/>
    <n v="0"/>
    <n v="0"/>
    <n v="0"/>
    <n v="5"/>
    <n v="100"/>
    <n v="5"/>
  </r>
  <r>
    <s v="UCWsgRwPyheJrA0I7r78zcJw"/>
    <s v="UCqbOeHaAUXw9Il7sBVG3_bw"/>
    <s v="192, 192, 192"/>
    <n v="3"/>
    <m/>
    <n v="40"/>
    <m/>
    <m/>
    <m/>
    <m/>
    <s v="No"/>
    <n v="543"/>
    <m/>
    <m/>
    <s v="Commented Video"/>
    <x v="0"/>
    <s v="Please save my gcse"/>
    <s v="UCWsgRwPyheJrA0I7r78zcJw"/>
    <s v="Cat Croissant"/>
    <s v="http://www.youtube.com/channel/UCWsgRwPyheJrA0I7r78zcJw"/>
    <m/>
    <s v="QYWNXp36O48"/>
    <s v="https://www.youtube.com/watch?v=QYWNXp36O48"/>
    <s v="none"/>
    <n v="2"/>
    <x v="540"/>
    <d v="2019-05-13T19:36:52.000"/>
    <m/>
    <m/>
    <s v=""/>
    <n v="1"/>
    <s v="1"/>
    <s v="1"/>
    <n v="0"/>
    <n v="0"/>
    <n v="0"/>
    <n v="0"/>
    <n v="0"/>
    <n v="0"/>
    <n v="4"/>
    <n v="100"/>
    <n v="4"/>
  </r>
  <r>
    <s v="UCHD8xkFhaVaTqgpwoX7Luyg"/>
    <s v="UCMKzekcw_tX5Ne1WY4btIaw"/>
    <s v="192, 192, 192"/>
    <n v="3"/>
    <m/>
    <n v="40"/>
    <m/>
    <m/>
    <m/>
    <m/>
    <s v="No"/>
    <n v="544"/>
    <m/>
    <m/>
    <s v="Replied Comment"/>
    <x v="1"/>
    <s v="how did it go?"/>
    <s v="UCHD8xkFhaVaTqgpwoX7Luyg"/>
    <s v="E2m3"/>
    <s v="http://www.youtube.com/channel/UCHD8xkFhaVaTqgpwoX7Luyg"/>
    <s v="Ugx5zjk_4pgUm62l9dB4AaABAg"/>
    <s v="QYWNXp36O48"/>
    <s v="https://www.youtube.com/watch?v=QYWNXp36O48"/>
    <s v="none"/>
    <n v="6"/>
    <x v="541"/>
    <d v="2020-10-08T17:41:31.000"/>
    <m/>
    <m/>
    <s v=""/>
    <n v="1"/>
    <s v="1"/>
    <s v="1"/>
    <n v="0"/>
    <n v="0"/>
    <n v="0"/>
    <n v="0"/>
    <n v="0"/>
    <n v="0"/>
    <n v="4"/>
    <n v="100"/>
    <n v="4"/>
  </r>
  <r>
    <s v="UCTXz4iyQyRwhY_dIYOXsqTQ"/>
    <s v="UCMKzekcw_tX5Ne1WY4btIaw"/>
    <s v="192, 192, 192"/>
    <n v="3"/>
    <m/>
    <n v="40"/>
    <m/>
    <m/>
    <m/>
    <m/>
    <s v="No"/>
    <n v="545"/>
    <m/>
    <m/>
    <s v="Replied Comment"/>
    <x v="1"/>
    <s v="good luck! how did it go?"/>
    <s v="UCTXz4iyQyRwhY_dIYOXsqTQ"/>
    <s v="Guava Jelly"/>
    <s v="http://www.youtube.com/channel/UCTXz4iyQyRwhY_dIYOXsqTQ"/>
    <s v="Ugx5zjk_4pgUm62l9dB4AaABAg"/>
    <s v="QYWNXp36O48"/>
    <s v="https://www.youtube.com/watch?v=QYWNXp36O48"/>
    <s v="none"/>
    <n v="0"/>
    <x v="542"/>
    <d v="2020-11-23T20:13:54.000"/>
    <m/>
    <m/>
    <s v=""/>
    <n v="1"/>
    <s v="1"/>
    <s v="1"/>
    <n v="2"/>
    <n v="33.333333333333336"/>
    <n v="0"/>
    <n v="0"/>
    <n v="0"/>
    <n v="0"/>
    <n v="4"/>
    <n v="66.66666666666667"/>
    <n v="6"/>
  </r>
  <r>
    <s v="UCMKzekcw_tX5Ne1WY4btIaw"/>
    <s v="UCqbOeHaAUXw9Il7sBVG3_bw"/>
    <s v="192, 192, 192"/>
    <n v="3"/>
    <m/>
    <n v="40"/>
    <m/>
    <m/>
    <m/>
    <m/>
    <s v="No"/>
    <n v="546"/>
    <m/>
    <m/>
    <s v="Commented Video"/>
    <x v="0"/>
    <s v="I’ve always read the comments that are like here cause my exams tomorrow. And now that me."/>
    <s v="UCMKzekcw_tX5Ne1WY4btIaw"/>
    <s v="Emma"/>
    <s v="http://www.youtube.com/channel/UCMKzekcw_tX5Ne1WY4btIaw"/>
    <m/>
    <s v="QYWNXp36O48"/>
    <s v="https://www.youtube.com/watch?v=QYWNXp36O48"/>
    <s v="none"/>
    <n v="183"/>
    <x v="543"/>
    <d v="2019-05-13T19:51:22.000"/>
    <m/>
    <m/>
    <s v=""/>
    <n v="1"/>
    <s v="1"/>
    <s v="1"/>
    <n v="1"/>
    <n v="5.555555555555555"/>
    <n v="0"/>
    <n v="0"/>
    <n v="0"/>
    <n v="0"/>
    <n v="17"/>
    <n v="94.44444444444444"/>
    <n v="18"/>
  </r>
  <r>
    <s v="UCIw-SUOHuMMyUvWcWmDBPVA"/>
    <s v="UCqbOeHaAUXw9Il7sBVG3_bw"/>
    <s v="192, 192, 192"/>
    <n v="3"/>
    <m/>
    <n v="40"/>
    <m/>
    <m/>
    <m/>
    <m/>
    <s v="No"/>
    <n v="547"/>
    <m/>
    <m/>
    <s v="Commented Video"/>
    <x v="0"/>
    <s v="biology paper 1 tomorrow, last minute revision"/>
    <s v="UCIw-SUOHuMMyUvWcWmDBPVA"/>
    <s v="Angel Allan"/>
    <s v="http://www.youtube.com/channel/UCIw-SUOHuMMyUvWcWmDBPVA"/>
    <m/>
    <s v="QYWNXp36O48"/>
    <s v="https://www.youtube.com/watch?v=QYWNXp36O48"/>
    <s v="none"/>
    <n v="1"/>
    <x v="544"/>
    <d v="2019-05-13T20:23:04.000"/>
    <m/>
    <m/>
    <s v=""/>
    <n v="1"/>
    <s v="1"/>
    <s v="1"/>
    <n v="0"/>
    <n v="0"/>
    <n v="0"/>
    <n v="0"/>
    <n v="0"/>
    <n v="0"/>
    <n v="7"/>
    <n v="100"/>
    <n v="7"/>
  </r>
  <r>
    <s v="UClO8NWqdXkP9gia74DBErJw"/>
    <s v="UCvrlwBjjKeorZbGPZuwQinw"/>
    <s v="192, 192, 192"/>
    <n v="3"/>
    <m/>
    <n v="40"/>
    <m/>
    <m/>
    <m/>
    <m/>
    <s v="No"/>
    <n v="548"/>
    <m/>
    <m/>
    <s v="Replied Comment"/>
    <x v="1"/>
    <s v="yes he is"/>
    <s v="UClO8NWqdXkP9gia74DBErJw"/>
    <s v="Olivia Woodrow"/>
    <s v="http://www.youtube.com/channel/UClO8NWqdXkP9gia74DBErJw"/>
    <s v="Ugxt-bj27hMLvLjwQk94AaABAg"/>
    <s v="QYWNXp36O48"/>
    <s v="https://www.youtube.com/watch?v=QYWNXp36O48"/>
    <s v="none"/>
    <n v="0"/>
    <x v="545"/>
    <d v="2019-12-10T07:50:43.000"/>
    <m/>
    <m/>
    <s v=""/>
    <n v="1"/>
    <s v="1"/>
    <s v="1"/>
    <n v="0"/>
    <n v="0"/>
    <n v="0"/>
    <n v="0"/>
    <n v="0"/>
    <n v="0"/>
    <n v="3"/>
    <n v="100"/>
    <n v="3"/>
  </r>
  <r>
    <s v="UCvrlwBjjKeorZbGPZuwQinw"/>
    <s v="UCqbOeHaAUXw9Il7sBVG3_bw"/>
    <s v="192, 192, 192"/>
    <n v="3"/>
    <m/>
    <n v="40"/>
    <m/>
    <m/>
    <m/>
    <m/>
    <s v="No"/>
    <n v="549"/>
    <m/>
    <m/>
    <s v="Commented Video"/>
    <x v="0"/>
    <s v="This man is a gift"/>
    <s v="UCvrlwBjjKeorZbGPZuwQinw"/>
    <s v="Nada Awhussein"/>
    <s v="http://www.youtube.com/channel/UCvrlwBjjKeorZbGPZuwQinw"/>
    <m/>
    <s v="QYWNXp36O48"/>
    <s v="https://www.youtube.com/watch?v=QYWNXp36O48"/>
    <s v="none"/>
    <n v="4"/>
    <x v="546"/>
    <d v="2019-05-13T20:51:48.000"/>
    <m/>
    <m/>
    <s v=""/>
    <n v="1"/>
    <s v="1"/>
    <s v="1"/>
    <n v="0"/>
    <n v="0"/>
    <n v="0"/>
    <n v="0"/>
    <n v="0"/>
    <n v="0"/>
    <n v="5"/>
    <n v="100"/>
    <n v="5"/>
  </r>
  <r>
    <s v="UCpt8FjNWOfMDjMIRumx8pgw"/>
    <s v="UCqbOeHaAUXw9Il7sBVG3_bw"/>
    <s v="192, 192, 192"/>
    <n v="3"/>
    <m/>
    <n v="40"/>
    <m/>
    <m/>
    <m/>
    <m/>
    <s v="No"/>
    <n v="550"/>
    <m/>
    <m/>
    <s v="Commented Video"/>
    <x v="0"/>
    <s v="2019 paper 1 squad where you at?"/>
    <s v="UCpt8FjNWOfMDjMIRumx8pgw"/>
    <s v="Ben White"/>
    <s v="http://www.youtube.com/channel/UCpt8FjNWOfMDjMIRumx8pgw"/>
    <m/>
    <s v="QYWNXp36O48"/>
    <s v="https://www.youtube.com/watch?v=QYWNXp36O48"/>
    <s v="none"/>
    <n v="2"/>
    <x v="547"/>
    <d v="2019-05-13T21:51:03.000"/>
    <m/>
    <m/>
    <s v=""/>
    <n v="1"/>
    <s v="1"/>
    <s v="1"/>
    <n v="0"/>
    <n v="0"/>
    <n v="0"/>
    <n v="0"/>
    <n v="0"/>
    <n v="0"/>
    <n v="7"/>
    <n v="100"/>
    <n v="7"/>
  </r>
  <r>
    <s v="UCA12YVPW2dPuYgJI_g0szuQ"/>
    <s v="UCqbOeHaAUXw9Il7sBVG3_bw"/>
    <s v="192, 192, 192"/>
    <n v="3"/>
    <m/>
    <n v="40"/>
    <m/>
    <m/>
    <m/>
    <m/>
    <s v="No"/>
    <n v="551"/>
    <m/>
    <m/>
    <s v="Commented Video"/>
    <x v="0"/>
    <s v="Hehe &lt;a href=&quot;http://www.youtube.com/results?search_query=%23LastMinuteSquad&quot;&gt;#LastMinuteSquad&lt;/a&gt; who’s with me"/>
    <s v="UCA12YVPW2dPuYgJI_g0szuQ"/>
    <s v="Rari"/>
    <s v="http://www.youtube.com/channel/UCA12YVPW2dPuYgJI_g0szuQ"/>
    <m/>
    <s v="QYWNXp36O48"/>
    <s v="https://www.youtube.com/watch?v=QYWNXp36O48"/>
    <s v="none"/>
    <n v="2"/>
    <x v="548"/>
    <d v="2019-05-13T22:46:33.000"/>
    <s v=" http://www.youtube.com/results?search_query=%23LastMinuteSquad"/>
    <s v="youtube.com"/>
    <s v=""/>
    <n v="1"/>
    <s v="1"/>
    <s v="1"/>
    <n v="0"/>
    <n v="0"/>
    <n v="0"/>
    <n v="0"/>
    <n v="0"/>
    <n v="0"/>
    <n v="16"/>
    <n v="100"/>
    <n v="16"/>
  </r>
  <r>
    <s v="UChJiLn9jB5O_rwknHyL9Jgw"/>
    <s v="UCqbOeHaAUXw9Il7sBVG3_bw"/>
    <s v="192, 192, 192"/>
    <n v="3"/>
    <m/>
    <n v="40"/>
    <m/>
    <m/>
    <m/>
    <m/>
    <s v="No"/>
    <n v="552"/>
    <m/>
    <m/>
    <s v="Commented Video"/>
    <x v="0"/>
    <s v="good luck boys"/>
    <s v="UChJiLn9jB5O_rwknHyL9Jgw"/>
    <s v="callum"/>
    <s v="http://www.youtube.com/channel/UChJiLn9jB5O_rwknHyL9Jgw"/>
    <m/>
    <s v="QYWNXp36O48"/>
    <s v="https://www.youtube.com/watch?v=QYWNXp36O48"/>
    <s v="none"/>
    <n v="1"/>
    <x v="549"/>
    <d v="2019-05-14T07:10:29.000"/>
    <m/>
    <m/>
    <s v=""/>
    <n v="1"/>
    <s v="1"/>
    <s v="1"/>
    <n v="2"/>
    <n v="66.66666666666667"/>
    <n v="0"/>
    <n v="0"/>
    <n v="0"/>
    <n v="0"/>
    <n v="1"/>
    <n v="33.333333333333336"/>
    <n v="3"/>
  </r>
  <r>
    <s v="UCJpbhVtWvqn4OYkYhdtkDsg"/>
    <s v="UCqbOeHaAUXw9Il7sBVG3_bw"/>
    <s v="192, 192, 192"/>
    <n v="3"/>
    <m/>
    <n v="40"/>
    <m/>
    <m/>
    <m/>
    <m/>
    <s v="No"/>
    <n v="553"/>
    <m/>
    <m/>
    <s v="Commented Video"/>
    <x v="0"/>
    <s v="Good luck test in 6 hours xD"/>
    <s v="UCJpbhVtWvqn4OYkYhdtkDsg"/>
    <s v="Gab the fab"/>
    <s v="http://www.youtube.com/channel/UCJpbhVtWvqn4OYkYhdtkDsg"/>
    <m/>
    <s v="QYWNXp36O48"/>
    <s v="https://www.youtube.com/watch?v=QYWNXp36O48"/>
    <s v="none"/>
    <n v="4"/>
    <x v="550"/>
    <d v="2019-05-14T08:29:23.000"/>
    <m/>
    <m/>
    <s v=""/>
    <n v="1"/>
    <s v="1"/>
    <s v="1"/>
    <n v="2"/>
    <n v="28.571428571428573"/>
    <n v="0"/>
    <n v="0"/>
    <n v="0"/>
    <n v="0"/>
    <n v="5"/>
    <n v="71.42857142857143"/>
    <n v="7"/>
  </r>
  <r>
    <s v="UCfUNn3pCTUiMSeOyJcvDiFw"/>
    <s v="UCqbOeHaAUXw9Il7sBVG3_bw"/>
    <s v="192, 192, 192"/>
    <n v="3"/>
    <m/>
    <n v="40"/>
    <m/>
    <m/>
    <m/>
    <m/>
    <s v="No"/>
    <n v="554"/>
    <m/>
    <m/>
    <s v="Commented Video"/>
    <x v="0"/>
    <s v="ooh yikes good luck today kiddos"/>
    <s v="UCfUNn3pCTUiMSeOyJcvDiFw"/>
    <s v="Kate W"/>
    <s v="http://www.youtube.com/channel/UCfUNn3pCTUiMSeOyJcvDiFw"/>
    <m/>
    <s v="QYWNXp36O48"/>
    <s v="https://www.youtube.com/watch?v=QYWNXp36O48"/>
    <s v="none"/>
    <n v="0"/>
    <x v="551"/>
    <d v="2019-05-14T08:41:15.000"/>
    <m/>
    <m/>
    <s v=""/>
    <n v="1"/>
    <s v="1"/>
    <s v="1"/>
    <n v="2"/>
    <n v="33.333333333333336"/>
    <n v="0"/>
    <n v="0"/>
    <n v="0"/>
    <n v="0"/>
    <n v="4"/>
    <n v="66.66666666666667"/>
    <n v="6"/>
  </r>
  <r>
    <s v="UCdqrohw_NmlHlyOEq2jHCWA"/>
    <s v="UCqbOeHaAUXw9Il7sBVG3_bw"/>
    <s v="192, 192, 192"/>
    <n v="3"/>
    <m/>
    <n v="40"/>
    <m/>
    <m/>
    <m/>
    <m/>
    <s v="No"/>
    <n v="555"/>
    <m/>
    <m/>
    <s v="Commented Video"/>
    <x v="0"/>
    <s v="4 hours"/>
    <s v="UCdqrohw_NmlHlyOEq2jHCWA"/>
    <s v="Andrew Barber"/>
    <s v="http://www.youtube.com/channel/UCdqrohw_NmlHlyOEq2jHCWA"/>
    <m/>
    <s v="QYWNXp36O48"/>
    <s v="https://www.youtube.com/watch?v=QYWNXp36O48"/>
    <s v="none"/>
    <n v="0"/>
    <x v="552"/>
    <d v="2019-05-14T10:39:55.000"/>
    <m/>
    <m/>
    <s v=""/>
    <n v="1"/>
    <s v="1"/>
    <s v="1"/>
    <n v="0"/>
    <n v="0"/>
    <n v="0"/>
    <n v="0"/>
    <n v="0"/>
    <n v="0"/>
    <n v="2"/>
    <n v="100"/>
    <n v="2"/>
  </r>
  <r>
    <s v="UC4BJaDRvnalVBUUFZXiCkoQ"/>
    <s v="UCqbOeHaAUXw9Il7sBVG3_bw"/>
    <s v="192, 192, 192"/>
    <n v="3"/>
    <m/>
    <n v="40"/>
    <m/>
    <m/>
    <m/>
    <m/>
    <s v="No"/>
    <n v="556"/>
    <m/>
    <m/>
    <s v="Commented Video"/>
    <x v="0"/>
    <s v="Good luck everyone having the exam today😇"/>
    <s v="UC4BJaDRvnalVBUUFZXiCkoQ"/>
    <s v="John Rodgers"/>
    <s v="http://www.youtube.com/channel/UC4BJaDRvnalVBUUFZXiCkoQ"/>
    <m/>
    <s v="QYWNXp36O48"/>
    <s v="https://www.youtube.com/watch?v=QYWNXp36O48"/>
    <s v="none"/>
    <n v="28"/>
    <x v="553"/>
    <d v="2019-05-14T10:57:50.000"/>
    <m/>
    <m/>
    <s v=""/>
    <n v="1"/>
    <s v="1"/>
    <s v="1"/>
    <n v="2"/>
    <n v="28.571428571428573"/>
    <n v="0"/>
    <n v="0"/>
    <n v="0"/>
    <n v="0"/>
    <n v="5"/>
    <n v="71.42857142857143"/>
    <n v="7"/>
  </r>
  <r>
    <s v="UCVDCckhaMS9_DCcgrWI4PWw"/>
    <s v="UCTcHD2VmpjSvYcWkN14SRUA"/>
    <s v="192, 192, 192"/>
    <n v="3"/>
    <m/>
    <n v="40"/>
    <m/>
    <m/>
    <m/>
    <m/>
    <s v="No"/>
    <n v="557"/>
    <m/>
    <m/>
    <s v="Replied Comment"/>
    <x v="1"/>
    <s v="halo.kookie have one tmr"/>
    <s v="UCVDCckhaMS9_DCcgrWI4PWw"/>
    <s v="Dripz_Izanagi"/>
    <s v="http://www.youtube.com/channel/UCVDCckhaMS9_DCcgrWI4PWw"/>
    <s v="Ugx7HZdtHkxzwi-ZkJZ4AaABAg"/>
    <s v="QYWNXp36O48"/>
    <s v="https://www.youtube.com/watch?v=QYWNXp36O48"/>
    <s v="none"/>
    <n v="0"/>
    <x v="554"/>
    <d v="2020-03-17T21:46:29.000"/>
    <m/>
    <m/>
    <s v=""/>
    <n v="1"/>
    <s v="1"/>
    <s v="1"/>
    <n v="0"/>
    <n v="0"/>
    <n v="0"/>
    <n v="0"/>
    <n v="0"/>
    <n v="0"/>
    <n v="5"/>
    <n v="100"/>
    <n v="5"/>
  </r>
  <r>
    <s v="UCTcHD2VmpjSvYcWkN14SRUA"/>
    <s v="UCqbOeHaAUXw9Il7sBVG3_bw"/>
    <s v="192, 192, 192"/>
    <n v="3"/>
    <m/>
    <n v="40"/>
    <m/>
    <m/>
    <m/>
    <m/>
    <s v="No"/>
    <n v="558"/>
    <m/>
    <m/>
    <s v="Commented Video"/>
    <x v="0"/>
    <s v="Biology exam today!! Good luck everyone"/>
    <s v="UCTcHD2VmpjSvYcWkN14SRUA"/>
    <s v="halo.kookie"/>
    <s v="http://www.youtube.com/channel/UCTcHD2VmpjSvYcWkN14SRUA"/>
    <m/>
    <s v="QYWNXp36O48"/>
    <s v="https://www.youtube.com/watch?v=QYWNXp36O48"/>
    <s v="none"/>
    <n v="3"/>
    <x v="555"/>
    <d v="2019-05-14T11:26:24.000"/>
    <m/>
    <m/>
    <s v=""/>
    <n v="1"/>
    <s v="1"/>
    <s v="1"/>
    <n v="2"/>
    <n v="33.333333333333336"/>
    <n v="0"/>
    <n v="0"/>
    <n v="0"/>
    <n v="0"/>
    <n v="4"/>
    <n v="66.66666666666667"/>
    <n v="6"/>
  </r>
  <r>
    <s v="UC_utpvdX3jUjizP3SoATdtQ"/>
    <s v="UCqbOeHaAUXw9Il7sBVG3_bw"/>
    <s v="192, 192, 192"/>
    <n v="3"/>
    <m/>
    <n v="40"/>
    <m/>
    <m/>
    <m/>
    <m/>
    <s v="No"/>
    <n v="559"/>
    <m/>
    <m/>
    <s v="Commented Video"/>
    <x v="0"/>
    <s v="1h30mins before the exam XD"/>
    <s v="UC_utpvdX3jUjizP3SoATdtQ"/>
    <s v="Ben Powles"/>
    <s v="http://www.youtube.com/channel/UC_utpvdX3jUjizP3SoATdtQ"/>
    <m/>
    <s v="QYWNXp36O48"/>
    <s v="https://www.youtube.com/watch?v=QYWNXp36O48"/>
    <s v="none"/>
    <n v="2"/>
    <x v="556"/>
    <d v="2019-05-14T12:30:32.000"/>
    <m/>
    <m/>
    <s v=""/>
    <n v="1"/>
    <s v="1"/>
    <s v="1"/>
    <n v="0"/>
    <n v="0"/>
    <n v="0"/>
    <n v="0"/>
    <n v="0"/>
    <n v="0"/>
    <n v="5"/>
    <n v="100"/>
    <n v="5"/>
  </r>
  <r>
    <s v="UCTMzvf8g1c1Hl3l9buaIMeg"/>
    <s v="UCqbOeHaAUXw9Il7sBVG3_bw"/>
    <s v="192, 192, 192"/>
    <n v="3"/>
    <m/>
    <n v="40"/>
    <m/>
    <m/>
    <m/>
    <m/>
    <s v="No"/>
    <n v="560"/>
    <m/>
    <m/>
    <s v="Commented Video"/>
    <x v="0"/>
    <s v="how was exam everyone"/>
    <s v="UCTMzvf8g1c1Hl3l9buaIMeg"/>
    <s v="An Ordinary Person"/>
    <s v="http://www.youtube.com/channel/UCTMzvf8g1c1Hl3l9buaIMeg"/>
    <m/>
    <s v="QYWNXp36O48"/>
    <s v="https://www.youtube.com/watch?v=QYWNXp36O48"/>
    <s v="none"/>
    <n v="2"/>
    <x v="557"/>
    <d v="2019-05-14T17:45:10.000"/>
    <m/>
    <m/>
    <s v=""/>
    <n v="1"/>
    <s v="1"/>
    <s v="1"/>
    <n v="0"/>
    <n v="0"/>
    <n v="0"/>
    <n v="0"/>
    <n v="0"/>
    <n v="0"/>
    <n v="4"/>
    <n v="100"/>
    <n v="4"/>
  </r>
  <r>
    <s v="UCLi9I77I67kG_JV0aT1PCqQ"/>
    <s v="UCqbOeHaAUXw9Il7sBVG3_bw"/>
    <s v="192, 192, 192"/>
    <n v="3"/>
    <m/>
    <n v="40"/>
    <m/>
    <m/>
    <m/>
    <m/>
    <s v="No"/>
    <n v="561"/>
    <m/>
    <m/>
    <s v="Commented Video"/>
    <x v="0"/>
    <s v="11 hours till exams &lt;br&gt;&lt;br&gt;Major Breakdown&lt;br&gt;Lmao"/>
    <s v="UCLi9I77I67kG_JV0aT1PCqQ"/>
    <s v="nahshon mahadeo"/>
    <s v="http://www.youtube.com/channel/UCLi9I77I67kG_JV0aT1PCqQ"/>
    <m/>
    <s v="QYWNXp36O48"/>
    <s v="https://www.youtube.com/watch?v=QYWNXp36O48"/>
    <s v="none"/>
    <n v="5"/>
    <x v="558"/>
    <d v="2019-05-20T02:08:15.000"/>
    <m/>
    <m/>
    <s v=""/>
    <n v="1"/>
    <s v="1"/>
    <s v="1"/>
    <n v="0"/>
    <n v="0"/>
    <n v="1"/>
    <n v="10"/>
    <n v="0"/>
    <n v="0"/>
    <n v="9"/>
    <n v="90"/>
    <n v="10"/>
  </r>
  <r>
    <s v="UCjN7LTeOOdilDQYZ-eC1xpg"/>
    <s v="UCqbOeHaAUXw9Il7sBVG3_bw"/>
    <s v="192, 192, 192"/>
    <n v="3"/>
    <m/>
    <n v="40"/>
    <m/>
    <m/>
    <m/>
    <m/>
    <s v="No"/>
    <n v="562"/>
    <m/>
    <m/>
    <s v="Commented Video"/>
    <x v="0"/>
    <s v="hi sir, I really wanted a video of explanation for Alzheimer&amp;#39;s disease,Vascular disease and Parkinson &lt;br&gt;&lt;br&gt;I wanted u to explain us as urs is very clear and well understood than explanation of our teachers!"/>
    <s v="UCjN7LTeOOdilDQYZ-eC1xpg"/>
    <s v="Manoharan Shagra"/>
    <s v="http://www.youtube.com/channel/UCjN7LTeOOdilDQYZ-eC1xpg"/>
    <m/>
    <s v="QYWNXp36O48"/>
    <s v="https://www.youtube.com/watch?v=QYWNXp36O48"/>
    <s v="none"/>
    <n v="4"/>
    <x v="559"/>
    <d v="2019-06-11T18:17:14.000"/>
    <m/>
    <m/>
    <s v=""/>
    <n v="1"/>
    <s v="1"/>
    <s v="1"/>
    <n v="2"/>
    <n v="5.128205128205129"/>
    <n v="0"/>
    <n v="0"/>
    <n v="0"/>
    <n v="0"/>
    <n v="37"/>
    <n v="94.87179487179488"/>
    <n v="39"/>
  </r>
  <r>
    <s v="UCOuxgaoH-DORb6EsvIVz2tQ"/>
    <s v="UCqbOeHaAUXw9Il7sBVG3_bw"/>
    <s v="192, 192, 192"/>
    <n v="3"/>
    <m/>
    <n v="40"/>
    <m/>
    <m/>
    <m/>
    <m/>
    <s v="No"/>
    <n v="563"/>
    <m/>
    <m/>
    <s v="Commented Video"/>
    <x v="0"/>
    <s v="&amp;lt;== is a year 10 revising for EOY exams"/>
    <s v="UCOuxgaoH-DORb6EsvIVz2tQ"/>
    <s v="Henry266"/>
    <s v="http://www.youtube.com/channel/UCOuxgaoH-DORb6EsvIVz2tQ"/>
    <m/>
    <s v="QYWNXp36O48"/>
    <s v="https://www.youtube.com/watch?v=QYWNXp36O48"/>
    <s v="none"/>
    <n v="1"/>
    <x v="560"/>
    <d v="2019-06-14T10:47:49.000"/>
    <m/>
    <m/>
    <s v=""/>
    <n v="1"/>
    <s v="1"/>
    <s v="1"/>
    <n v="0"/>
    <n v="0"/>
    <n v="0"/>
    <n v="0"/>
    <n v="0"/>
    <n v="0"/>
    <n v="9"/>
    <n v="100"/>
    <n v="9"/>
  </r>
  <r>
    <s v="UCkyhQjfYcfZUau9Biy8SWVQ"/>
    <s v="UCqbOeHaAUXw9Il7sBVG3_bw"/>
    <s v="192, 192, 192"/>
    <n v="3"/>
    <m/>
    <n v="40"/>
    <m/>
    <m/>
    <m/>
    <m/>
    <s v="No"/>
    <n v="564"/>
    <m/>
    <m/>
    <s v="Commented Video"/>
    <x v="0"/>
    <s v="man plugs hisworkbuook every time. ILY tho"/>
    <s v="UCkyhQjfYcfZUau9Biy8SWVQ"/>
    <s v="maybe not sure"/>
    <s v="http://www.youtube.com/channel/UCkyhQjfYcfZUau9Biy8SWVQ"/>
    <m/>
    <s v="QYWNXp36O48"/>
    <s v="https://www.youtube.com/watch?v=QYWNXp36O48"/>
    <s v="none"/>
    <n v="6"/>
    <x v="561"/>
    <d v="2019-06-17T22:57:36.000"/>
    <m/>
    <m/>
    <s v=""/>
    <n v="1"/>
    <s v="1"/>
    <s v="1"/>
    <n v="0"/>
    <n v="0"/>
    <n v="0"/>
    <n v="0"/>
    <n v="0"/>
    <n v="0"/>
    <n v="7"/>
    <n v="100"/>
    <n v="7"/>
  </r>
  <r>
    <s v="UCdgATLC3qPTQSezm2lpPRiw"/>
    <s v="UCqbOeHaAUXw9Il7sBVG3_bw"/>
    <s v="192, 192, 192"/>
    <n v="3"/>
    <m/>
    <n v="40"/>
    <m/>
    <m/>
    <m/>
    <m/>
    <s v="No"/>
    <n v="565"/>
    <m/>
    <m/>
    <s v="Commented Video"/>
    <x v="0"/>
    <s v="I’ve got a bio mock in the morning. &lt;br&gt;&lt;br&gt;&lt;br&gt;Ahhhhhhhhh"/>
    <s v="UCdgATLC3qPTQSezm2lpPRiw"/>
    <s v="Shadow Cooper"/>
    <s v="http://www.youtube.com/channel/UCdgATLC3qPTQSezm2lpPRiw"/>
    <m/>
    <s v="QYWNXp36O48"/>
    <s v="https://www.youtube.com/watch?v=QYWNXp36O48"/>
    <s v="none"/>
    <n v="3"/>
    <x v="562"/>
    <d v="2019-06-17T23:01:32.000"/>
    <m/>
    <m/>
    <s v=""/>
    <n v="1"/>
    <s v="1"/>
    <s v="1"/>
    <n v="0"/>
    <n v="0"/>
    <n v="1"/>
    <n v="7.6923076923076925"/>
    <n v="0"/>
    <n v="0"/>
    <n v="12"/>
    <n v="92.3076923076923"/>
    <n v="13"/>
  </r>
  <r>
    <s v="UCHvnH0Fq28LF9CX-LOOWwCg"/>
    <s v="UCIbOrSyowVO5brivr77P7Qw"/>
    <s v="192, 192, 192"/>
    <n v="3"/>
    <m/>
    <n v="40"/>
    <m/>
    <m/>
    <m/>
    <m/>
    <s v="No"/>
    <n v="566"/>
    <m/>
    <m/>
    <s v="Replied Comment"/>
    <x v="1"/>
    <s v="Lol stop my guy, your doing more damage than good."/>
    <s v="UCHvnH0Fq28LF9CX-LOOWwCg"/>
    <s v="gtrigwell"/>
    <s v="http://www.youtube.com/channel/UCHvnH0Fq28LF9CX-LOOWwCg"/>
    <s v="UgzOZ-DEIyz5proHEWJ4AaABAg"/>
    <s v="QYWNXp36O48"/>
    <s v="https://www.youtube.com/watch?v=QYWNXp36O48"/>
    <s v="none"/>
    <n v="2"/>
    <x v="563"/>
    <d v="2019-11-09T16:39:37.000"/>
    <m/>
    <m/>
    <s v=""/>
    <n v="1"/>
    <s v="17"/>
    <s v="17"/>
    <n v="1"/>
    <n v="10"/>
    <n v="1"/>
    <n v="10"/>
    <n v="0"/>
    <n v="0"/>
    <n v="8"/>
    <n v="80"/>
    <n v="10"/>
  </r>
  <r>
    <s v="UCKdb07gLpfoaRFEHOwmsMDQ"/>
    <s v="UCIbOrSyowVO5brivr77P7Qw"/>
    <s v="192, 192, 192"/>
    <n v="3"/>
    <m/>
    <n v="40"/>
    <m/>
    <m/>
    <m/>
    <m/>
    <s v="No"/>
    <n v="567"/>
    <m/>
    <m/>
    <s v="Replied Comment"/>
    <x v="1"/>
    <s v="Good job! I&amp;#39;ve only just started revising and we are doing the mock exams 😂"/>
    <s v="UCKdb07gLpfoaRFEHOwmsMDQ"/>
    <s v="K. C"/>
    <s v="http://www.youtube.com/channel/UCKdb07gLpfoaRFEHOwmsMDQ"/>
    <s v="UgzOZ-DEIyz5proHEWJ4AaABAg"/>
    <s v="QYWNXp36O48"/>
    <s v="https://www.youtube.com/watch?v=QYWNXp36O48"/>
    <s v="none"/>
    <n v="1"/>
    <x v="564"/>
    <d v="2019-11-13T21:18:37.000"/>
    <m/>
    <m/>
    <s v=""/>
    <n v="1"/>
    <s v="17"/>
    <s v="17"/>
    <n v="1"/>
    <n v="6.25"/>
    <n v="1"/>
    <n v="6.25"/>
    <n v="0"/>
    <n v="0"/>
    <n v="14"/>
    <n v="87.5"/>
    <n v="16"/>
  </r>
  <r>
    <s v="UCkdMu2dHteksfRJgJRvgeXA"/>
    <s v="UCIbOrSyowVO5brivr77P7Qw"/>
    <s v="192, 192, 192"/>
    <n v="3"/>
    <m/>
    <n v="40"/>
    <m/>
    <m/>
    <m/>
    <m/>
    <s v="No"/>
    <n v="568"/>
    <m/>
    <m/>
    <s v="Replied Comment"/>
    <x v="1"/>
    <s v="good on you bro, you’ll do well"/>
    <s v="UCkdMu2dHteksfRJgJRvgeXA"/>
    <s v="bahar sabet"/>
    <s v="http://www.youtube.com/channel/UCkdMu2dHteksfRJgJRvgeXA"/>
    <s v="UgzOZ-DEIyz5proHEWJ4AaABAg"/>
    <s v="QYWNXp36O48"/>
    <s v="https://www.youtube.com/watch?v=QYWNXp36O48"/>
    <s v="none"/>
    <n v="0"/>
    <x v="565"/>
    <d v="2020-04-05T17:47:11.000"/>
    <m/>
    <m/>
    <s v=""/>
    <n v="1"/>
    <s v="17"/>
    <s v="17"/>
    <n v="2"/>
    <n v="25"/>
    <n v="0"/>
    <n v="0"/>
    <n v="0"/>
    <n v="0"/>
    <n v="6"/>
    <n v="75"/>
    <n v="8"/>
  </r>
  <r>
    <s v="UCIbOrSyowVO5brivr77P7Qw"/>
    <s v="UCqbOeHaAUXw9Il7sBVG3_bw"/>
    <s v="192, 192, 192"/>
    <n v="3"/>
    <m/>
    <n v="40"/>
    <m/>
    <m/>
    <m/>
    <m/>
    <s v="No"/>
    <n v="569"/>
    <m/>
    <m/>
    <s v="Commented Video"/>
    <x v="0"/>
    <s v="Guys i am in year 7 and im revising for my GCSES. AKA NERD"/>
    <s v="UCIbOrSyowVO5brivr77P7Qw"/>
    <s v="Kashif Hussain"/>
    <s v="http://www.youtube.com/channel/UCIbOrSyowVO5brivr77P7Qw"/>
    <m/>
    <s v="QYWNXp36O48"/>
    <s v="https://www.youtube.com/watch?v=QYWNXp36O48"/>
    <s v="none"/>
    <n v="4"/>
    <x v="566"/>
    <d v="2019-08-16T13:27:42.000"/>
    <m/>
    <m/>
    <s v=""/>
    <n v="1"/>
    <s v="17"/>
    <s v="1"/>
    <n v="0"/>
    <n v="0"/>
    <n v="0"/>
    <n v="0"/>
    <n v="0"/>
    <n v="0"/>
    <n v="14"/>
    <n v="100"/>
    <n v="14"/>
  </r>
  <r>
    <s v="UCrvq4-9ue3zD7zQbC1FhHxQ"/>
    <s v="UC5KdbVBELGZM5PzMhwz_4wA"/>
    <s v="192, 192, 192"/>
    <n v="3"/>
    <m/>
    <n v="40"/>
    <m/>
    <m/>
    <m/>
    <m/>
    <s v="No"/>
    <n v="570"/>
    <m/>
    <m/>
    <s v="Replied Comment"/>
    <x v="1"/>
    <s v="no it hasnt&lt;br&gt;its at the beginning"/>
    <s v="UCrvq4-9ue3zD7zQbC1FhHxQ"/>
    <s v="TK_Plays_CODM"/>
    <s v="http://www.youtube.com/channel/UCrvq4-9ue3zD7zQbC1FhHxQ"/>
    <s v="UgyZxG9BerufP1ZNu_d4AaABAg"/>
    <s v="QYWNXp36O48"/>
    <s v="https://www.youtube.com/watch?v=QYWNXp36O48"/>
    <s v="none"/>
    <n v="2"/>
    <x v="567"/>
    <d v="2021-03-13T15:49:07.000"/>
    <m/>
    <m/>
    <s v=""/>
    <n v="1"/>
    <s v="1"/>
    <s v="1"/>
    <n v="0"/>
    <n v="0"/>
    <n v="0"/>
    <n v="0"/>
    <n v="0"/>
    <n v="0"/>
    <n v="8"/>
    <n v="100"/>
    <n v="8"/>
  </r>
  <r>
    <s v="UC5KdbVBELGZM5PzMhwz_4wA"/>
    <s v="UCqbOeHaAUXw9Il7sBVG3_bw"/>
    <s v="192, 192, 192"/>
    <n v="3"/>
    <m/>
    <n v="40"/>
    <m/>
    <m/>
    <m/>
    <m/>
    <s v="No"/>
    <n v="571"/>
    <m/>
    <m/>
    <s v="Commented Video"/>
    <x v="0"/>
    <s v="NO THE IcONIC MUSIC HAS GOnE"/>
    <s v="UC5KdbVBELGZM5PzMhwz_4wA"/>
    <s v="Amber Ahmed"/>
    <s v="http://www.youtube.com/channel/UC5KdbVBELGZM5PzMhwz_4wA"/>
    <m/>
    <s v="QYWNXp36O48"/>
    <s v="https://www.youtube.com/watch?v=QYWNXp36O48"/>
    <s v="none"/>
    <n v="81"/>
    <x v="568"/>
    <d v="2019-10-09T22:06:45.000"/>
    <m/>
    <m/>
    <s v=""/>
    <n v="1"/>
    <s v="1"/>
    <s v="1"/>
    <n v="0"/>
    <n v="0"/>
    <n v="0"/>
    <n v="0"/>
    <n v="0"/>
    <n v="0"/>
    <n v="6"/>
    <n v="100"/>
    <n v="6"/>
  </r>
  <r>
    <s v="UC48sVYoCWpdhnNhGvTaK81Q"/>
    <s v="UCqbOeHaAUXw9Il7sBVG3_bw"/>
    <s v="192, 192, 192"/>
    <n v="3"/>
    <m/>
    <n v="40"/>
    <m/>
    <m/>
    <m/>
    <m/>
    <s v="No"/>
    <n v="572"/>
    <m/>
    <m/>
    <s v="Commented Video"/>
    <x v="0"/>
    <s v="He really cares for our health 😩"/>
    <s v="UC48sVYoCWpdhnNhGvTaK81Q"/>
    <s v="elmui"/>
    <s v="http://www.youtube.com/channel/UC48sVYoCWpdhnNhGvTaK81Q"/>
    <m/>
    <s v="QYWNXp36O48"/>
    <s v="https://www.youtube.com/watch?v=QYWNXp36O48"/>
    <s v="none"/>
    <n v="5"/>
    <x v="569"/>
    <d v="2019-11-10T10:24:55.000"/>
    <m/>
    <m/>
    <s v=""/>
    <n v="1"/>
    <s v="1"/>
    <s v="1"/>
    <n v="0"/>
    <n v="0"/>
    <n v="0"/>
    <n v="0"/>
    <n v="0"/>
    <n v="0"/>
    <n v="6"/>
    <n v="100"/>
    <n v="6"/>
  </r>
  <r>
    <s v="UCITVf0ZheF8SsTFvr4P1QmA"/>
    <s v="UCqbOeHaAUXw9Il7sBVG3_bw"/>
    <s v="192, 192, 192"/>
    <n v="3"/>
    <m/>
    <n v="40"/>
    <m/>
    <m/>
    <m/>
    <m/>
    <s v="No"/>
    <n v="573"/>
    <m/>
    <m/>
    <s v="Commented Video"/>
    <x v="0"/>
    <s v="yall really take advantage of this guy to cram info in the night before your exam&lt;br&gt;this guy is my 24/7 revision guide!"/>
    <s v="UCITVf0ZheF8SsTFvr4P1QmA"/>
    <s v="Lacey Chapman"/>
    <s v="http://www.youtube.com/channel/UCITVf0ZheF8SsTFvr4P1QmA"/>
    <m/>
    <s v="QYWNXp36O48"/>
    <s v="https://www.youtube.com/watch?v=QYWNXp36O48"/>
    <s v="none"/>
    <n v="63"/>
    <x v="570"/>
    <d v="2019-11-18T01:35:56.000"/>
    <m/>
    <m/>
    <s v=""/>
    <n v="1"/>
    <s v="1"/>
    <s v="1"/>
    <n v="1"/>
    <n v="4"/>
    <n v="0"/>
    <n v="0"/>
    <n v="0"/>
    <n v="0"/>
    <n v="24"/>
    <n v="96"/>
    <n v="25"/>
  </r>
  <r>
    <s v="UCrmJq1swDtEgpnj8Ea89Ksw"/>
    <s v="UCqbOeHaAUXw9Il7sBVG3_bw"/>
    <s v="192, 192, 192"/>
    <n v="3"/>
    <m/>
    <n v="40"/>
    <m/>
    <m/>
    <m/>
    <m/>
    <s v="No"/>
    <n v="574"/>
    <m/>
    <m/>
    <s v="Commented Video"/>
    <x v="0"/>
    <s v="I turn off adblock when i watch your vids :)"/>
    <s v="UCrmJq1swDtEgpnj8Ea89Ksw"/>
    <s v="milk"/>
    <s v="http://www.youtube.com/channel/UCrmJq1swDtEgpnj8Ea89Ksw"/>
    <m/>
    <s v="QYWNXp36O48"/>
    <s v="https://www.youtube.com/watch?v=QYWNXp36O48"/>
    <s v="none"/>
    <n v="21"/>
    <x v="571"/>
    <d v="2019-12-15T23:25:30.000"/>
    <m/>
    <m/>
    <s v=""/>
    <n v="1"/>
    <s v="1"/>
    <s v="1"/>
    <n v="0"/>
    <n v="0"/>
    <n v="0"/>
    <n v="0"/>
    <n v="0"/>
    <n v="0"/>
    <n v="9"/>
    <n v="100"/>
    <n v="9"/>
  </r>
  <r>
    <s v="UC15ptciKdMDVT7X_JU0ly-Q"/>
    <s v="UCqbOeHaAUXw9Il7sBVG3_bw"/>
    <s v="192, 192, 192"/>
    <n v="3"/>
    <m/>
    <n v="40"/>
    <m/>
    <m/>
    <m/>
    <m/>
    <s v="No"/>
    <n v="575"/>
    <m/>
    <m/>
    <s v="Commented Video"/>
    <x v="0"/>
    <s v="."/>
    <s v="UC15ptciKdMDVT7X_JU0ly-Q"/>
    <s v="Nicholas Theodorou"/>
    <s v="http://www.youtube.com/channel/UC15ptciKdMDVT7X_JU0ly-Q"/>
    <m/>
    <s v="QYWNXp36O48"/>
    <s v="https://www.youtube.com/watch?v=QYWNXp36O48"/>
    <s v="none"/>
    <n v="1"/>
    <x v="572"/>
    <d v="2020-01-06T08:13:34.000"/>
    <m/>
    <m/>
    <s v=""/>
    <n v="1"/>
    <s v="1"/>
    <s v="1"/>
    <n v="0"/>
    <n v="0"/>
    <n v="0"/>
    <n v="0"/>
    <n v="0"/>
    <n v="0"/>
    <n v="0"/>
    <n v="0"/>
    <n v="0"/>
  </r>
  <r>
    <s v="UCeEIcvCp29Ahvn-pX3MuU2g"/>
    <s v="UCqbOeHaAUXw9Il7sBVG3_bw"/>
    <s v="192, 192, 192"/>
    <n v="3"/>
    <m/>
    <n v="40"/>
    <m/>
    <m/>
    <m/>
    <m/>
    <s v="No"/>
    <n v="576"/>
    <m/>
    <m/>
    <s v="Commented Video"/>
    <x v="0"/>
    <s v="ill health can be caused by high levels of stress...? oh damn"/>
    <s v="UCeEIcvCp29Ahvn-pX3MuU2g"/>
    <s v="Milly Harrison"/>
    <s v="http://www.youtube.com/channel/UCeEIcvCp29Ahvn-pX3MuU2g"/>
    <m/>
    <s v="QYWNXp36O48"/>
    <s v="https://www.youtube.com/watch?v=QYWNXp36O48"/>
    <s v="none"/>
    <n v="16"/>
    <x v="573"/>
    <d v="2020-02-18T10:55:19.000"/>
    <m/>
    <m/>
    <s v=""/>
    <n v="1"/>
    <s v="1"/>
    <s v="1"/>
    <n v="0"/>
    <n v="0"/>
    <n v="2"/>
    <n v="16.666666666666668"/>
    <n v="0"/>
    <n v="0"/>
    <n v="10"/>
    <n v="83.33333333333333"/>
    <n v="12"/>
  </r>
  <r>
    <s v="UC78MDprcXiyqLsbcVxuysgw"/>
    <s v="UCqbOeHaAUXw9Il7sBVG3_bw"/>
    <s v="192, 192, 192"/>
    <n v="3"/>
    <m/>
    <n v="40"/>
    <m/>
    <m/>
    <m/>
    <m/>
    <s v="No"/>
    <n v="577"/>
    <m/>
    <m/>
    <s v="Commented Video"/>
    <x v="0"/>
    <s v="corona really gonna mess up 2020 GCSE"/>
    <s v="UC78MDprcXiyqLsbcVxuysgw"/>
    <s v="Annabel"/>
    <s v="http://www.youtube.com/channel/UC78MDprcXiyqLsbcVxuysgw"/>
    <m/>
    <s v="QYWNXp36O48"/>
    <s v="https://www.youtube.com/watch?v=QYWNXp36O48"/>
    <s v="none"/>
    <n v="6"/>
    <x v="574"/>
    <d v="2020-03-17T19:42:53.000"/>
    <m/>
    <m/>
    <s v=""/>
    <n v="1"/>
    <s v="1"/>
    <s v="1"/>
    <n v="0"/>
    <n v="0"/>
    <n v="1"/>
    <n v="14.285714285714286"/>
    <n v="0"/>
    <n v="0"/>
    <n v="6"/>
    <n v="85.71428571428571"/>
    <n v="7"/>
  </r>
  <r>
    <s v="UCJpZnHucve5c5fedvmEovsA"/>
    <s v="UCT7KYqEloUgHKpn3R2dPGwQ"/>
    <s v="192, 192, 192"/>
    <n v="3"/>
    <m/>
    <n v="40"/>
    <m/>
    <m/>
    <m/>
    <m/>
    <s v="No"/>
    <n v="578"/>
    <m/>
    <m/>
    <s v="Replied Comment"/>
    <x v="1"/>
    <s v="lol sad life lmao"/>
    <s v="UCJpZnHucve5c5fedvmEovsA"/>
    <s v="Mxster_Mj"/>
    <s v="http://www.youtube.com/channel/UCJpZnHucve5c5fedvmEovsA"/>
    <s v="UgwOeCJSgiUw8YDeoSl4AaABAg"/>
    <s v="QYWNXp36O48"/>
    <s v="https://www.youtube.com/watch?v=QYWNXp36O48"/>
    <s v="none"/>
    <n v="3"/>
    <x v="575"/>
    <d v="2020-04-11T20:13:39.000"/>
    <m/>
    <m/>
    <s v=""/>
    <n v="1"/>
    <s v="1"/>
    <s v="1"/>
    <n v="0"/>
    <n v="0"/>
    <n v="1"/>
    <n v="25"/>
    <n v="0"/>
    <n v="0"/>
    <n v="3"/>
    <n v="75"/>
    <n v="4"/>
  </r>
  <r>
    <s v="UCT7KYqEloUgHKpn3R2dPGwQ"/>
    <s v="UCqbOeHaAUXw9Il7sBVG3_bw"/>
    <s v="192, 192, 192"/>
    <n v="3"/>
    <m/>
    <n v="40"/>
    <m/>
    <m/>
    <m/>
    <m/>
    <s v="No"/>
    <n v="579"/>
    <m/>
    <m/>
    <s v="Commented Video"/>
    <x v="0"/>
    <s v="Well there’s no GCSEs and I’m still watching…what’s wrong with me?"/>
    <s v="UCT7KYqEloUgHKpn3R2dPGwQ"/>
    <s v="Mogzack"/>
    <s v="http://www.youtube.com/channel/UCT7KYqEloUgHKpn3R2dPGwQ"/>
    <m/>
    <s v="QYWNXp36O48"/>
    <s v="https://www.youtube.com/watch?v=QYWNXp36O48"/>
    <s v="none"/>
    <n v="11"/>
    <x v="576"/>
    <d v="2020-03-23T10:43:34.000"/>
    <m/>
    <m/>
    <s v=""/>
    <n v="1"/>
    <s v="1"/>
    <s v="1"/>
    <n v="1"/>
    <n v="6.666666666666667"/>
    <n v="1"/>
    <n v="6.666666666666667"/>
    <n v="0"/>
    <n v="0"/>
    <n v="13"/>
    <n v="86.66666666666667"/>
    <n v="15"/>
  </r>
  <r>
    <s v="UCdRgQZdlDS8Fnsb21g9LC9w"/>
    <s v="UCqbOeHaAUXw9Il7sBVG3_bw"/>
    <s v="192, 192, 192"/>
    <n v="3"/>
    <m/>
    <n v="40"/>
    <m/>
    <m/>
    <m/>
    <m/>
    <s v="No"/>
    <n v="580"/>
    <m/>
    <m/>
    <s v="Commented Video"/>
    <x v="0"/>
    <s v="home learning hours whos up"/>
    <s v="UCdRgQZdlDS8Fnsb21g9LC9w"/>
    <s v="wokejev"/>
    <s v="http://www.youtube.com/channel/UCdRgQZdlDS8Fnsb21g9LC9w"/>
    <m/>
    <s v="QYWNXp36O48"/>
    <s v="https://www.youtube.com/watch?v=QYWNXp36O48"/>
    <s v="none"/>
    <n v="38"/>
    <x v="577"/>
    <d v="2020-03-23T15:35:13.000"/>
    <m/>
    <m/>
    <s v=""/>
    <n v="1"/>
    <s v="1"/>
    <s v="1"/>
    <n v="0"/>
    <n v="0"/>
    <n v="0"/>
    <n v="0"/>
    <n v="0"/>
    <n v="0"/>
    <n v="5"/>
    <n v="100"/>
    <n v="5"/>
  </r>
  <r>
    <s v="UCSsVxmw_XnkCqrW8owfRY8w"/>
    <s v="UCqbOeHaAUXw9Il7sBVG3_bw"/>
    <s v="192, 192, 192"/>
    <n v="3"/>
    <m/>
    <n v="40"/>
    <m/>
    <m/>
    <m/>
    <m/>
    <s v="No"/>
    <n v="581"/>
    <m/>
    <m/>
    <s v="Commented Video"/>
    <x v="0"/>
    <s v="Corona time!"/>
    <s v="UCSsVxmw_XnkCqrW8owfRY8w"/>
    <s v="SpeedyTheGecko"/>
    <s v="http://www.youtube.com/channel/UCSsVxmw_XnkCqrW8owfRY8w"/>
    <m/>
    <s v="QYWNXp36O48"/>
    <s v="https://www.youtube.com/watch?v=QYWNXp36O48"/>
    <s v="none"/>
    <n v="2"/>
    <x v="578"/>
    <d v="2020-04-29T11:28:22.000"/>
    <m/>
    <m/>
    <s v=""/>
    <n v="1"/>
    <s v="1"/>
    <s v="1"/>
    <n v="0"/>
    <n v="0"/>
    <n v="0"/>
    <n v="0"/>
    <n v="0"/>
    <n v="0"/>
    <n v="2"/>
    <n v="100"/>
    <n v="2"/>
  </r>
  <r>
    <s v="UCYPUDUN5-t9VxaQRI9es0nA"/>
    <s v="UCBobk-UZMXzncWw48I2tPZw"/>
    <s v="192, 192, 192"/>
    <n v="3"/>
    <m/>
    <n v="40"/>
    <m/>
    <m/>
    <m/>
    <m/>
    <s v="No"/>
    <n v="582"/>
    <m/>
    <m/>
    <s v="Replied Comment"/>
    <x v="1"/>
    <s v="HIV doesn&amp;#39;t lead to TB, it allows for TB to infect the patient without the chance of the body fighting back (it allows access but doesn&amp;#39;t cause it). There&amp;#39;s much to HPV aswell but I&amp;#39;ll shorten it down to GCSE level, the HPV virus infects a cell and causes uncontrollable mitosis to replicate itself, in other words a direct cause of cancer."/>
    <s v="UCYPUDUN5-t9VxaQRI9es0nA"/>
    <s v="Fire Emperor Zuko"/>
    <s v="http://www.youtube.com/channel/UCYPUDUN5-t9VxaQRI9es0nA"/>
    <s v="UgxE1T39sQwM0FlMvRl4AaABAg"/>
    <s v="QYWNXp36O48"/>
    <s v="https://www.youtube.com/watch?v=QYWNXp36O48"/>
    <s v="none"/>
    <n v="1"/>
    <x v="579"/>
    <d v="2020-12-05T23:02:00.000"/>
    <m/>
    <m/>
    <s v=""/>
    <n v="1"/>
    <s v="1"/>
    <s v="1"/>
    <n v="2"/>
    <n v="2.857142857142857"/>
    <n v="2"/>
    <n v="2.857142857142857"/>
    <n v="0"/>
    <n v="0"/>
    <n v="66"/>
    <n v="94.28571428571429"/>
    <n v="70"/>
  </r>
  <r>
    <s v="UCBobk-UZMXzncWw48I2tPZw"/>
    <s v="UCqbOeHaAUXw9Il7sBVG3_bw"/>
    <s v="192, 192, 192"/>
    <n v="3"/>
    <m/>
    <n v="40"/>
    <m/>
    <m/>
    <m/>
    <m/>
    <s v="No"/>
    <n v="583"/>
    <m/>
    <m/>
    <s v="Commented Video"/>
    <x v="0"/>
    <s v="His sir &lt;br&gt;Is there a difference between the HIV leading to TB example and the HPV leading to Cervical cancer? Also do we need to know these two exact examples?&lt;br&gt;Thanks"/>
    <s v="UCBobk-UZMXzncWw48I2tPZw"/>
    <s v="Tom Foster"/>
    <s v="http://www.youtube.com/channel/UCBobk-UZMXzncWw48I2tPZw"/>
    <m/>
    <s v="QYWNXp36O48"/>
    <s v="https://www.youtube.com/watch?v=QYWNXp36O48"/>
    <s v="none"/>
    <n v="1"/>
    <x v="580"/>
    <d v="2020-05-11T21:09:29.000"/>
    <m/>
    <m/>
    <s v=""/>
    <n v="1"/>
    <s v="1"/>
    <s v="1"/>
    <n v="2"/>
    <n v="6.0606060606060606"/>
    <n v="1"/>
    <n v="3.0303030303030303"/>
    <n v="0"/>
    <n v="0"/>
    <n v="30"/>
    <n v="90.9090909090909"/>
    <n v="33"/>
  </r>
  <r>
    <s v="UCaikVaVCPBW5plHdS5AyPSw"/>
    <s v="UCHmi85wnMi96G2PBhOzL18Q"/>
    <s v="192, 192, 192"/>
    <n v="3"/>
    <m/>
    <n v="40"/>
    <m/>
    <m/>
    <m/>
    <m/>
    <s v="No"/>
    <n v="584"/>
    <m/>
    <m/>
    <s v="Replied Comment"/>
    <x v="1"/>
    <s v="He could totally win too!"/>
    <s v="UCaikVaVCPBW5plHdS5AyPSw"/>
    <s v="Snowbafeld Howler"/>
    <s v="http://www.youtube.com/channel/UCaikVaVCPBW5plHdS5AyPSw"/>
    <s v="UgwlfpOo4grCCH4J3Z14AaABAg"/>
    <s v="QYWNXp36O48"/>
    <s v="https://www.youtube.com/watch?v=QYWNXp36O48"/>
    <s v="none"/>
    <n v="8"/>
    <x v="581"/>
    <d v="2020-09-28T20:48:36.000"/>
    <m/>
    <m/>
    <s v=""/>
    <n v="1"/>
    <s v="1"/>
    <s v="1"/>
    <n v="1"/>
    <n v="20"/>
    <n v="0"/>
    <n v="0"/>
    <n v="0"/>
    <n v="0"/>
    <n v="4"/>
    <n v="80"/>
    <n v="5"/>
  </r>
  <r>
    <s v="UCO_01HMWiGfhgO-LgeFqHAQ"/>
    <s v="UCHmi85wnMi96G2PBhOzL18Q"/>
    <s v="192, 192, 192"/>
    <n v="3"/>
    <m/>
    <n v="40"/>
    <m/>
    <m/>
    <m/>
    <m/>
    <s v="No"/>
    <n v="585"/>
    <m/>
    <m/>
    <s v="Replied Comment"/>
    <x v="1"/>
    <s v="truu lol"/>
    <s v="UCO_01HMWiGfhgO-LgeFqHAQ"/>
    <s v="infinity_sh"/>
    <s v="http://www.youtube.com/channel/UCO_01HMWiGfhgO-LgeFqHAQ"/>
    <s v="UgwlfpOo4grCCH4J3Z14AaABAg"/>
    <s v="QYWNXp36O48"/>
    <s v="https://www.youtube.com/watch?v=QYWNXp36O48"/>
    <s v="none"/>
    <n v="2"/>
    <x v="582"/>
    <d v="2020-10-28T12:01:41.000"/>
    <m/>
    <m/>
    <s v=""/>
    <n v="1"/>
    <s v="1"/>
    <s v="1"/>
    <n v="0"/>
    <n v="0"/>
    <n v="0"/>
    <n v="0"/>
    <n v="0"/>
    <n v="0"/>
    <n v="2"/>
    <n v="100"/>
    <n v="2"/>
  </r>
  <r>
    <s v="UCHmi85wnMi96G2PBhOzL18Q"/>
    <s v="UCqbOeHaAUXw9Il7sBVG3_bw"/>
    <s v="192, 192, 192"/>
    <n v="3"/>
    <m/>
    <n v="40"/>
    <m/>
    <m/>
    <m/>
    <m/>
    <s v="No"/>
    <n v="586"/>
    <m/>
    <m/>
    <s v="Commented Video"/>
    <x v="0"/>
    <s v="This guy could run for Primeminister"/>
    <s v="UCHmi85wnMi96G2PBhOzL18Q"/>
    <s v="TRS Sport"/>
    <s v="http://www.youtube.com/channel/UCHmi85wnMi96G2PBhOzL18Q"/>
    <m/>
    <s v="QYWNXp36O48"/>
    <s v="https://www.youtube.com/watch?v=QYWNXp36O48"/>
    <s v="none"/>
    <n v="143"/>
    <x v="583"/>
    <d v="2020-05-18T08:57:34.000"/>
    <m/>
    <m/>
    <s v=""/>
    <n v="1"/>
    <s v="1"/>
    <s v="1"/>
    <n v="0"/>
    <n v="0"/>
    <n v="0"/>
    <n v="0"/>
    <n v="0"/>
    <n v="0"/>
    <n v="6"/>
    <n v="100"/>
    <n v="6"/>
  </r>
  <r>
    <s v="UCqbOeHaAUXw9Il7sBVG3_bw"/>
    <s v="UC0hYEQOJzQENV0fQOjL1hSg"/>
    <s v="192, 192, 192"/>
    <n v="3"/>
    <m/>
    <n v="40"/>
    <m/>
    <m/>
    <m/>
    <m/>
    <s v="Yes"/>
    <n v="587"/>
    <m/>
    <m/>
    <s v="Replied Comment"/>
    <x v="1"/>
    <s v="Yes, this topic is in both parts of the specification."/>
    <s v="UCqbOeHaAUXw9Il7sBVG3_bw"/>
    <s v="Freesciencelessons"/>
    <s v="http://www.youtube.com/channel/UCqbOeHaAUXw9Il7sBVG3_bw"/>
    <s v="UgxKw0SRadaVfNF2owl4AaABAg"/>
    <s v="QYWNXp36O48"/>
    <s v="https://www.youtube.com/watch?v=QYWNXp36O48"/>
    <s v="none"/>
    <n v="0"/>
    <x v="584"/>
    <d v="2020-06-08T17:59:34.000"/>
    <m/>
    <m/>
    <s v=""/>
    <n v="1"/>
    <s v="1"/>
    <s v="1"/>
    <n v="0"/>
    <n v="0"/>
    <n v="0"/>
    <n v="0"/>
    <n v="0"/>
    <n v="0"/>
    <n v="10"/>
    <n v="100"/>
    <n v="10"/>
  </r>
  <r>
    <s v="UC0hYEQOJzQENV0fQOjL1hSg"/>
    <s v="UCqbOeHaAUXw9Il7sBVG3_bw"/>
    <s v="192, 192, 192"/>
    <n v="3"/>
    <m/>
    <n v="40"/>
    <m/>
    <m/>
    <m/>
    <m/>
    <s v="Yes"/>
    <n v="588"/>
    <m/>
    <m/>
    <s v="Commented Video"/>
    <x v="0"/>
    <s v="Is this the same video as in the organisation topic?"/>
    <s v="UC0hYEQOJzQENV0fQOjL1hSg"/>
    <s v="Dela"/>
    <s v="http://www.youtube.com/channel/UC0hYEQOJzQENV0fQOjL1hSg"/>
    <m/>
    <s v="QYWNXp36O48"/>
    <s v="https://www.youtube.com/watch?v=QYWNXp36O48"/>
    <s v="none"/>
    <n v="3"/>
    <x v="585"/>
    <d v="2020-06-08T13:50:56.000"/>
    <m/>
    <m/>
    <s v=""/>
    <n v="1"/>
    <s v="1"/>
    <s v="1"/>
    <n v="0"/>
    <n v="0"/>
    <n v="0"/>
    <n v="0"/>
    <n v="0"/>
    <n v="0"/>
    <n v="10"/>
    <n v="100"/>
    <n v="10"/>
  </r>
  <r>
    <s v="UCa5Twd8eG5BjtHJv0kvoA_w"/>
    <s v="UCqbOeHaAUXw9Il7sBVG3_bw"/>
    <s v="192, 192, 192"/>
    <n v="3"/>
    <m/>
    <n v="40"/>
    <m/>
    <m/>
    <m/>
    <m/>
    <s v="No"/>
    <n v="589"/>
    <m/>
    <m/>
    <s v="Commented Video"/>
    <x v="0"/>
    <s v="Corona virus latest comunicable disease"/>
    <s v="UCa5Twd8eG5BjtHJv0kvoA_w"/>
    <s v="Tanmeet Sachdeva"/>
    <s v="http://www.youtube.com/channel/UCa5Twd8eG5BjtHJv0kvoA_w"/>
    <m/>
    <s v="QYWNXp36O48"/>
    <s v="https://www.youtube.com/watch?v=QYWNXp36O48"/>
    <s v="none"/>
    <n v="6"/>
    <x v="586"/>
    <d v="2020-06-15T14:06:13.000"/>
    <m/>
    <m/>
    <s v=""/>
    <n v="1"/>
    <s v="1"/>
    <s v="1"/>
    <n v="0"/>
    <n v="0"/>
    <n v="1"/>
    <n v="20"/>
    <n v="0"/>
    <n v="0"/>
    <n v="4"/>
    <n v="80"/>
    <n v="5"/>
  </r>
  <r>
    <s v="UCl1auULeEjUJdgyO00Kzy9A"/>
    <s v="UC_fDWpABeZRT7ZO4gqnLWBQ"/>
    <s v="192, 192, 192"/>
    <n v="3"/>
    <m/>
    <n v="40"/>
    <m/>
    <m/>
    <m/>
    <m/>
    <s v="No"/>
    <n v="590"/>
    <m/>
    <m/>
    <s v="Replied Comment"/>
    <x v="1"/>
    <s v="Thanks"/>
    <s v="UCl1auULeEjUJdgyO00Kzy9A"/>
    <s v="Lemon Roses"/>
    <s v="http://www.youtube.com/channel/UCl1auULeEjUJdgyO00Kzy9A"/>
    <s v="Ugw8cwN5ZInEUfiNiZt4AaABAg"/>
    <s v="QYWNXp36O48"/>
    <s v="https://www.youtube.com/watch?v=QYWNXp36O48"/>
    <s v="none"/>
    <n v="0"/>
    <x v="587"/>
    <d v="2021-03-03T10:01:16.000"/>
    <m/>
    <m/>
    <s v=""/>
    <n v="1"/>
    <s v="1"/>
    <s v="1"/>
    <n v="0"/>
    <n v="0"/>
    <n v="0"/>
    <n v="0"/>
    <n v="0"/>
    <n v="0"/>
    <n v="1"/>
    <n v="100"/>
    <n v="1"/>
  </r>
  <r>
    <s v="UC_fDWpABeZRT7ZO4gqnLWBQ"/>
    <s v="UCqbOeHaAUXw9Il7sBVG3_bw"/>
    <s v="192, 192, 192"/>
    <n v="3"/>
    <m/>
    <n v="40"/>
    <m/>
    <m/>
    <m/>
    <m/>
    <s v="No"/>
    <n v="591"/>
    <m/>
    <m/>
    <s v="Commented Video"/>
    <x v="0"/>
    <s v="If you are looking at this comment then STOP wasting your time and go study !!"/>
    <s v="UC_fDWpABeZRT7ZO4gqnLWBQ"/>
    <s v="i.k random"/>
    <s v="http://www.youtube.com/channel/UC_fDWpABeZRT7ZO4gqnLWBQ"/>
    <m/>
    <s v="QYWNXp36O48"/>
    <s v="https://www.youtube.com/watch?v=QYWNXp36O48"/>
    <s v="none"/>
    <n v="11"/>
    <x v="588"/>
    <d v="2020-10-23T18:03:12.000"/>
    <m/>
    <m/>
    <s v=""/>
    <n v="1"/>
    <s v="1"/>
    <s v="1"/>
    <n v="0"/>
    <n v="0"/>
    <n v="1"/>
    <n v="6.666666666666667"/>
    <n v="0"/>
    <n v="0"/>
    <n v="14"/>
    <n v="93.33333333333333"/>
    <n v="15"/>
  </r>
  <r>
    <s v="UCL5N-vp8oWI3Tm_PqycG0Ow"/>
    <s v="UCqbOeHaAUXw9Il7sBVG3_bw"/>
    <s v="192, 192, 192"/>
    <n v="3"/>
    <m/>
    <n v="40"/>
    <m/>
    <m/>
    <m/>
    <m/>
    <s v="No"/>
    <n v="592"/>
    <m/>
    <m/>
    <s v="Commented Video"/>
    <x v="0"/>
    <s v="mock exams in over a week&amp;gt;"/>
    <s v="UCL5N-vp8oWI3Tm_PqycG0Ow"/>
    <s v="Anthony Nguyen"/>
    <s v="http://www.youtube.com/channel/UCL5N-vp8oWI3Tm_PqycG0Ow"/>
    <m/>
    <s v="QYWNXp36O48"/>
    <s v="https://www.youtube.com/watch?v=QYWNXp36O48"/>
    <s v="none"/>
    <n v="2"/>
    <x v="589"/>
    <d v="2020-10-28T08:39:18.000"/>
    <m/>
    <m/>
    <s v=""/>
    <n v="1"/>
    <s v="1"/>
    <s v="1"/>
    <n v="0"/>
    <n v="0"/>
    <n v="1"/>
    <n v="14.285714285714286"/>
    <n v="0"/>
    <n v="0"/>
    <n v="6"/>
    <n v="85.71428571428571"/>
    <n v="7"/>
  </r>
  <r>
    <s v="UC1bpNQkvNb6XxeMRCYfbfow"/>
    <s v="UCqbOeHaAUXw9Il7sBVG3_bw"/>
    <s v="192, 192, 192"/>
    <n v="3"/>
    <m/>
    <n v="40"/>
    <m/>
    <m/>
    <m/>
    <m/>
    <s v="No"/>
    <n v="593"/>
    <m/>
    <m/>
    <s v="Commented Video"/>
    <x v="0"/>
    <s v="CORONAVIRUS"/>
    <s v="UC1bpNQkvNb6XxeMRCYfbfow"/>
    <s v="iiNexXxusヅ"/>
    <s v="http://www.youtube.com/channel/UC1bpNQkvNb6XxeMRCYfbfow"/>
    <m/>
    <s v="QYWNXp36O48"/>
    <s v="https://www.youtube.com/watch?v=QYWNXp36O48"/>
    <s v="none"/>
    <n v="2"/>
    <x v="590"/>
    <d v="2020-11-29T19:57:58.000"/>
    <m/>
    <m/>
    <s v=""/>
    <n v="1"/>
    <s v="1"/>
    <s v="1"/>
    <n v="0"/>
    <n v="0"/>
    <n v="0"/>
    <n v="0"/>
    <n v="0"/>
    <n v="0"/>
    <n v="1"/>
    <n v="100"/>
    <n v="1"/>
  </r>
  <r>
    <s v="UCbHzEdAZJb44oRiVIPitwgQ"/>
    <s v="UCqbOeHaAUXw9Il7sBVG3_bw"/>
    <s v="192, 192, 192"/>
    <n v="3"/>
    <m/>
    <n v="40"/>
    <m/>
    <m/>
    <m/>
    <m/>
    <s v="No"/>
    <n v="594"/>
    <m/>
    <m/>
    <s v="Commented Video"/>
    <x v="0"/>
    <s v="this guy&amp;#39;s smile is a communicable disease because i think i have caught it."/>
    <s v="UCbHzEdAZJb44oRiVIPitwgQ"/>
    <s v="lawrence mills mills"/>
    <s v="http://www.youtube.com/channel/UCbHzEdAZJb44oRiVIPitwgQ"/>
    <m/>
    <s v="QYWNXp36O48"/>
    <s v="https://www.youtube.com/watch?v=QYWNXp36O48"/>
    <s v="none"/>
    <n v="9"/>
    <x v="591"/>
    <d v="2020-12-21T11:21:18.000"/>
    <m/>
    <m/>
    <s v=""/>
    <n v="1"/>
    <s v="1"/>
    <s v="1"/>
    <n v="1"/>
    <n v="6.25"/>
    <n v="0"/>
    <n v="0"/>
    <n v="0"/>
    <n v="0"/>
    <n v="15"/>
    <n v="93.75"/>
    <n v="16"/>
  </r>
  <r>
    <s v="UCcKHG9CH1LRU4yJIUyZw5-w"/>
    <s v="UCqbOeHaAUXw9Il7sBVG3_bw"/>
    <s v="192, 192, 192"/>
    <n v="3"/>
    <m/>
    <n v="40"/>
    <m/>
    <m/>
    <m/>
    <m/>
    <s v="No"/>
    <n v="595"/>
    <m/>
    <m/>
    <s v="Commented Video"/>
    <x v="0"/>
    <s v="This helps because when i am back from the christmas break we will be doing a test on this."/>
    <s v="UCcKHG9CH1LRU4yJIUyZw5-w"/>
    <s v="Diamond counter production and gaming"/>
    <s v="http://www.youtube.com/channel/UCcKHG9CH1LRU4yJIUyZw5-w"/>
    <m/>
    <s v="QYWNXp36O48"/>
    <s v="https://www.youtube.com/watch?v=QYWNXp36O48"/>
    <s v="none"/>
    <n v="1"/>
    <x v="592"/>
    <d v="2020-12-21T14:42:37.000"/>
    <m/>
    <m/>
    <s v=""/>
    <n v="1"/>
    <s v="1"/>
    <s v="1"/>
    <n v="0"/>
    <n v="0"/>
    <n v="1"/>
    <n v="5.2631578947368425"/>
    <n v="0"/>
    <n v="0"/>
    <n v="18"/>
    <n v="94.73684210526316"/>
    <n v="19"/>
  </r>
  <r>
    <s v="UCRdsglSr8JV0jxanZ1wj0jg"/>
    <s v="UCqbOeHaAUXw9Il7sBVG3_bw"/>
    <s v="192, 192, 192"/>
    <n v="3"/>
    <m/>
    <n v="40"/>
    <m/>
    <m/>
    <m/>
    <m/>
    <s v="No"/>
    <n v="596"/>
    <m/>
    <m/>
    <s v="Commented Video"/>
    <x v="0"/>
    <s v="I&amp;#39;m doing this in school now and this is really helpful!"/>
    <s v="UCRdsglSr8JV0jxanZ1wj0jg"/>
    <s v="imsimpingforzoëkravitz"/>
    <s v="http://www.youtube.com/channel/UCRdsglSr8JV0jxanZ1wj0jg"/>
    <m/>
    <s v="QYWNXp36O48"/>
    <s v="https://www.youtube.com/watch?v=QYWNXp36O48"/>
    <s v="none"/>
    <n v="0"/>
    <x v="593"/>
    <d v="2020-12-23T18:41:26.000"/>
    <m/>
    <m/>
    <s v=""/>
    <n v="1"/>
    <s v="1"/>
    <s v="1"/>
    <n v="1"/>
    <n v="7.6923076923076925"/>
    <n v="0"/>
    <n v="0"/>
    <n v="0"/>
    <n v="0"/>
    <n v="12"/>
    <n v="92.3076923076923"/>
    <n v="13"/>
  </r>
  <r>
    <s v="UCPSwQNmbkvNuvPJRKmrci_A"/>
    <s v="UCqbOeHaAUXw9Il7sBVG3_bw"/>
    <s v="192, 192, 192"/>
    <n v="3"/>
    <m/>
    <n v="40"/>
    <m/>
    <m/>
    <m/>
    <m/>
    <s v="No"/>
    <n v="597"/>
    <m/>
    <m/>
    <s v="Commented Video"/>
    <x v="0"/>
    <s v="First 2021 comment here"/>
    <s v="UCPSwQNmbkvNuvPJRKmrci_A"/>
    <s v="Wasabi Ni"/>
    <s v="http://www.youtube.com/channel/UCPSwQNmbkvNuvPJRKmrci_A"/>
    <m/>
    <s v="QYWNXp36O48"/>
    <s v="https://www.youtube.com/watch?v=QYWNXp36O48"/>
    <s v="none"/>
    <n v="1"/>
    <x v="594"/>
    <d v="2021-01-13T11:17:14.000"/>
    <m/>
    <m/>
    <s v=""/>
    <n v="1"/>
    <s v="1"/>
    <s v="1"/>
    <n v="0"/>
    <n v="0"/>
    <n v="0"/>
    <n v="0"/>
    <n v="0"/>
    <n v="0"/>
    <n v="4"/>
    <n v="100"/>
    <n v="4"/>
  </r>
  <r>
    <s v="UCWckxZngxxi1XK4vj-nQApg"/>
    <s v="UCqbOeHaAUXw9Il7sBVG3_bw"/>
    <s v="192, 192, 192"/>
    <n v="3"/>
    <m/>
    <n v="40"/>
    <m/>
    <m/>
    <m/>
    <m/>
    <s v="No"/>
    <n v="598"/>
    <m/>
    <m/>
    <s v="Commented Video"/>
    <x v="0"/>
    <s v="Thanks a lot sir I have a science test tomorrow and I haven’t really been paying a lot of attention too my online classes 😅"/>
    <s v="UCWckxZngxxi1XK4vj-nQApg"/>
    <s v="Vinnillaswirl123"/>
    <s v="http://www.youtube.com/channel/UCWckxZngxxi1XK4vj-nQApg"/>
    <m/>
    <s v="QYWNXp36O48"/>
    <s v="https://www.youtube.com/watch?v=QYWNXp36O48"/>
    <s v="none"/>
    <n v="1"/>
    <x v="595"/>
    <d v="2021-01-24T14:39:24.000"/>
    <m/>
    <m/>
    <s v=""/>
    <n v="1"/>
    <s v="1"/>
    <s v="1"/>
    <n v="0"/>
    <n v="0"/>
    <n v="0"/>
    <n v="0"/>
    <n v="0"/>
    <n v="0"/>
    <n v="25"/>
    <n v="100"/>
    <n v="25"/>
  </r>
  <r>
    <s v="UCA61Zbq3A1-s34jah9qzy5A"/>
    <s v="UCtK2vyf8QbdpFJYOXCopQXQ"/>
    <s v="192, 192, 192"/>
    <n v="3"/>
    <m/>
    <n v="40"/>
    <m/>
    <m/>
    <m/>
    <m/>
    <s v="No"/>
    <n v="599"/>
    <m/>
    <m/>
    <s v="Replied Comment"/>
    <x v="1"/>
    <s v="Ikr"/>
    <s v="UCA61Zbq3A1-s34jah9qzy5A"/>
    <s v="Zedd_1502"/>
    <s v="http://www.youtube.com/channel/UCA61Zbq3A1-s34jah9qzy5A"/>
    <s v="Ugyne6tBNcPKbzyw1Ft4AaABAg"/>
    <s v="QYWNXp36O48"/>
    <s v="https://www.youtube.com/watch?v=QYWNXp36O48"/>
    <s v="none"/>
    <n v="1"/>
    <x v="596"/>
    <d v="2021-02-28T20:52:09.000"/>
    <m/>
    <m/>
    <s v=""/>
    <n v="1"/>
    <s v="1"/>
    <s v="1"/>
    <n v="0"/>
    <n v="0"/>
    <n v="0"/>
    <n v="0"/>
    <n v="0"/>
    <n v="0"/>
    <n v="1"/>
    <n v="100"/>
    <n v="1"/>
  </r>
  <r>
    <s v="UCtK2vyf8QbdpFJYOXCopQXQ"/>
    <s v="UCqbOeHaAUXw9Il7sBVG3_bw"/>
    <s v="192, 192, 192"/>
    <n v="3"/>
    <m/>
    <n v="40"/>
    <m/>
    <m/>
    <m/>
    <m/>
    <s v="No"/>
    <n v="600"/>
    <m/>
    <m/>
    <s v="Commented Video"/>
    <x v="0"/>
    <s v="This dude is literally saving my life"/>
    <s v="UCtK2vyf8QbdpFJYOXCopQXQ"/>
    <s v="zahin wajiha"/>
    <s v="http://www.youtube.com/channel/UCtK2vyf8QbdpFJYOXCopQXQ"/>
    <m/>
    <s v="QYWNXp36O48"/>
    <s v="https://www.youtube.com/watch?v=QYWNXp36O48"/>
    <s v="none"/>
    <n v="3"/>
    <x v="597"/>
    <d v="2021-02-08T20:20:47.000"/>
    <m/>
    <m/>
    <s v=""/>
    <n v="1"/>
    <s v="1"/>
    <s v="1"/>
    <n v="0"/>
    <n v="0"/>
    <n v="0"/>
    <n v="0"/>
    <n v="0"/>
    <n v="0"/>
    <n v="7"/>
    <n v="100"/>
    <n v="7"/>
  </r>
  <r>
    <s v="UC7l-KSyumktFziw8IDH6Szg"/>
    <s v="UCqbOeHaAUXw9Il7sBVG3_bw"/>
    <s v="192, 192, 192"/>
    <n v="3"/>
    <m/>
    <n v="40"/>
    <m/>
    <m/>
    <m/>
    <m/>
    <s v="No"/>
    <n v="601"/>
    <m/>
    <m/>
    <s v="Commented Video"/>
    <x v="0"/>
    <s v="good"/>
    <s v="UC7l-KSyumktFziw8IDH6Szg"/>
    <s v="OnlyNoneMusic 2M"/>
    <s v="http://www.youtube.com/channel/UC7l-KSyumktFziw8IDH6Szg"/>
    <m/>
    <s v="QYWNXp36O48"/>
    <s v="https://www.youtube.com/watch?v=QYWNXp36O48"/>
    <s v="none"/>
    <n v="0"/>
    <x v="598"/>
    <d v="2021-03-28T12:23:42.000"/>
    <m/>
    <m/>
    <s v=""/>
    <n v="1"/>
    <s v="1"/>
    <s v="1"/>
    <n v="1"/>
    <n v="100"/>
    <n v="0"/>
    <n v="0"/>
    <n v="0"/>
    <n v="0"/>
    <n v="0"/>
    <n v="0"/>
    <n v="1"/>
  </r>
  <r>
    <s v="UCHssCzbLIeA_Hk82W9mAo3A"/>
    <s v="UCqbOeHaAUXw9Il7sBVG3_bw"/>
    <s v="192, 192, 192"/>
    <n v="3"/>
    <m/>
    <n v="40"/>
    <m/>
    <m/>
    <m/>
    <m/>
    <s v="No"/>
    <n v="602"/>
    <m/>
    <m/>
    <s v="Commented Video"/>
    <x v="0"/>
    <s v="anyone else in the school toilets doing last minute revision"/>
    <s v="UCHssCzbLIeA_Hk82W9mAo3A"/>
    <s v="Naomi Pollock"/>
    <s v="http://www.youtube.com/channel/UCHssCzbLIeA_Hk82W9mAo3A"/>
    <m/>
    <s v="QYWNXp36O48"/>
    <s v="https://www.youtube.com/watch?v=QYWNXp36O48"/>
    <s v="none"/>
    <n v="3"/>
    <x v="599"/>
    <d v="2021-03-30T11:56:08.000"/>
    <m/>
    <m/>
    <s v=""/>
    <n v="1"/>
    <s v="1"/>
    <s v="1"/>
    <n v="0"/>
    <n v="0"/>
    <n v="0"/>
    <n v="0"/>
    <n v="0"/>
    <n v="0"/>
    <n v="10"/>
    <n v="100"/>
    <n v="10"/>
  </r>
  <r>
    <s v="UCJicsGvDt15udRUOzIS0Hfg"/>
    <s v="UCqbOeHaAUXw9Il7sBVG3_bw"/>
    <s v="192, 192, 192"/>
    <n v="3"/>
    <m/>
    <n v="40"/>
    <m/>
    <m/>
    <m/>
    <m/>
    <s v="No"/>
    <n v="603"/>
    <m/>
    <m/>
    <s v="Commented Video"/>
    <x v="0"/>
    <s v="Yes Shaun. Helping kids, supply teachers and lockdown learning since 2013. Thanks man"/>
    <s v="UCJicsGvDt15udRUOzIS0Hfg"/>
    <s v="A person"/>
    <s v="http://www.youtube.com/channel/UCJicsGvDt15udRUOzIS0Hfg"/>
    <m/>
    <s v="QYWNXp36O48"/>
    <s v="https://www.youtube.com/watch?v=QYWNXp36O48"/>
    <s v="none"/>
    <n v="2"/>
    <x v="600"/>
    <d v="2021-04-11T20:25:05.000"/>
    <m/>
    <m/>
    <s v=""/>
    <n v="1"/>
    <s v="1"/>
    <s v="1"/>
    <n v="1"/>
    <n v="7.6923076923076925"/>
    <n v="0"/>
    <n v="0"/>
    <n v="0"/>
    <n v="0"/>
    <n v="12"/>
    <n v="92.3076923076923"/>
    <n v="13"/>
  </r>
  <r>
    <s v="UCfNLaHk_QsjWBz4om0JH6UA"/>
    <s v="UCqbOeHaAUXw9Il7sBVG3_bw"/>
    <s v="192, 192, 192"/>
    <n v="3"/>
    <m/>
    <n v="40"/>
    <m/>
    <m/>
    <m/>
    <m/>
    <s v="No"/>
    <n v="604"/>
    <m/>
    <m/>
    <s v="Commented Video"/>
    <x v="0"/>
    <s v="Got a biology test tomorrow...wish me luck!"/>
    <s v="UCfNLaHk_QsjWBz4om0JH6UA"/>
    <s v="Deadeye YouTube"/>
    <s v="http://www.youtube.com/channel/UCfNLaHk_QsjWBz4om0JH6UA"/>
    <m/>
    <s v="QYWNXp36O48"/>
    <s v="https://www.youtube.com/watch?v=QYWNXp36O48"/>
    <s v="none"/>
    <n v="1"/>
    <x v="601"/>
    <d v="2021-05-16T23:29:38.000"/>
    <m/>
    <m/>
    <s v=""/>
    <n v="1"/>
    <s v="1"/>
    <s v="1"/>
    <n v="1"/>
    <n v="12.5"/>
    <n v="0"/>
    <n v="0"/>
    <n v="0"/>
    <n v="0"/>
    <n v="7"/>
    <n v="87.5"/>
    <n v="8"/>
  </r>
  <r>
    <s v="UC_XXoAre7VHpcNPstdvQnQA"/>
    <s v="UCqbOeHaAUXw9Il7sBVG3_bw"/>
    <s v="192, 192, 192"/>
    <n v="3"/>
    <m/>
    <n v="40"/>
    <m/>
    <m/>
    <m/>
    <m/>
    <s v="No"/>
    <n v="605"/>
    <m/>
    <m/>
    <s v="Commented Video"/>
    <x v="0"/>
    <s v="I love how his books are still called free science lessons😂, but i love the effort this guy makes for us"/>
    <s v="UC_XXoAre7VHpcNPstdvQnQA"/>
    <s v="ShotzzVFX"/>
    <s v="http://www.youtube.com/channel/UC_XXoAre7VHpcNPstdvQnQA"/>
    <m/>
    <s v="QYWNXp36O48"/>
    <s v="https://www.youtube.com/watch?v=QYWNXp36O48"/>
    <s v="none"/>
    <n v="2"/>
    <x v="602"/>
    <d v="2021-05-18T19:47:06.000"/>
    <m/>
    <m/>
    <s v=""/>
    <n v="1"/>
    <s v="1"/>
    <s v="1"/>
    <n v="3"/>
    <n v="14.285714285714286"/>
    <n v="0"/>
    <n v="0"/>
    <n v="0"/>
    <n v="0"/>
    <n v="18"/>
    <n v="85.71428571428571"/>
    <n v="21"/>
  </r>
  <r>
    <s v="UC0i7LThQxYduRaEcYIdrU1g"/>
    <s v="UCqbOeHaAUXw9Il7sBVG3_bw"/>
    <s v="192, 192, 192"/>
    <n v="3"/>
    <m/>
    <n v="40"/>
    <m/>
    <m/>
    <m/>
    <m/>
    <s v="No"/>
    <n v="606"/>
    <m/>
    <m/>
    <s v="Commented Video"/>
    <x v="0"/>
    <s v="Exam....in one hour.."/>
    <s v="UC0i7LThQxYduRaEcYIdrU1g"/>
    <s v="D B"/>
    <s v="http://www.youtube.com/channel/UC0i7LThQxYduRaEcYIdrU1g"/>
    <m/>
    <s v="QYWNXp36O48"/>
    <s v="https://www.youtube.com/watch?v=QYWNXp36O48"/>
    <s v="none"/>
    <n v="1"/>
    <x v="603"/>
    <d v="2021-05-25T08:30:11.000"/>
    <m/>
    <m/>
    <s v=""/>
    <n v="1"/>
    <s v="1"/>
    <s v="1"/>
    <n v="0"/>
    <n v="0"/>
    <n v="0"/>
    <n v="0"/>
    <n v="0"/>
    <n v="0"/>
    <n v="4"/>
    <n v="100"/>
    <n v="4"/>
  </r>
  <r>
    <s v="UCZOI5uwoiAZBOOZGV8U8Awg"/>
    <s v="UCqbOeHaAUXw9Il7sBVG3_bw"/>
    <s v="192, 192, 192"/>
    <n v="3"/>
    <m/>
    <n v="40"/>
    <m/>
    <m/>
    <m/>
    <m/>
    <s v="No"/>
    <n v="607"/>
    <m/>
    <m/>
    <s v="Commented Video"/>
    <x v="0"/>
    <s v="paper 1 moc tomorrow 🙂"/>
    <s v="UCZOI5uwoiAZBOOZGV8U8Awg"/>
    <s v="Ginge"/>
    <s v="http://www.youtube.com/channel/UCZOI5uwoiAZBOOZGV8U8Awg"/>
    <m/>
    <s v="QYWNXp36O48"/>
    <s v="https://www.youtube.com/watch?v=QYWNXp36O48"/>
    <s v="none"/>
    <n v="2"/>
    <x v="604"/>
    <d v="2021-05-27T22:12:06.000"/>
    <m/>
    <m/>
    <s v=""/>
    <n v="1"/>
    <s v="1"/>
    <s v="1"/>
    <n v="0"/>
    <n v="0"/>
    <n v="0"/>
    <n v="0"/>
    <n v="0"/>
    <n v="0"/>
    <n v="4"/>
    <n v="100"/>
    <n v="4"/>
  </r>
  <r>
    <s v="UCMixeMb71H5JegR4sF3O8_Q"/>
    <s v="UC07-dOwgza1IguKA86jqxNA"/>
    <s v="192, 192, 192"/>
    <n v="3"/>
    <m/>
    <n v="40"/>
    <m/>
    <m/>
    <m/>
    <m/>
    <s v="No"/>
    <n v="608"/>
    <m/>
    <m/>
    <s v="Commented Video"/>
    <x v="0"/>
    <s v="@oldcapemaycrab1 "/>
    <s v="UCMixeMb71H5JegR4sF3O8_Q"/>
    <s v="George Costich"/>
    <s v="http://www.youtube.com/channel/UCMixeMb71H5JegR4sF3O8_Q"/>
    <m/>
    <s v="AvwX1m4LR4w"/>
    <s v="https://www.youtube.com/watch?v=AvwX1m4LR4w"/>
    <s v="none"/>
    <n v="1"/>
    <x v="605"/>
    <d v="2011-04-28T22:04:39.000"/>
    <m/>
    <m/>
    <s v=""/>
    <n v="1"/>
    <s v="5"/>
    <s v="5"/>
    <n v="0"/>
    <n v="0"/>
    <n v="0"/>
    <n v="0"/>
    <n v="0"/>
    <n v="0"/>
    <n v="1"/>
    <n v="100"/>
    <n v="1"/>
  </r>
  <r>
    <s v="UCLyTiWHuzU_EuTFdfAAD-EA"/>
    <s v="UC07-dOwgza1IguKA86jqxNA"/>
    <s v="192, 192, 192"/>
    <n v="3"/>
    <m/>
    <n v="40"/>
    <m/>
    <m/>
    <m/>
    <m/>
    <s v="No"/>
    <n v="609"/>
    <m/>
    <m/>
    <s v="Commented Video"/>
    <x v="0"/>
    <s v="We look forward to this coming summit for NCD control. "/>
    <s v="UCLyTiWHuzU_EuTFdfAAD-EA"/>
    <s v="The George Institute"/>
    <s v="http://www.youtube.com/channel/UCLyTiWHuzU_EuTFdfAAD-EA"/>
    <m/>
    <s v="AvwX1m4LR4w"/>
    <s v="https://www.youtube.com/watch?v=AvwX1m4LR4w"/>
    <s v="none"/>
    <n v="1"/>
    <x v="606"/>
    <d v="2011-06-01T07:23:36.000"/>
    <m/>
    <m/>
    <s v=""/>
    <n v="1"/>
    <s v="5"/>
    <s v="5"/>
    <n v="0"/>
    <n v="0"/>
    <n v="0"/>
    <n v="0"/>
    <n v="0"/>
    <n v="0"/>
    <n v="10"/>
    <n v="100"/>
    <n v="10"/>
  </r>
  <r>
    <s v="UCpyxjvX8EybTbZlnyoubqKQ"/>
    <s v="UCT7a_fVlSrjOs9jyvtH-uhA"/>
    <s v="192, 192, 192"/>
    <n v="3"/>
    <m/>
    <n v="40"/>
    <m/>
    <m/>
    <m/>
    <m/>
    <s v="No"/>
    <n v="610"/>
    <m/>
    <m/>
    <s v="Commented Video"/>
    <x v="0"/>
    <s v="Thanks for this"/>
    <s v="UCpyxjvX8EybTbZlnyoubqKQ"/>
    <s v="Reynaldo Canario Juan TV"/>
    <s v="http://www.youtube.com/channel/UCpyxjvX8EybTbZlnyoubqKQ"/>
    <m/>
    <s v="Uuk8iIhq-Do"/>
    <s v="https://www.youtube.com/watch?v=Uuk8iIhq-Do"/>
    <s v="none"/>
    <n v="0"/>
    <x v="607"/>
    <d v="2021-04-28T12:02:29.000"/>
    <m/>
    <m/>
    <s v=""/>
    <n v="1"/>
    <s v="22"/>
    <s v="22"/>
    <n v="0"/>
    <n v="0"/>
    <n v="0"/>
    <n v="0"/>
    <n v="0"/>
    <n v="0"/>
    <n v="3"/>
    <n v="100"/>
    <n v="3"/>
  </r>
  <r>
    <s v="UCJCl1Qw-Uor9xnVdfuhcH0Q"/>
    <s v="UCTl32ukBGG3FGRX7ZfZwVTw"/>
    <s v="192, 192, 192"/>
    <n v="3"/>
    <m/>
    <n v="40"/>
    <m/>
    <m/>
    <m/>
    <m/>
    <s v="No"/>
    <n v="611"/>
    <m/>
    <m/>
    <s v="Commented Video"/>
    <x v="0"/>
    <s v="how can i download this video"/>
    <s v="UCJCl1Qw-Uor9xnVdfuhcH0Q"/>
    <s v="prudence pineda"/>
    <s v="http://www.youtube.com/channel/UCJCl1Qw-Uor9xnVdfuhcH0Q"/>
    <m/>
    <s v="uGHwpg-fJvc"/>
    <s v="https://www.youtube.com/watch?v=uGHwpg-fJvc"/>
    <s v="none"/>
    <n v="2"/>
    <x v="608"/>
    <d v="2018-02-05T04:56:10.000"/>
    <m/>
    <m/>
    <s v=""/>
    <n v="1"/>
    <s v="4"/>
    <s v="4"/>
    <n v="0"/>
    <n v="0"/>
    <n v="0"/>
    <n v="0"/>
    <n v="0"/>
    <n v="0"/>
    <n v="6"/>
    <n v="100"/>
    <n v="6"/>
  </r>
  <r>
    <s v="UC7rNPh7zNnIm-1yWgTKmYrw"/>
    <s v="UCTl32ukBGG3FGRX7ZfZwVTw"/>
    <s v="192, 192, 192"/>
    <n v="3"/>
    <m/>
    <n v="40"/>
    <m/>
    <m/>
    <m/>
    <m/>
    <s v="No"/>
    <n v="612"/>
    <m/>
    <m/>
    <s v="Commented Video"/>
    <x v="0"/>
    <s v="I understood it"/>
    <s v="UC7rNPh7zNnIm-1yWgTKmYrw"/>
    <s v="nandini kore"/>
    <s v="http://www.youtube.com/channel/UC7rNPh7zNnIm-1yWgTKmYrw"/>
    <m/>
    <s v="uGHwpg-fJvc"/>
    <s v="https://www.youtube.com/watch?v=uGHwpg-fJvc"/>
    <s v="none"/>
    <n v="2"/>
    <x v="609"/>
    <d v="2018-07-10T16:04:53.000"/>
    <m/>
    <m/>
    <s v=""/>
    <n v="1"/>
    <s v="4"/>
    <s v="4"/>
    <n v="0"/>
    <n v="0"/>
    <n v="0"/>
    <n v="0"/>
    <n v="0"/>
    <n v="0"/>
    <n v="3"/>
    <n v="100"/>
    <n v="3"/>
  </r>
  <r>
    <s v="UC5f6Lx2sf0O43HKt0G5_4YA"/>
    <s v="UCTl32ukBGG3FGRX7ZfZwVTw"/>
    <s v="192, 192, 192"/>
    <n v="3"/>
    <m/>
    <n v="40"/>
    <m/>
    <m/>
    <m/>
    <m/>
    <s v="No"/>
    <n v="613"/>
    <m/>
    <m/>
    <s v="Commented Video"/>
    <x v="0"/>
    <s v="Useful video"/>
    <s v="UC5f6Lx2sf0O43HKt0G5_4YA"/>
    <s v="Lka Ajith"/>
    <s v="http://www.youtube.com/channel/UC5f6Lx2sf0O43HKt0G5_4YA"/>
    <m/>
    <s v="uGHwpg-fJvc"/>
    <s v="https://www.youtube.com/watch?v=uGHwpg-fJvc"/>
    <s v="none"/>
    <n v="4"/>
    <x v="610"/>
    <d v="2018-12-27T15:07:23.000"/>
    <m/>
    <m/>
    <s v=""/>
    <n v="1"/>
    <s v="4"/>
    <s v="4"/>
    <n v="1"/>
    <n v="50"/>
    <n v="0"/>
    <n v="0"/>
    <n v="0"/>
    <n v="0"/>
    <n v="1"/>
    <n v="50"/>
    <n v="2"/>
  </r>
  <r>
    <s v="UC2m5BR47ai-hasWinpJQIrQ"/>
    <s v="UCTl32ukBGG3FGRX7ZfZwVTw"/>
    <s v="192, 192, 192"/>
    <n v="3"/>
    <m/>
    <n v="40"/>
    <m/>
    <m/>
    <m/>
    <m/>
    <s v="No"/>
    <n v="614"/>
    <m/>
    <m/>
    <s v="Commented Video"/>
    <x v="0"/>
    <s v="Nice video"/>
    <s v="UC2m5BR47ai-hasWinpJQIrQ"/>
    <s v="vaishali sasane"/>
    <s v="http://www.youtube.com/channel/UC2m5BR47ai-hasWinpJQIrQ"/>
    <m/>
    <s v="uGHwpg-fJvc"/>
    <s v="https://www.youtube.com/watch?v=uGHwpg-fJvc"/>
    <s v="none"/>
    <n v="2"/>
    <x v="611"/>
    <d v="2019-02-27T15:20:50.000"/>
    <m/>
    <m/>
    <s v=""/>
    <n v="1"/>
    <s v="4"/>
    <s v="4"/>
    <n v="1"/>
    <n v="50"/>
    <n v="0"/>
    <n v="0"/>
    <n v="0"/>
    <n v="0"/>
    <n v="1"/>
    <n v="50"/>
    <n v="2"/>
  </r>
  <r>
    <s v="UC_k3eP9m8U3bW2ByWs3BRlg"/>
    <s v="UC4NI7ilrRqfiK8xMUG1dZ0w"/>
    <s v="192, 192, 192"/>
    <n v="3"/>
    <m/>
    <n v="40"/>
    <m/>
    <m/>
    <m/>
    <m/>
    <s v="No"/>
    <n v="615"/>
    <m/>
    <m/>
    <s v="Replied Comment"/>
    <x v="1"/>
    <s v="Me too!"/>
    <s v="UC_k3eP9m8U3bW2ByWs3BRlg"/>
    <s v="SkippyUnicorn"/>
    <s v="http://www.youtube.com/channel/UC_k3eP9m8U3bW2ByWs3BRlg"/>
    <s v="UgxBk7VUoGkrZfkPX0B4AaABAg"/>
    <s v="uGHwpg-fJvc"/>
    <s v="https://www.youtube.com/watch?v=uGHwpg-fJvc"/>
    <s v="none"/>
    <n v="0"/>
    <x v="612"/>
    <d v="2021-03-02T13:10:55.000"/>
    <m/>
    <m/>
    <s v=""/>
    <n v="1"/>
    <s v="3"/>
    <s v="3"/>
    <n v="0"/>
    <n v="0"/>
    <n v="0"/>
    <n v="0"/>
    <n v="0"/>
    <n v="0"/>
    <n v="2"/>
    <n v="100"/>
    <n v="2"/>
  </r>
  <r>
    <s v="UC4NI7ilrRqfiK8xMUG1dZ0w"/>
    <s v="UCTl32ukBGG3FGRX7ZfZwVTw"/>
    <s v="192, 192, 192"/>
    <n v="3"/>
    <m/>
    <n v="40"/>
    <m/>
    <m/>
    <m/>
    <m/>
    <s v="No"/>
    <n v="616"/>
    <m/>
    <m/>
    <s v="Commented Video"/>
    <x v="0"/>
    <s v="now I can distinguish comunicable disease and non comunicable disease"/>
    <s v="UC4NI7ilrRqfiK8xMUG1dZ0w"/>
    <s v="Sigek Wedar"/>
    <s v="http://www.youtube.com/channel/UC4NI7ilrRqfiK8xMUG1dZ0w"/>
    <m/>
    <s v="uGHwpg-fJvc"/>
    <s v="https://www.youtube.com/watch?v=uGHwpg-fJvc"/>
    <s v="none"/>
    <n v="4"/>
    <x v="613"/>
    <d v="2019-03-24T05:49:42.000"/>
    <m/>
    <m/>
    <s v=""/>
    <n v="1"/>
    <s v="3"/>
    <s v="4"/>
    <n v="0"/>
    <n v="0"/>
    <n v="0"/>
    <n v="0"/>
    <n v="0"/>
    <n v="0"/>
    <n v="10"/>
    <n v="100"/>
    <n v="10"/>
  </r>
  <r>
    <s v="UCEQkX3yQvmG-23u9b8lvmuw"/>
    <s v="UCTl32ukBGG3FGRX7ZfZwVTw"/>
    <s v="192, 192, 192"/>
    <n v="3"/>
    <m/>
    <n v="40"/>
    <m/>
    <m/>
    <m/>
    <m/>
    <s v="No"/>
    <n v="617"/>
    <m/>
    <m/>
    <s v="Commented Video"/>
    <x v="0"/>
    <s v="Thank you, this video is very helpful to me :)"/>
    <s v="UCEQkX3yQvmG-23u9b8lvmuw"/>
    <s v="Rezitha Devia"/>
    <s v="http://www.youtube.com/channel/UCEQkX3yQvmG-23u9b8lvmuw"/>
    <m/>
    <s v="uGHwpg-fJvc"/>
    <s v="https://www.youtube.com/watch?v=uGHwpg-fJvc"/>
    <s v="none"/>
    <n v="4"/>
    <x v="614"/>
    <d v="2019-04-03T16:37:49.000"/>
    <m/>
    <m/>
    <s v=""/>
    <n v="1"/>
    <s v="4"/>
    <s v="4"/>
    <n v="2"/>
    <n v="22.22222222222222"/>
    <n v="0"/>
    <n v="0"/>
    <n v="0"/>
    <n v="0"/>
    <n v="7"/>
    <n v="77.77777777777777"/>
    <n v="9"/>
  </r>
  <r>
    <s v="UCNpJn9ONNVoW_DGiP6khUFg"/>
    <s v="UCTl32ukBGG3FGRX7ZfZwVTw"/>
    <s v="192, 192, 192"/>
    <n v="3"/>
    <m/>
    <n v="40"/>
    <m/>
    <m/>
    <m/>
    <m/>
    <s v="No"/>
    <n v="618"/>
    <m/>
    <m/>
    <s v="Commented Video"/>
    <x v="0"/>
    <s v="hi top set people 🤣"/>
    <s v="UCNpJn9ONNVoW_DGiP6khUFg"/>
    <s v="kami uses rinnegan"/>
    <s v="http://www.youtube.com/channel/UCNpJn9ONNVoW_DGiP6khUFg"/>
    <m/>
    <s v="uGHwpg-fJvc"/>
    <s v="https://www.youtube.com/watch?v=uGHwpg-fJvc"/>
    <s v="none"/>
    <n v="5"/>
    <x v="615"/>
    <d v="2019-09-24T22:43:27.000"/>
    <m/>
    <m/>
    <s v=""/>
    <n v="1"/>
    <s v="4"/>
    <s v="4"/>
    <n v="1"/>
    <n v="25"/>
    <n v="0"/>
    <n v="0"/>
    <n v="0"/>
    <n v="0"/>
    <n v="3"/>
    <n v="75"/>
    <n v="4"/>
  </r>
  <r>
    <s v="UCzIbFH6UUwsRNVzmNkSUjiw"/>
    <s v="UCTl32ukBGG3FGRX7ZfZwVTw"/>
    <s v="192, 192, 192"/>
    <n v="3"/>
    <m/>
    <n v="40"/>
    <m/>
    <m/>
    <m/>
    <m/>
    <s v="No"/>
    <n v="619"/>
    <m/>
    <m/>
    <s v="Commented Video"/>
    <x v="0"/>
    <s v="Great Video!"/>
    <s v="UCzIbFH6UUwsRNVzmNkSUjiw"/>
    <s v="Ethan Waire"/>
    <s v="http://www.youtube.com/channel/UCzIbFH6UUwsRNVzmNkSUjiw"/>
    <m/>
    <s v="uGHwpg-fJvc"/>
    <s v="https://www.youtube.com/watch?v=uGHwpg-fJvc"/>
    <s v="none"/>
    <n v="3"/>
    <x v="616"/>
    <d v="2020-08-26T17:41:21.000"/>
    <m/>
    <m/>
    <s v=""/>
    <n v="1"/>
    <s v="4"/>
    <s v="4"/>
    <n v="1"/>
    <n v="50"/>
    <n v="0"/>
    <n v="0"/>
    <n v="0"/>
    <n v="0"/>
    <n v="1"/>
    <n v="50"/>
    <n v="2"/>
  </r>
  <r>
    <s v="UC4v9ixY7tjtvkKVlE8vXygQ"/>
    <s v="UCTl32ukBGG3FGRX7ZfZwVTw"/>
    <s v="192, 192, 192"/>
    <n v="3"/>
    <m/>
    <n v="40"/>
    <m/>
    <m/>
    <m/>
    <m/>
    <s v="No"/>
    <n v="620"/>
    <m/>
    <m/>
    <s v="Commented Video"/>
    <x v="0"/>
    <s v="Bad video"/>
    <s v="UC4v9ixY7tjtvkKVlE8vXygQ"/>
    <s v="nee"/>
    <s v="http://www.youtube.com/channel/UC4v9ixY7tjtvkKVlE8vXygQ"/>
    <m/>
    <s v="uGHwpg-fJvc"/>
    <s v="https://www.youtube.com/watch?v=uGHwpg-fJvc"/>
    <s v="none"/>
    <n v="5"/>
    <x v="617"/>
    <d v="2020-09-22T03:41:38.000"/>
    <m/>
    <m/>
    <s v=""/>
    <n v="1"/>
    <s v="4"/>
    <s v="4"/>
    <n v="0"/>
    <n v="0"/>
    <n v="1"/>
    <n v="50"/>
    <n v="0"/>
    <n v="0"/>
    <n v="1"/>
    <n v="50"/>
    <n v="2"/>
  </r>
  <r>
    <s v="UCR035xkdm31BkKQVhUyqB9g"/>
    <s v="UCTl32ukBGG3FGRX7ZfZwVTw"/>
    <s v="192, 192, 192"/>
    <n v="3"/>
    <m/>
    <n v="40"/>
    <m/>
    <m/>
    <m/>
    <m/>
    <s v="No"/>
    <n v="621"/>
    <m/>
    <m/>
    <s v="Commented Video"/>
    <x v="0"/>
    <s v="Good"/>
    <s v="UCR035xkdm31BkKQVhUyqB9g"/>
    <s v="Ayush Singh"/>
    <s v="http://www.youtube.com/channel/UCR035xkdm31BkKQVhUyqB9g"/>
    <m/>
    <s v="uGHwpg-fJvc"/>
    <s v="https://www.youtube.com/watch?v=uGHwpg-fJvc"/>
    <s v="none"/>
    <n v="1"/>
    <x v="618"/>
    <d v="2020-11-10T13:06:25.000"/>
    <m/>
    <m/>
    <s v=""/>
    <n v="1"/>
    <s v="4"/>
    <s v="4"/>
    <n v="1"/>
    <n v="100"/>
    <n v="0"/>
    <n v="0"/>
    <n v="0"/>
    <n v="0"/>
    <n v="0"/>
    <n v="0"/>
    <n v="1"/>
  </r>
  <r>
    <s v="UCZjlaVgXMjuKH5ebn207-lQ"/>
    <s v="UCTl32ukBGG3FGRX7ZfZwVTw"/>
    <s v="192, 192, 192"/>
    <n v="3"/>
    <m/>
    <n v="40"/>
    <m/>
    <m/>
    <m/>
    <m/>
    <s v="No"/>
    <n v="622"/>
    <m/>
    <m/>
    <s v="Commented Video"/>
    <x v="0"/>
    <s v="Lol"/>
    <s v="UCZjlaVgXMjuKH5ebn207-lQ"/>
    <s v="SteveNathn"/>
    <s v="http://www.youtube.com/channel/UCZjlaVgXMjuKH5ebn207-lQ"/>
    <m/>
    <s v="uGHwpg-fJvc"/>
    <s v="https://www.youtube.com/watch?v=uGHwpg-fJvc"/>
    <s v="none"/>
    <n v="1"/>
    <x v="619"/>
    <d v="2021-02-15T04:24:04.000"/>
    <m/>
    <m/>
    <s v=""/>
    <n v="1"/>
    <s v="4"/>
    <s v="4"/>
    <n v="0"/>
    <n v="0"/>
    <n v="0"/>
    <n v="0"/>
    <n v="0"/>
    <n v="0"/>
    <n v="1"/>
    <n v="100"/>
    <n v="1"/>
  </r>
  <r>
    <s v="UCgTNsNpvgKhJTjwXB7aU01w"/>
    <s v="UCTl32ukBGG3FGRX7ZfZwVTw"/>
    <s v="192, 192, 192"/>
    <n v="3"/>
    <m/>
    <n v="40"/>
    <m/>
    <m/>
    <m/>
    <m/>
    <s v="No"/>
    <n v="623"/>
    <m/>
    <m/>
    <s v="Commented Video"/>
    <x v="0"/>
    <s v="Thank you mam"/>
    <s v="UCgTNsNpvgKhJTjwXB7aU01w"/>
    <s v="Saswati Ghosh Roy"/>
    <s v="http://www.youtube.com/channel/UCgTNsNpvgKhJTjwXB7aU01w"/>
    <m/>
    <s v="uGHwpg-fJvc"/>
    <s v="https://www.youtube.com/watch?v=uGHwpg-fJvc"/>
    <s v="none"/>
    <n v="0"/>
    <x v="620"/>
    <d v="2021-02-24T10:16:57.000"/>
    <m/>
    <m/>
    <s v=""/>
    <n v="1"/>
    <s v="4"/>
    <s v="4"/>
    <n v="1"/>
    <n v="33.333333333333336"/>
    <n v="0"/>
    <n v="0"/>
    <n v="0"/>
    <n v="0"/>
    <n v="2"/>
    <n v="66.66666666666667"/>
    <n v="3"/>
  </r>
  <r>
    <s v="UCvE3AycU51EI-M1VKvfL2QA"/>
    <s v="UCTl32ukBGG3FGRX7ZfZwVTw"/>
    <s v="192, 192, 192"/>
    <n v="3"/>
    <m/>
    <n v="40"/>
    <m/>
    <m/>
    <m/>
    <m/>
    <s v="No"/>
    <n v="624"/>
    <m/>
    <m/>
    <s v="Commented Video"/>
    <x v="0"/>
    <s v="Nice video 📷📷📷📷📷📷📷"/>
    <s v="UCvE3AycU51EI-M1VKvfL2QA"/>
    <s v="Jenine Grant"/>
    <s v="http://www.youtube.com/channel/UCvE3AycU51EI-M1VKvfL2QA"/>
    <m/>
    <s v="uGHwpg-fJvc"/>
    <s v="https://www.youtube.com/watch?v=uGHwpg-fJvc"/>
    <s v="none"/>
    <n v="1"/>
    <x v="621"/>
    <d v="2021-02-24T16:06:20.000"/>
    <m/>
    <m/>
    <s v=""/>
    <n v="1"/>
    <s v="4"/>
    <s v="4"/>
    <n v="1"/>
    <n v="50"/>
    <n v="0"/>
    <n v="0"/>
    <n v="0"/>
    <n v="0"/>
    <n v="1"/>
    <n v="50"/>
    <n v="2"/>
  </r>
  <r>
    <s v="UCAjsfSZRjfSov7JeArnUf4Q"/>
    <s v="UCTl32ukBGG3FGRX7ZfZwVTw"/>
    <s v="192, 192, 192"/>
    <n v="3"/>
    <m/>
    <n v="40"/>
    <m/>
    <m/>
    <m/>
    <m/>
    <s v="No"/>
    <n v="625"/>
    <m/>
    <m/>
    <s v="Commented Video"/>
    <x v="0"/>
    <s v="L"/>
    <s v="UCAjsfSZRjfSov7JeArnUf4Q"/>
    <s v="Prem Kumar"/>
    <s v="http://www.youtube.com/channel/UCAjsfSZRjfSov7JeArnUf4Q"/>
    <m/>
    <s v="uGHwpg-fJvc"/>
    <s v="https://www.youtube.com/watch?v=uGHwpg-fJvc"/>
    <s v="none"/>
    <n v="0"/>
    <x v="622"/>
    <d v="2021-03-03T09:10:52.000"/>
    <m/>
    <m/>
    <s v=""/>
    <n v="1"/>
    <s v="4"/>
    <s v="4"/>
    <n v="0"/>
    <n v="0"/>
    <n v="0"/>
    <n v="0"/>
    <n v="0"/>
    <n v="0"/>
    <n v="1"/>
    <n v="100"/>
    <n v="1"/>
  </r>
  <r>
    <s v="UCHprdtYyCzc5-fcSNXCUd7A"/>
    <s v="UCTl32ukBGG3FGRX7ZfZwVTw"/>
    <s v="Red"/>
    <n v="10"/>
    <m/>
    <n v="15"/>
    <m/>
    <m/>
    <m/>
    <m/>
    <s v="No"/>
    <n v="626"/>
    <m/>
    <m/>
    <s v="Commented Video"/>
    <x v="0"/>
    <s v="So right to say thanks to Doctor ojie on YouTube for helping terminate my herpes permanently, through is natural herbs medication."/>
    <s v="UCHprdtYyCzc5-fcSNXCUd7A"/>
    <s v="Jeffery West"/>
    <s v="http://www.youtube.com/channel/UCHprdtYyCzc5-fcSNXCUd7A"/>
    <m/>
    <s v="vpEAos0blyw"/>
    <s v="https://www.youtube.com/watch?v=vpEAos0blyw"/>
    <s v="none"/>
    <n v="0"/>
    <x v="623"/>
    <d v="2021-04-27T15:43:35.000"/>
    <m/>
    <m/>
    <s v=""/>
    <n v="2"/>
    <s v="4"/>
    <s v="4"/>
    <n v="2"/>
    <n v="9.523809523809524"/>
    <n v="0"/>
    <n v="0"/>
    <n v="0"/>
    <n v="0"/>
    <n v="19"/>
    <n v="90.47619047619048"/>
    <n v="21"/>
  </r>
  <r>
    <s v="UCHprdtYyCzc5-fcSNXCUd7A"/>
    <s v="UCTl32ukBGG3FGRX7ZfZwVTw"/>
    <s v="Red"/>
    <n v="10"/>
    <m/>
    <n v="15"/>
    <m/>
    <m/>
    <m/>
    <m/>
    <s v="No"/>
    <n v="627"/>
    <m/>
    <m/>
    <s v="Commented Video"/>
    <x v="0"/>
    <s v="So right to say thanks to Doctor ojie on YouTube for helping terminate my herpes permanently, through is natural herbs medication."/>
    <s v="UCHprdtYyCzc5-fcSNXCUd7A"/>
    <s v="Jeffery West"/>
    <s v="http://www.youtube.com/channel/UCHprdtYyCzc5-fcSNXCUd7A"/>
    <m/>
    <s v="uGHwpg-fJvc"/>
    <s v="https://www.youtube.com/watch?v=uGHwpg-fJvc"/>
    <s v="none"/>
    <n v="0"/>
    <x v="624"/>
    <d v="2021-04-27T15:47:10.000"/>
    <m/>
    <m/>
    <s v=""/>
    <n v="2"/>
    <s v="4"/>
    <s v="4"/>
    <n v="2"/>
    <n v="9.523809523809524"/>
    <n v="0"/>
    <n v="0"/>
    <n v="0"/>
    <n v="0"/>
    <n v="19"/>
    <n v="90.47619047619048"/>
    <n v="21"/>
  </r>
  <r>
    <s v="UCHwSZKulthy0a03ykIPVEOQ"/>
    <s v="UCTl32ukBGG3FGRX7ZfZwVTw"/>
    <s v="192, 192, 192"/>
    <n v="3"/>
    <m/>
    <n v="40"/>
    <m/>
    <m/>
    <m/>
    <m/>
    <s v="No"/>
    <n v="628"/>
    <m/>
    <m/>
    <s v="Commented Video"/>
    <x v="0"/>
    <s v="Hello thank you for this"/>
    <s v="UCHwSZKulthy0a03ykIPVEOQ"/>
    <s v="Study First Instrumental Music TV"/>
    <s v="http://www.youtube.com/channel/UCHwSZKulthy0a03ykIPVEOQ"/>
    <m/>
    <s v="uGHwpg-fJvc"/>
    <s v="https://www.youtube.com/watch?v=uGHwpg-fJvc"/>
    <s v="none"/>
    <n v="0"/>
    <x v="625"/>
    <d v="2021-05-03T02:46:08.000"/>
    <m/>
    <m/>
    <s v=""/>
    <n v="1"/>
    <s v="4"/>
    <s v="4"/>
    <n v="1"/>
    <n v="20"/>
    <n v="0"/>
    <n v="0"/>
    <n v="0"/>
    <n v="0"/>
    <n v="4"/>
    <n v="80"/>
    <n v="5"/>
  </r>
  <r>
    <s v="UCX49f7UWiH1B6rW18m9Rhlw"/>
    <s v="UCTl32ukBGG3FGRX7ZfZwVTw"/>
    <s v="192, 192, 192"/>
    <n v="3"/>
    <m/>
    <n v="40"/>
    <m/>
    <m/>
    <m/>
    <m/>
    <s v="No"/>
    <n v="629"/>
    <m/>
    <m/>
    <s v="Commented Video"/>
    <x v="0"/>
    <s v="Finally I got cured of 4 years chronic lower respiratory disease, I&amp;#39;m now free ♥️♥️ ❤️ I appreciate Dr. Gbenga for his help."/>
    <s v="UCX49f7UWiH1B6rW18m9Rhlw"/>
    <s v="William Henry"/>
    <s v="http://www.youtube.com/channel/UCX49f7UWiH1B6rW18m9Rhlw"/>
    <m/>
    <s v="uGHwpg-fJvc"/>
    <s v="https://www.youtube.com/watch?v=uGHwpg-fJvc"/>
    <s v="none"/>
    <n v="0"/>
    <x v="626"/>
    <d v="2021-06-09T10:45:10.000"/>
    <m/>
    <m/>
    <s v=""/>
    <n v="1"/>
    <s v="4"/>
    <s v="4"/>
    <n v="2"/>
    <n v="8.695652173913043"/>
    <n v="1"/>
    <n v="4.3478260869565215"/>
    <n v="0"/>
    <n v="0"/>
    <n v="20"/>
    <n v="86.95652173913044"/>
    <n v="23"/>
  </r>
  <r>
    <s v="UCAmn8fQuS8x3TBLBRXr4QYQ"/>
    <s v="UC07-dOwgza1IguKA86jqxNA"/>
    <s v="Red"/>
    <n v="10"/>
    <m/>
    <n v="15"/>
    <m/>
    <m/>
    <m/>
    <m/>
    <s v="No"/>
    <n v="630"/>
    <m/>
    <m/>
    <s v="Commented Video"/>
    <x v="0"/>
    <s v="paper: Supreme Glory of Brahmacharya :)"/>
    <s v="UCAmn8fQuS8x3TBLBRXr4QYQ"/>
    <s v="JACEK DEPTUŁA"/>
    <s v="http://www.youtube.com/channel/UCAmn8fQuS8x3TBLBRXr4QYQ"/>
    <m/>
    <s v="u6lYsNsor9c"/>
    <s v="https://www.youtube.com/watch?v=u6lYsNsor9c"/>
    <s v="none"/>
    <n v="0"/>
    <x v="627"/>
    <d v="2017-09-04T10:44:16.000"/>
    <m/>
    <m/>
    <s v=""/>
    <n v="2"/>
    <s v="5"/>
    <s v="5"/>
    <n v="2"/>
    <n v="40"/>
    <n v="0"/>
    <n v="0"/>
    <n v="0"/>
    <n v="0"/>
    <n v="3"/>
    <n v="60"/>
    <n v="5"/>
  </r>
  <r>
    <s v="UCAmn8fQuS8x3TBLBRXr4QYQ"/>
    <s v="UC07-dOwgza1IguKA86jqxNA"/>
    <s v="Red"/>
    <n v="10"/>
    <m/>
    <n v="15"/>
    <m/>
    <m/>
    <m/>
    <m/>
    <s v="No"/>
    <n v="631"/>
    <m/>
    <m/>
    <s v="Commented Video"/>
    <x v="0"/>
    <s v="english is fun"/>
    <s v="UCAmn8fQuS8x3TBLBRXr4QYQ"/>
    <s v="JACEK DEPTUŁA"/>
    <s v="http://www.youtube.com/channel/UCAmn8fQuS8x3TBLBRXr4QYQ"/>
    <m/>
    <s v="MWk8XJWEiO4"/>
    <s v="https://www.youtube.com/watch?v=MWk8XJWEiO4"/>
    <s v="none"/>
    <n v="1"/>
    <x v="628"/>
    <d v="2017-10-23T16:13:10.000"/>
    <m/>
    <m/>
    <s v=""/>
    <n v="2"/>
    <s v="5"/>
    <s v="5"/>
    <n v="1"/>
    <n v="33.333333333333336"/>
    <n v="0"/>
    <n v="0"/>
    <n v="0"/>
    <n v="0"/>
    <n v="2"/>
    <n v="66.66666666666667"/>
    <n v="3"/>
  </r>
  <r>
    <s v="UCIfypgNfXhTaHAQru-uUyxg"/>
    <s v="UCwChU2l1801enAbBJJq2c0g"/>
    <s v="192, 192, 192"/>
    <n v="3"/>
    <m/>
    <n v="40"/>
    <m/>
    <m/>
    <m/>
    <m/>
    <s v="No"/>
    <n v="632"/>
    <m/>
    <m/>
    <s v="Replied Comment"/>
    <x v="1"/>
    <s v="lol what?"/>
    <s v="UCIfypgNfXhTaHAQru-uUyxg"/>
    <s v="MockALove"/>
    <s v="http://www.youtube.com/channel/UCIfypgNfXhTaHAQru-uUyxg"/>
    <s v="Ugznj2-Nn7VaV6DAV0B4AaABAg"/>
    <s v="MWk8XJWEiO4"/>
    <s v="https://www.youtube.com/watch?v=MWk8XJWEiO4"/>
    <s v="none"/>
    <n v="0"/>
    <x v="629"/>
    <d v="2017-12-03T00:57:32.000"/>
    <m/>
    <m/>
    <s v=""/>
    <n v="1"/>
    <s v="5"/>
    <s v="5"/>
    <n v="0"/>
    <n v="0"/>
    <n v="0"/>
    <n v="0"/>
    <n v="0"/>
    <n v="0"/>
    <n v="2"/>
    <n v="100"/>
    <n v="2"/>
  </r>
  <r>
    <s v="UCXluBqiQge_RLYUebJShy8w"/>
    <s v="UCwChU2l1801enAbBJJq2c0g"/>
    <s v="192, 192, 192"/>
    <n v="3"/>
    <m/>
    <n v="40"/>
    <m/>
    <m/>
    <m/>
    <m/>
    <s v="No"/>
    <n v="633"/>
    <m/>
    <m/>
    <s v="Replied Comment"/>
    <x v="1"/>
    <s v="lmao wtf"/>
    <s v="UCXluBqiQge_RLYUebJShy8w"/>
    <s v="Arrianah"/>
    <s v="http://www.youtube.com/channel/UCXluBqiQge_RLYUebJShy8w"/>
    <s v="Ugznj2-Nn7VaV6DAV0B4AaABAg"/>
    <s v="MWk8XJWEiO4"/>
    <s v="https://www.youtube.com/watch?v=MWk8XJWEiO4"/>
    <s v="none"/>
    <n v="0"/>
    <x v="630"/>
    <d v="2021-05-21T06:07:21.000"/>
    <m/>
    <m/>
    <s v=""/>
    <n v="1"/>
    <s v="5"/>
    <s v="5"/>
    <n v="0"/>
    <n v="0"/>
    <n v="0"/>
    <n v="0"/>
    <n v="0"/>
    <n v="0"/>
    <n v="2"/>
    <n v="100"/>
    <n v="2"/>
  </r>
  <r>
    <s v="UCwChU2l1801enAbBJJq2c0g"/>
    <s v="UC07-dOwgza1IguKA86jqxNA"/>
    <s v="192, 192, 192"/>
    <n v="3"/>
    <m/>
    <n v="40"/>
    <m/>
    <m/>
    <m/>
    <m/>
    <s v="No"/>
    <n v="634"/>
    <m/>
    <m/>
    <s v="Commented Video"/>
    <x v="0"/>
    <s v="how to get height&lt;br&gt;tell me #1 height medicine company"/>
    <s v="UCwChU2l1801enAbBJJq2c0g"/>
    <s v="Aryan Hussain 499"/>
    <s v="http://www.youtube.com/channel/UCwChU2l1801enAbBJJq2c0g"/>
    <m/>
    <s v="MWk8XJWEiO4"/>
    <s v="https://www.youtube.com/watch?v=MWk8XJWEiO4"/>
    <s v="none"/>
    <n v="1"/>
    <x v="631"/>
    <d v="2017-11-01T12:50:09.000"/>
    <m/>
    <m/>
    <s v=""/>
    <n v="1"/>
    <s v="5"/>
    <s v="5"/>
    <n v="0"/>
    <n v="0"/>
    <n v="0"/>
    <n v="0"/>
    <n v="0"/>
    <n v="0"/>
    <n v="11"/>
    <n v="100"/>
    <n v="11"/>
  </r>
  <r>
    <s v="UCAwNUJZntOgEy085kqcyyTg"/>
    <s v="UC07-dOwgza1IguKA86jqxNA"/>
    <s v="192, 192, 192"/>
    <n v="3"/>
    <m/>
    <n v="40"/>
    <m/>
    <m/>
    <m/>
    <m/>
    <s v="No"/>
    <n v="635"/>
    <m/>
    <m/>
    <s v="Commented Video"/>
    <x v="0"/>
    <s v="組織的犯罪集団は、東京都墨田区吾妻橋１－４－２に本部を置くESP科学研究所（代表　石井美津子）、株式会社イー・エス・ピーです。国際組織犯罪防止条約が発効されましたので、この会社とこの会社の関連施設を厳重に処罰してください。この会社がバイオテロリズムの組織的犯罪集団です。"/>
    <s v="UCAwNUJZntOgEy085kqcyyTg"/>
    <s v="kigakome"/>
    <s v="http://www.youtube.com/channel/UCAwNUJZntOgEy085kqcyyTg"/>
    <m/>
    <s v="MWk8XJWEiO4"/>
    <s v="https://www.youtube.com/watch?v=MWk8XJWEiO4"/>
    <s v="none"/>
    <n v="1"/>
    <x v="632"/>
    <d v="2017-11-18T07:19:05.000"/>
    <m/>
    <m/>
    <s v=""/>
    <n v="1"/>
    <s v="5"/>
    <s v="5"/>
    <n v="0"/>
    <n v="0"/>
    <n v="0"/>
    <n v="0"/>
    <n v="0"/>
    <n v="0"/>
    <n v="12"/>
    <n v="100"/>
    <n v="12"/>
  </r>
  <r>
    <s v="UCqCZk9JftPi0q4Ihsz27kDQ"/>
    <s v="UCcPcpbjgONtEip-VGOdTjjQ"/>
    <s v="Red"/>
    <n v="10"/>
    <m/>
    <n v="15"/>
    <m/>
    <m/>
    <m/>
    <m/>
    <s v="No"/>
    <n v="636"/>
    <m/>
    <m/>
    <s v="Replied Comment"/>
    <x v="1"/>
    <s v="Emily gacha  vsid  anrddha   serey  wrent  bireti   cxan"/>
    <s v="UCqCZk9JftPi0q4Ihsz27kDQ"/>
    <s v="anurudda Pradeep"/>
    <s v="http://www.youtube.com/channel/UCqCZk9JftPi0q4Ihsz27kDQ"/>
    <s v="UgwPucVAFEnNFxsrUrB4AaABAg"/>
    <s v="MWk8XJWEiO4"/>
    <s v="https://www.youtube.com/watch?v=MWk8XJWEiO4"/>
    <s v="none"/>
    <n v="1"/>
    <x v="633"/>
    <d v="2020-04-23T09:02:40.000"/>
    <m/>
    <m/>
    <s v=""/>
    <n v="2"/>
    <s v="5"/>
    <s v="5"/>
    <n v="0"/>
    <n v="0"/>
    <n v="0"/>
    <n v="0"/>
    <n v="0"/>
    <n v="0"/>
    <n v="8"/>
    <n v="100"/>
    <n v="8"/>
  </r>
  <r>
    <s v="UCqCZk9JftPi0q4Ihsz27kDQ"/>
    <s v="UCcPcpbjgONtEip-VGOdTjjQ"/>
    <s v="Red"/>
    <n v="10"/>
    <m/>
    <n v="15"/>
    <m/>
    <m/>
    <m/>
    <m/>
    <s v="No"/>
    <n v="637"/>
    <m/>
    <m/>
    <s v="Replied Comment"/>
    <x v="1"/>
    <s v="Emily gacha 2  yaers"/>
    <s v="UCqCZk9JftPi0q4Ihsz27kDQ"/>
    <s v="anurudda Pradeep"/>
    <s v="http://www.youtube.com/channel/UCqCZk9JftPi0q4Ihsz27kDQ"/>
    <s v="UgwPucVAFEnNFxsrUrB4AaABAg"/>
    <s v="MWk8XJWEiO4"/>
    <s v="https://www.youtube.com/watch?v=MWk8XJWEiO4"/>
    <s v="none"/>
    <n v="0"/>
    <x v="634"/>
    <d v="2020-04-23T09:08:36.000"/>
    <m/>
    <m/>
    <s v=""/>
    <n v="2"/>
    <s v="5"/>
    <s v="5"/>
    <n v="0"/>
    <n v="0"/>
    <n v="0"/>
    <n v="0"/>
    <n v="0"/>
    <n v="0"/>
    <n v="4"/>
    <n v="100"/>
    <n v="4"/>
  </r>
  <r>
    <s v="UCcPcpbjgONtEip-VGOdTjjQ"/>
    <s v="UC07-dOwgza1IguKA86jqxNA"/>
    <s v="192, 192, 192"/>
    <n v="3"/>
    <m/>
    <n v="40"/>
    <m/>
    <m/>
    <m/>
    <m/>
    <s v="No"/>
    <n v="638"/>
    <m/>
    <m/>
    <s v="Commented Video"/>
    <x v="0"/>
    <s v="Nice knowledge"/>
    <s v="UCcPcpbjgONtEip-VGOdTjjQ"/>
    <s v="Emily gacha"/>
    <s v="http://www.youtube.com/channel/UCcPcpbjgONtEip-VGOdTjjQ"/>
    <m/>
    <s v="MWk8XJWEiO4"/>
    <s v="https://www.youtube.com/watch?v=MWk8XJWEiO4"/>
    <s v="none"/>
    <n v="3"/>
    <x v="635"/>
    <d v="2018-02-25T15:16:56.000"/>
    <m/>
    <m/>
    <s v=""/>
    <n v="1"/>
    <s v="5"/>
    <s v="5"/>
    <n v="1"/>
    <n v="50"/>
    <n v="0"/>
    <n v="0"/>
    <n v="0"/>
    <n v="0"/>
    <n v="1"/>
    <n v="50"/>
    <n v="2"/>
  </r>
  <r>
    <s v="UCSLzh_2e-fC7yrOAj39TAAw"/>
    <s v="UCwSB6LON4E0a7yTaZxepNZA"/>
    <s v="192, 192, 192"/>
    <n v="3"/>
    <m/>
    <n v="40"/>
    <m/>
    <m/>
    <m/>
    <m/>
    <s v="No"/>
    <n v="639"/>
    <m/>
    <m/>
    <s v="Replied Comment"/>
    <x v="1"/>
    <s v="Obviously, it’s the WHO."/>
    <s v="UCSLzh_2e-fC7yrOAj39TAAw"/>
    <s v="Jacey Duane Aldaba"/>
    <s v="http://www.youtube.com/channel/UCSLzh_2e-fC7yrOAj39TAAw"/>
    <s v="UgzpYEHoXQHqlDzsetN4AaABAg"/>
    <s v="MWk8XJWEiO4"/>
    <s v="https://www.youtube.com/watch?v=MWk8XJWEiO4"/>
    <s v="none"/>
    <n v="0"/>
    <x v="636"/>
    <d v="2021-04-15T11:54:44.000"/>
    <m/>
    <m/>
    <s v=""/>
    <n v="1"/>
    <s v="5"/>
    <s v="5"/>
    <n v="0"/>
    <n v="0"/>
    <n v="0"/>
    <n v="0"/>
    <n v="0"/>
    <n v="0"/>
    <n v="5"/>
    <n v="100"/>
    <n v="5"/>
  </r>
  <r>
    <s v="UCwSB6LON4E0a7yTaZxepNZA"/>
    <s v="UC07-dOwgza1IguKA86jqxNA"/>
    <s v="192, 192, 192"/>
    <n v="3"/>
    <m/>
    <n v="40"/>
    <m/>
    <m/>
    <m/>
    <m/>
    <s v="No"/>
    <n v="640"/>
    <m/>
    <m/>
    <s v="Commented Video"/>
    <x v="0"/>
    <s v="Excellent information 👍😊"/>
    <s v="UCwSB6LON4E0a7yTaZxepNZA"/>
    <s v="Keerti Chaurasiya"/>
    <s v="http://www.youtube.com/channel/UCwSB6LON4E0a7yTaZxepNZA"/>
    <m/>
    <s v="MWk8XJWEiO4"/>
    <s v="https://www.youtube.com/watch?v=MWk8XJWEiO4"/>
    <s v="none"/>
    <n v="0"/>
    <x v="637"/>
    <d v="2020-11-08T16:11:57.000"/>
    <m/>
    <m/>
    <s v=""/>
    <n v="1"/>
    <s v="5"/>
    <s v="5"/>
    <n v="1"/>
    <n v="50"/>
    <n v="0"/>
    <n v="0"/>
    <n v="0"/>
    <n v="0"/>
    <n v="1"/>
    <n v="50"/>
    <n v="2"/>
  </r>
  <r>
    <s v="UC2LxcXUNLqPhJrjxhuQMT3w"/>
    <s v="UC07-dOwgza1IguKA86jqxNA"/>
    <s v="192, 192, 192"/>
    <n v="3"/>
    <m/>
    <n v="40"/>
    <m/>
    <m/>
    <m/>
    <m/>
    <s v="No"/>
    <n v="641"/>
    <m/>
    <m/>
    <s v="Commented Video"/>
    <x v="0"/>
    <s v="fuck online classes"/>
    <s v="UC2LxcXUNLqPhJrjxhuQMT3w"/>
    <s v="rvm"/>
    <s v="http://www.youtube.com/channel/UC2LxcXUNLqPhJrjxhuQMT3w"/>
    <m/>
    <s v="MWk8XJWEiO4"/>
    <s v="https://www.youtube.com/watch?v=MWk8XJWEiO4"/>
    <s v="none"/>
    <n v="0"/>
    <x v="638"/>
    <d v="2020-11-24T02:42:20.000"/>
    <m/>
    <m/>
    <s v=""/>
    <n v="1"/>
    <s v="5"/>
    <s v="5"/>
    <n v="0"/>
    <n v="0"/>
    <n v="1"/>
    <n v="33.333333333333336"/>
    <n v="0"/>
    <n v="0"/>
    <n v="2"/>
    <n v="66.66666666666667"/>
    <n v="3"/>
  </r>
  <r>
    <s v="UCXoIkjZ6kQ_h-NIKNxbOseg"/>
    <s v="UCcKWKoA7pGXi1W7BUZ2xsfg"/>
    <s v="192, 192, 192"/>
    <n v="3"/>
    <m/>
    <n v="40"/>
    <m/>
    <m/>
    <m/>
    <m/>
    <s v="No"/>
    <n v="642"/>
    <m/>
    <m/>
    <s v="Replied Comment"/>
    <x v="1"/>
    <s v="Pagal"/>
    <s v="UCXoIkjZ6kQ_h-NIKNxbOseg"/>
    <s v="Neeru Dubey"/>
    <s v="http://www.youtube.com/channel/UCXoIkjZ6kQ_h-NIKNxbOseg"/>
    <s v="UggoXkmDIiEgSXgCoAEC"/>
    <s v="fK1_SH3X2ek"/>
    <s v="https://www.youtube.com/watch?v=fK1_SH3X2ek"/>
    <s v="none"/>
    <n v="0"/>
    <x v="639"/>
    <d v="2020-05-21T07:24:08.000"/>
    <m/>
    <m/>
    <s v=""/>
    <n v="1"/>
    <s v="2"/>
    <s v="2"/>
    <n v="0"/>
    <n v="0"/>
    <n v="0"/>
    <n v="0"/>
    <n v="0"/>
    <n v="0"/>
    <n v="1"/>
    <n v="100"/>
    <n v="1"/>
  </r>
  <r>
    <s v="UCWKJSLASMS7LgiWB0B3U3VA"/>
    <s v="UCcKWKoA7pGXi1W7BUZ2xsfg"/>
    <s v="192, 192, 192"/>
    <n v="3"/>
    <m/>
    <n v="40"/>
    <m/>
    <m/>
    <m/>
    <m/>
    <s v="No"/>
    <n v="643"/>
    <m/>
    <m/>
    <s v="Replied Comment"/>
    <x v="1"/>
    <s v="Thank you! Help us to disseminate it!"/>
    <s v="UCWKJSLASMS7LgiWB0B3U3VA"/>
    <s v="Arantxa Cayón"/>
    <s v="http://www.youtube.com/channel/UCWKJSLASMS7LgiWB0B3U3VA"/>
    <s v="UggoXkmDIiEgSXgCoAEC"/>
    <s v="fK1_SH3X2ek"/>
    <s v="https://www.youtube.com/watch?v=fK1_SH3X2ek"/>
    <s v="none"/>
    <n v="0"/>
    <x v="640"/>
    <d v="2017-04-27T00:48:41.000"/>
    <m/>
    <m/>
    <s v=""/>
    <n v="1"/>
    <s v="2"/>
    <s v="2"/>
    <n v="1"/>
    <n v="14.285714285714286"/>
    <n v="0"/>
    <n v="0"/>
    <n v="0"/>
    <n v="0"/>
    <n v="6"/>
    <n v="85.71428571428571"/>
    <n v="7"/>
  </r>
  <r>
    <s v="UCsZFWQYkG-slxqG0PSAeuDg"/>
    <s v="UCcKWKoA7pGXi1W7BUZ2xsfg"/>
    <s v="192, 192, 192"/>
    <n v="3"/>
    <m/>
    <n v="40"/>
    <m/>
    <m/>
    <m/>
    <m/>
    <s v="No"/>
    <n v="644"/>
    <m/>
    <m/>
    <s v="Replied Comment"/>
    <x v="1"/>
    <s v="Stefanie Rimpel &lt;br&gt;Interesting topic, wow, follow this link to get more insights on this subject. &lt;br&gt;&lt;a href=&quot;https://gurudeseyesubai.org/hidden-causes-of-disease-3/&quot;&gt;https://gurudeseyesubai.org/hidden-causes-of-disease-3/&lt;/a&gt;"/>
    <s v="UCsZFWQYkG-slxqG0PSAeuDg"/>
    <s v="chinaenye obicheta"/>
    <s v="http://www.youtube.com/channel/UCsZFWQYkG-slxqG0PSAeuDg"/>
    <s v="UggoXkmDIiEgSXgCoAEC"/>
    <s v="fK1_SH3X2ek"/>
    <s v="https://www.youtube.com/watch?v=fK1_SH3X2ek"/>
    <s v="none"/>
    <n v="1"/>
    <x v="641"/>
    <d v="2020-04-06T01:46:47.000"/>
    <s v=" https://gurudeseyesubai.org/hidden-causes-of-disease-3/ https://gurudeseyesubai.org/hidden-causes-of-disease-3/"/>
    <s v="gurudeseyesubai.org gurudeseyesubai.org"/>
    <s v=""/>
    <n v="1"/>
    <s v="2"/>
    <s v="2"/>
    <n v="2"/>
    <n v="5.555555555555555"/>
    <n v="0"/>
    <n v="0"/>
    <n v="0"/>
    <n v="0"/>
    <n v="34"/>
    <n v="94.44444444444444"/>
    <n v="36"/>
  </r>
  <r>
    <s v="UCcKWKoA7pGXi1W7BUZ2xsfg"/>
    <s v="UCpNnv_kL4Jk8YG_VflnZpmg"/>
    <s v="192, 192, 192"/>
    <n v="3"/>
    <m/>
    <n v="40"/>
    <m/>
    <m/>
    <m/>
    <m/>
    <s v="No"/>
    <n v="645"/>
    <m/>
    <m/>
    <s v="Commented Video"/>
    <x v="0"/>
    <s v="I love this video. Simple, yet informative! Thanks for sharing."/>
    <s v="UCcKWKoA7pGXi1W7BUZ2xsfg"/>
    <s v="Stefanie Rimpel"/>
    <s v="http://www.youtube.com/channel/UCcKWKoA7pGXi1W7BUZ2xsfg"/>
    <m/>
    <s v="fK1_SH3X2ek"/>
    <s v="https://www.youtube.com/watch?v=fK1_SH3X2ek"/>
    <s v="none"/>
    <n v="22"/>
    <x v="642"/>
    <d v="2017-04-12T05:38:36.000"/>
    <m/>
    <m/>
    <s v=""/>
    <n v="1"/>
    <s v="2"/>
    <s v="2"/>
    <n v="1"/>
    <n v="10"/>
    <n v="0"/>
    <n v="0"/>
    <n v="0"/>
    <n v="0"/>
    <n v="9"/>
    <n v="90"/>
    <n v="10"/>
  </r>
  <r>
    <s v="UCWKJSLASMS7LgiWB0B3U3VA"/>
    <s v="UCAW8PZ9dS-LxMtpgSGl6srg"/>
    <s v="192, 192, 192"/>
    <n v="3"/>
    <m/>
    <n v="40"/>
    <m/>
    <m/>
    <m/>
    <m/>
    <s v="No"/>
    <n v="646"/>
    <m/>
    <m/>
    <s v="Replied Comment"/>
    <x v="1"/>
    <s v="Send an email to cayona@&lt;a href=&quot;http://paho.org/&quot;&gt;paho.org&lt;/a&gt; and I will send it to you"/>
    <s v="UCWKJSLASMS7LgiWB0B3U3VA"/>
    <s v="Arantxa Cayón"/>
    <s v="http://www.youtube.com/channel/UCWKJSLASMS7LgiWB0B3U3VA"/>
    <s v="UggMiaxZXEjAJ3gCoAEC"/>
    <s v="fK1_SH3X2ek"/>
    <s v="https://www.youtube.com/watch?v=fK1_SH3X2ek"/>
    <s v="none"/>
    <n v="1"/>
    <x v="643"/>
    <d v="2018-01-18T01:02:13.000"/>
    <s v=" http://paho.org/"/>
    <s v="paho.org"/>
    <s v=""/>
    <n v="1"/>
    <s v="2"/>
    <s v="2"/>
    <n v="0"/>
    <n v="0"/>
    <n v="0"/>
    <n v="0"/>
    <n v="0"/>
    <n v="0"/>
    <n v="20"/>
    <n v="100"/>
    <n v="20"/>
  </r>
  <r>
    <s v="UCAW8PZ9dS-LxMtpgSGl6srg"/>
    <s v="UCpNnv_kL4Jk8YG_VflnZpmg"/>
    <s v="192, 192, 192"/>
    <n v="3"/>
    <m/>
    <n v="40"/>
    <m/>
    <m/>
    <m/>
    <m/>
    <s v="No"/>
    <n v="647"/>
    <m/>
    <m/>
    <s v="Commented Video"/>
    <x v="0"/>
    <s v="Can I download it from somewhere? I would like to use it to show to my medical students."/>
    <s v="UCAW8PZ9dS-LxMtpgSGl6srg"/>
    <s v="Abhinav Vaidya"/>
    <s v="http://www.youtube.com/channel/UCAW8PZ9dS-LxMtpgSGl6srg"/>
    <m/>
    <s v="fK1_SH3X2ek"/>
    <s v="https://www.youtube.com/watch?v=fK1_SH3X2ek"/>
    <s v="none"/>
    <n v="2"/>
    <x v="644"/>
    <d v="2017-05-17T10:08:17.000"/>
    <m/>
    <m/>
    <s v=""/>
    <n v="1"/>
    <s v="2"/>
    <s v="2"/>
    <n v="1"/>
    <n v="5.555555555555555"/>
    <n v="0"/>
    <n v="0"/>
    <n v="0"/>
    <n v="0"/>
    <n v="17"/>
    <n v="94.44444444444444"/>
    <n v="18"/>
  </r>
  <r>
    <s v="UCKeFH_4Fq0vPHhSr-GO7kgg"/>
    <s v="UCTl32ukBGG3FGRX7ZfZwVTw"/>
    <s v="192, 192, 192"/>
    <n v="3"/>
    <m/>
    <n v="40"/>
    <m/>
    <m/>
    <m/>
    <m/>
    <s v="No"/>
    <n v="648"/>
    <m/>
    <m/>
    <s v="Commented Video"/>
    <x v="0"/>
    <s v="Very important n worthy video but some pictures r too sensitive to watch"/>
    <s v="UCKeFH_4Fq0vPHhSr-GO7kgg"/>
    <s v="Nirajan Pradhan"/>
    <s v="http://www.youtube.com/channel/UCKeFH_4Fq0vPHhSr-GO7kgg"/>
    <m/>
    <s v="vpEAos0blyw"/>
    <s v="https://www.youtube.com/watch?v=vpEAos0blyw"/>
    <s v="none"/>
    <n v="9"/>
    <x v="645"/>
    <d v="2018-01-01T12:46:47.000"/>
    <m/>
    <m/>
    <s v=""/>
    <n v="1"/>
    <s v="2"/>
    <s v="4"/>
    <n v="3"/>
    <n v="23.076923076923077"/>
    <n v="0"/>
    <n v="0"/>
    <n v="0"/>
    <n v="0"/>
    <n v="10"/>
    <n v="76.92307692307692"/>
    <n v="13"/>
  </r>
  <r>
    <s v="UCWKJSLASMS7LgiWB0B3U3VA"/>
    <s v="UCKeFH_4Fq0vPHhSr-GO7kgg"/>
    <s v="192, 192, 192"/>
    <n v="3"/>
    <m/>
    <n v="40"/>
    <m/>
    <m/>
    <m/>
    <m/>
    <s v="No"/>
    <n v="649"/>
    <m/>
    <m/>
    <s v="Replied Comment"/>
    <x v="1"/>
    <s v="&lt;a href=&quot;http://www.paho.org/nmh&quot;&gt;www.paho.org/nmh&lt;/a&gt;"/>
    <s v="UCWKJSLASMS7LgiWB0B3U3VA"/>
    <s v="Arantxa Cayón"/>
    <s v="http://www.youtube.com/channel/UCWKJSLASMS7LgiWB0B3U3VA"/>
    <s v="UgzsBOx3ON05WwMmKCB4AaABAg"/>
    <s v="fK1_SH3X2ek"/>
    <s v="https://www.youtube.com/watch?v=fK1_SH3X2ek"/>
    <s v="none"/>
    <n v="0"/>
    <x v="646"/>
    <d v="2019-01-27T17:48:42.000"/>
    <s v=" http://www.paho.org/nmh"/>
    <s v="paho.org"/>
    <s v=""/>
    <n v="1"/>
    <s v="2"/>
    <s v="2"/>
    <n v="0"/>
    <n v="0"/>
    <n v="0"/>
    <n v="0"/>
    <n v="0"/>
    <n v="0"/>
    <n v="12"/>
    <n v="100"/>
    <n v="12"/>
  </r>
  <r>
    <s v="UCKeFH_4Fq0vPHhSr-GO7kgg"/>
    <s v="UCpNnv_kL4Jk8YG_VflnZpmg"/>
    <s v="192, 192, 192"/>
    <n v="3"/>
    <m/>
    <n v="40"/>
    <m/>
    <m/>
    <m/>
    <m/>
    <s v="No"/>
    <n v="650"/>
    <m/>
    <m/>
    <s v="Commented Video"/>
    <x v="0"/>
    <s v="More information required plz about chronic diseases prevention"/>
    <s v="UCKeFH_4Fq0vPHhSr-GO7kgg"/>
    <s v="Nirajan Pradhan"/>
    <s v="http://www.youtube.com/channel/UCKeFH_4Fq0vPHhSr-GO7kgg"/>
    <m/>
    <s v="fK1_SH3X2ek"/>
    <s v="https://www.youtube.com/watch?v=fK1_SH3X2ek"/>
    <s v="none"/>
    <n v="1"/>
    <x v="647"/>
    <d v="2018-01-01T12:26:17.000"/>
    <m/>
    <m/>
    <s v=""/>
    <n v="1"/>
    <s v="2"/>
    <s v="2"/>
    <n v="0"/>
    <n v="0"/>
    <n v="1"/>
    <n v="12.5"/>
    <n v="0"/>
    <n v="0"/>
    <n v="7"/>
    <n v="87.5"/>
    <n v="8"/>
  </r>
  <r>
    <s v="UCnOEYCZM5jwEFOFP1NYz82A"/>
    <s v="UCpNnv_kL4Jk8YG_VflnZpmg"/>
    <s v="192, 192, 192"/>
    <n v="3"/>
    <m/>
    <n v="40"/>
    <m/>
    <m/>
    <m/>
    <m/>
    <s v="No"/>
    <n v="651"/>
    <m/>
    <m/>
    <s v="Commented Video"/>
    <x v="0"/>
    <s v="Wow good video I liked it because there were pictures"/>
    <s v="UCnOEYCZM5jwEFOFP1NYz82A"/>
    <s v="Jsh White"/>
    <s v="http://www.youtube.com/channel/UCnOEYCZM5jwEFOFP1NYz82A"/>
    <m/>
    <s v="fK1_SH3X2ek"/>
    <s v="https://www.youtube.com/watch?v=fK1_SH3X2ek"/>
    <s v="none"/>
    <n v="5"/>
    <x v="648"/>
    <d v="2018-09-09T14:15:17.000"/>
    <m/>
    <m/>
    <s v=""/>
    <n v="1"/>
    <s v="2"/>
    <s v="2"/>
    <n v="3"/>
    <n v="30"/>
    <n v="0"/>
    <n v="0"/>
    <n v="0"/>
    <n v="0"/>
    <n v="7"/>
    <n v="70"/>
    <n v="10"/>
  </r>
  <r>
    <s v="UCOG_T9dGhVa3Sf4ay-_ZLhA"/>
    <s v="UCpNnv_kL4Jk8YG_VflnZpmg"/>
    <s v="192, 192, 192"/>
    <n v="3"/>
    <m/>
    <n v="40"/>
    <m/>
    <m/>
    <m/>
    <m/>
    <s v="No"/>
    <n v="652"/>
    <m/>
    <m/>
    <s v="Commented Video"/>
    <x v="0"/>
    <s v="it is the best lecture, deserved to be benefited"/>
    <s v="UCOG_T9dGhVa3Sf4ay-_ZLhA"/>
    <s v="Assad Africa"/>
    <s v="http://www.youtube.com/channel/UCOG_T9dGhVa3Sf4ay-_ZLhA"/>
    <m/>
    <s v="fK1_SH3X2ek"/>
    <s v="https://www.youtube.com/watch?v=fK1_SH3X2ek"/>
    <s v="none"/>
    <n v="1"/>
    <x v="649"/>
    <d v="2018-11-26T09:03:13.000"/>
    <m/>
    <m/>
    <s v=""/>
    <n v="1"/>
    <s v="2"/>
    <s v="2"/>
    <n v="1"/>
    <n v="11.11111111111111"/>
    <n v="0"/>
    <n v="0"/>
    <n v="0"/>
    <n v="0"/>
    <n v="8"/>
    <n v="88.88888888888889"/>
    <n v="9"/>
  </r>
  <r>
    <s v="UCWKJSLASMS7LgiWB0B3U3VA"/>
    <s v="UC2TB_zzNN7L2i_WPEaWM-LQ"/>
    <s v="192, 192, 192"/>
    <n v="3"/>
    <m/>
    <n v="40"/>
    <m/>
    <m/>
    <m/>
    <m/>
    <s v="No"/>
    <n v="653"/>
    <m/>
    <m/>
    <s v="Replied Comment"/>
    <x v="1"/>
    <s v="We hired a company to do the video and worked with a designer."/>
    <s v="UCWKJSLASMS7LgiWB0B3U3VA"/>
    <s v="Arantxa Cayón"/>
    <s v="http://www.youtube.com/channel/UCWKJSLASMS7LgiWB0B3U3VA"/>
    <s v="Ugzdfrj9iCuNCxVrD3x4AaABAg"/>
    <s v="fK1_SH3X2ek"/>
    <s v="https://www.youtube.com/watch?v=fK1_SH3X2ek"/>
    <s v="none"/>
    <n v="3"/>
    <x v="650"/>
    <d v="2020-08-12T11:26:51.000"/>
    <m/>
    <m/>
    <s v=""/>
    <n v="1"/>
    <s v="2"/>
    <s v="2"/>
    <n v="1"/>
    <n v="7.6923076923076925"/>
    <n v="0"/>
    <n v="0"/>
    <n v="0"/>
    <n v="0"/>
    <n v="12"/>
    <n v="92.3076923076923"/>
    <n v="13"/>
  </r>
  <r>
    <s v="UCy8XLhlIl992JrAP2hgCscQ"/>
    <s v="UC2TB_zzNN7L2i_WPEaWM-LQ"/>
    <s v="Red"/>
    <n v="10"/>
    <m/>
    <n v="15"/>
    <m/>
    <m/>
    <m/>
    <m/>
    <s v="No"/>
    <n v="654"/>
    <m/>
    <m/>
    <s v="Replied Comment"/>
    <x v="1"/>
    <s v="@Arantxa Cayón oo!!!😊"/>
    <s v="UCy8XLhlIl992JrAP2hgCscQ"/>
    <s v="Sarita Devi"/>
    <s v="http://www.youtube.com/channel/UCy8XLhlIl992JrAP2hgCscQ"/>
    <s v="Ugzdfrj9iCuNCxVrD3x4AaABAg"/>
    <s v="fK1_SH3X2ek"/>
    <s v="https://www.youtube.com/watch?v=fK1_SH3X2ek"/>
    <s v="none"/>
    <n v="1"/>
    <x v="651"/>
    <d v="2020-10-20T15:55:09.000"/>
    <m/>
    <m/>
    <s v=""/>
    <n v="2"/>
    <s v="2"/>
    <s v="2"/>
    <n v="0"/>
    <n v="0"/>
    <n v="0"/>
    <n v="0"/>
    <n v="0"/>
    <n v="0"/>
    <n v="3"/>
    <n v="100"/>
    <n v="3"/>
  </r>
  <r>
    <s v="UCy8XLhlIl992JrAP2hgCscQ"/>
    <s v="UC2TB_zzNN7L2i_WPEaWM-LQ"/>
    <s v="Red"/>
    <n v="10"/>
    <m/>
    <n v="15"/>
    <m/>
    <m/>
    <m/>
    <m/>
    <s v="No"/>
    <n v="655"/>
    <m/>
    <m/>
    <s v="Replied Comment"/>
    <x v="1"/>
    <s v="@Arantxa Cayón for making a single 3min. Video we need a company....... So expensive nnaa🤔"/>
    <s v="UCy8XLhlIl992JrAP2hgCscQ"/>
    <s v="Sarita Devi"/>
    <s v="http://www.youtube.com/channel/UCy8XLhlIl992JrAP2hgCscQ"/>
    <s v="Ugzdfrj9iCuNCxVrD3x4AaABAg"/>
    <s v="fK1_SH3X2ek"/>
    <s v="https://www.youtube.com/watch?v=fK1_SH3X2ek"/>
    <s v="none"/>
    <n v="1"/>
    <x v="652"/>
    <d v="2020-10-20T15:56:25.000"/>
    <m/>
    <m/>
    <s v=""/>
    <n v="2"/>
    <s v="2"/>
    <s v="2"/>
    <n v="0"/>
    <n v="0"/>
    <n v="1"/>
    <n v="6.666666666666667"/>
    <n v="0"/>
    <n v="0"/>
    <n v="14"/>
    <n v="93.33333333333333"/>
    <n v="15"/>
  </r>
  <r>
    <s v="UC2TB_zzNN7L2i_WPEaWM-LQ"/>
    <s v="UCpNnv_kL4Jk8YG_VflnZpmg"/>
    <s v="192, 192, 192"/>
    <n v="3"/>
    <m/>
    <n v="40"/>
    <m/>
    <m/>
    <m/>
    <m/>
    <s v="No"/>
    <n v="656"/>
    <m/>
    <m/>
    <s v="Commented Video"/>
    <x v="0"/>
    <s v="Awesome video !&lt;br&gt;What is the program you used to create these type of animation ?"/>
    <s v="UC2TB_zzNN7L2i_WPEaWM-LQ"/>
    <s v="Moaz Yahia"/>
    <s v="http://www.youtube.com/channel/UC2TB_zzNN7L2i_WPEaWM-LQ"/>
    <m/>
    <s v="fK1_SH3X2ek"/>
    <s v="https://www.youtube.com/watch?v=fK1_SH3X2ek"/>
    <s v="none"/>
    <n v="4"/>
    <x v="653"/>
    <d v="2018-12-31T08:25:07.000"/>
    <m/>
    <m/>
    <s v=""/>
    <n v="1"/>
    <s v="2"/>
    <s v="2"/>
    <n v="1"/>
    <n v="6.666666666666667"/>
    <n v="0"/>
    <n v="0"/>
    <n v="0"/>
    <n v="0"/>
    <n v="14"/>
    <n v="93.33333333333333"/>
    <n v="15"/>
  </r>
  <r>
    <s v="UCjWUEivaRP01IGG5QFmYZBA"/>
    <s v="UCpNnv_kL4Jk8YG_VflnZpmg"/>
    <s v="192, 192, 192"/>
    <n v="3"/>
    <m/>
    <n v="40"/>
    <m/>
    <m/>
    <m/>
    <m/>
    <s v="No"/>
    <n v="657"/>
    <m/>
    <m/>
    <s v="Commented Video"/>
    <x v="0"/>
    <s v="N"/>
    <s v="UCjWUEivaRP01IGG5QFmYZBA"/>
    <s v="GODLIKE mactal"/>
    <s v="http://www.youtube.com/channel/UCjWUEivaRP01IGG5QFmYZBA"/>
    <m/>
    <s v="fK1_SH3X2ek"/>
    <s v="https://www.youtube.com/watch?v=fK1_SH3X2ek"/>
    <s v="none"/>
    <n v="1"/>
    <x v="654"/>
    <d v="2019-02-09T08:54:36.000"/>
    <m/>
    <m/>
    <s v=""/>
    <n v="1"/>
    <s v="2"/>
    <s v="2"/>
    <n v="0"/>
    <n v="0"/>
    <n v="0"/>
    <n v="0"/>
    <n v="0"/>
    <n v="0"/>
    <n v="1"/>
    <n v="100"/>
    <n v="1"/>
  </r>
  <r>
    <s v="UCg_EfW_2gQANwFQOUyaDa2g"/>
    <s v="UCEVgc19AwijyWr7r4Ujk9LQ"/>
    <s v="192, 192, 192"/>
    <n v="3"/>
    <m/>
    <n v="40"/>
    <m/>
    <m/>
    <m/>
    <m/>
    <s v="No"/>
    <n v="658"/>
    <m/>
    <m/>
    <s v="Replied Comment"/>
    <x v="1"/>
    <s v="yes me ;/"/>
    <s v="UCg_EfW_2gQANwFQOUyaDa2g"/>
    <s v="natalia."/>
    <s v="http://www.youtube.com/channel/UCg_EfW_2gQANwFQOUyaDa2g"/>
    <s v="UgzcrnK1kYFF4lIFFQV4AaABAg"/>
    <s v="fK1_SH3X2ek"/>
    <s v="https://www.youtube.com/watch?v=fK1_SH3X2ek"/>
    <s v="none"/>
    <n v="0"/>
    <x v="655"/>
    <d v="2019-03-01T05:09:11.000"/>
    <m/>
    <m/>
    <s v=""/>
    <n v="1"/>
    <s v="2"/>
    <s v="2"/>
    <n v="0"/>
    <n v="0"/>
    <n v="0"/>
    <n v="0"/>
    <n v="0"/>
    <n v="0"/>
    <n v="2"/>
    <n v="100"/>
    <n v="2"/>
  </r>
  <r>
    <s v="UCx54iSl43fUz1XysXN5bugg"/>
    <s v="UCEVgc19AwijyWr7r4Ujk9LQ"/>
    <s v="192, 192, 192"/>
    <n v="3"/>
    <m/>
    <n v="40"/>
    <m/>
    <m/>
    <m/>
    <m/>
    <s v="No"/>
    <n v="659"/>
    <m/>
    <m/>
    <s v="Replied Comment"/>
    <x v="1"/>
    <s v="Yep"/>
    <s v="UCx54iSl43fUz1XysXN5bugg"/>
    <s v="Mia_ _Roses"/>
    <s v="http://www.youtube.com/channel/UCx54iSl43fUz1XysXN5bugg"/>
    <s v="UgzcrnK1kYFF4lIFFQV4AaABAg"/>
    <s v="fK1_SH3X2ek"/>
    <s v="https://www.youtube.com/watch?v=fK1_SH3X2ek"/>
    <s v="none"/>
    <n v="0"/>
    <x v="656"/>
    <d v="2019-10-13T03:27:17.000"/>
    <m/>
    <m/>
    <s v=""/>
    <n v="1"/>
    <s v="2"/>
    <s v="2"/>
    <n v="0"/>
    <n v="0"/>
    <n v="0"/>
    <n v="0"/>
    <n v="0"/>
    <n v="0"/>
    <n v="1"/>
    <n v="100"/>
    <n v="1"/>
  </r>
  <r>
    <s v="UCEVgc19AwijyWr7r4Ujk9LQ"/>
    <s v="UCpNnv_kL4Jk8YG_VflnZpmg"/>
    <s v="192, 192, 192"/>
    <n v="3"/>
    <m/>
    <n v="40"/>
    <m/>
    <m/>
    <m/>
    <m/>
    <s v="No"/>
    <n v="660"/>
    <m/>
    <m/>
    <s v="Commented Video"/>
    <x v="0"/>
    <s v="Homework? Anyone?"/>
    <s v="UCEVgc19AwijyWr7r4Ujk9LQ"/>
    <s v="Jake Balls"/>
    <s v="http://www.youtube.com/channel/UCEVgc19AwijyWr7r4Ujk9LQ"/>
    <m/>
    <s v="fK1_SH3X2ek"/>
    <s v="https://www.youtube.com/watch?v=fK1_SH3X2ek"/>
    <s v="none"/>
    <n v="1"/>
    <x v="657"/>
    <d v="2019-02-09T15:26:12.000"/>
    <m/>
    <m/>
    <s v=""/>
    <n v="1"/>
    <s v="2"/>
    <s v="2"/>
    <n v="0"/>
    <n v="0"/>
    <n v="0"/>
    <n v="0"/>
    <n v="0"/>
    <n v="0"/>
    <n v="2"/>
    <n v="100"/>
    <n v="2"/>
  </r>
  <r>
    <s v="UCSJfXviTNs8Tce09VU_uAKw"/>
    <s v="UCSqoJhY0KeLismXnsp2wbGg"/>
    <s v="192, 192, 192"/>
    <n v="3"/>
    <m/>
    <n v="40"/>
    <m/>
    <m/>
    <m/>
    <m/>
    <s v="No"/>
    <n v="661"/>
    <m/>
    <m/>
    <s v="Replied Comment"/>
    <x v="1"/>
    <s v="Will like know what you learn from this too. Check the hidden causes of diseases. &lt;a href=&quot;https://gurudeseyesubai.org/hidden-causes-of-disease-3/&quot;&gt;https://gurudeseyesubai.org/hidden-causes-of-disease-3/&lt;/a&gt;"/>
    <s v="UCSJfXviTNs8Tce09VU_uAKw"/>
    <s v="Ayodeji Olopade"/>
    <s v="http://www.youtube.com/channel/UCSJfXviTNs8Tce09VU_uAKw"/>
    <s v="UgymxjBLREbCQqGfWjF4AaABAg"/>
    <s v="fK1_SH3X2ek"/>
    <s v="https://www.youtube.com/watch?v=fK1_SH3X2ek"/>
    <s v="none"/>
    <n v="1"/>
    <x v="658"/>
    <d v="2020-04-05T11:49:09.000"/>
    <s v=" https://gurudeseyesubai.org/hidden-causes-of-disease-3/ https://gurudeseyesubai.org/hidden-causes-of-disease-3/"/>
    <s v="gurudeseyesubai.org gurudeseyesubai.org"/>
    <s v=""/>
    <n v="1"/>
    <s v="2"/>
    <s v="2"/>
    <n v="1"/>
    <n v="2.9411764705882355"/>
    <n v="0"/>
    <n v="0"/>
    <n v="0"/>
    <n v="0"/>
    <n v="33"/>
    <n v="97.05882352941177"/>
    <n v="34"/>
  </r>
  <r>
    <s v="UCSqoJhY0KeLismXnsp2wbGg"/>
    <s v="UCpNnv_kL4Jk8YG_VflnZpmg"/>
    <s v="192, 192, 192"/>
    <n v="3"/>
    <m/>
    <n v="40"/>
    <m/>
    <m/>
    <m/>
    <m/>
    <s v="No"/>
    <n v="662"/>
    <m/>
    <m/>
    <s v="Commented Video"/>
    <x v="0"/>
    <s v="I love this video as well its highlight the main behavioral risk factors of NCD&amp;#39;s as well as the policy that should be put in place to deal with NCD&amp;#39;s which is getting more than 71% of all death worldwide. Thank you!!!"/>
    <s v="UCSqoJhY0KeLismXnsp2wbGg"/>
    <s v="Benjamin Tuyitegereze"/>
    <s v="http://www.youtube.com/channel/UCSqoJhY0KeLismXnsp2wbGg"/>
    <m/>
    <s v="fK1_SH3X2ek"/>
    <s v="https://www.youtube.com/watch?v=fK1_SH3X2ek"/>
    <s v="none"/>
    <n v="3"/>
    <x v="659"/>
    <d v="2019-03-27T12:09:36.000"/>
    <m/>
    <m/>
    <s v=""/>
    <n v="1"/>
    <s v="2"/>
    <s v="2"/>
    <n v="4"/>
    <n v="8.695652173913043"/>
    <n v="2"/>
    <n v="4.3478260869565215"/>
    <n v="0"/>
    <n v="0"/>
    <n v="40"/>
    <n v="86.95652173913044"/>
    <n v="46"/>
  </r>
  <r>
    <s v="UCSJfXviTNs8Tce09VU_uAKw"/>
    <s v="UCaXUE4Eg9DIxjSu3GuKHHJA"/>
    <s v="192, 192, 192"/>
    <n v="3"/>
    <m/>
    <n v="40"/>
    <m/>
    <m/>
    <m/>
    <m/>
    <s v="No"/>
    <n v="663"/>
    <m/>
    <m/>
    <s v="Replied Comment"/>
    <x v="1"/>
    <s v="Glad it did. Please see this too on some hidden causes &lt;a href=&quot;https://gurudeseyesubai.org/hidden-causes-of-disease-3/&quot;&gt;https://gurudeseyesubai.org/hidden-causes-of-disease-3/&lt;/a&gt;"/>
    <s v="UCSJfXviTNs8Tce09VU_uAKw"/>
    <s v="Ayodeji Olopade"/>
    <s v="http://www.youtube.com/channel/UCSJfXviTNs8Tce09VU_uAKw"/>
    <s v="UgzuhkDCWMOYFsNx9td4AaABAg"/>
    <s v="fK1_SH3X2ek"/>
    <s v="https://www.youtube.com/watch?v=fK1_SH3X2ek"/>
    <s v="none"/>
    <n v="0"/>
    <x v="660"/>
    <d v="2020-04-05T11:48:21.000"/>
    <s v=" https://gurudeseyesubai.org/hidden-causes-of-disease-3/ https://gurudeseyesubai.org/hidden-causes-of-disease-3/"/>
    <s v="gurudeseyesubai.org gurudeseyesubai.org"/>
    <s v=""/>
    <n v="1"/>
    <s v="2"/>
    <s v="2"/>
    <n v="1"/>
    <n v="3.3333333333333335"/>
    <n v="0"/>
    <n v="0"/>
    <n v="0"/>
    <n v="0"/>
    <n v="29"/>
    <n v="96.66666666666667"/>
    <n v="30"/>
  </r>
  <r>
    <s v="UCaXUE4Eg9DIxjSu3GuKHHJA"/>
    <s v="UCpNnv_kL4Jk8YG_VflnZpmg"/>
    <s v="192, 192, 192"/>
    <n v="3"/>
    <m/>
    <n v="40"/>
    <m/>
    <m/>
    <m/>
    <m/>
    <s v="No"/>
    <n v="664"/>
    <m/>
    <m/>
    <s v="Commented Video"/>
    <x v="0"/>
    <s v="Thank you. this video really helped me 😊"/>
    <s v="UCaXUE4Eg9DIxjSu3GuKHHJA"/>
    <s v="Duratusyifah"/>
    <s v="http://www.youtube.com/channel/UCaXUE4Eg9DIxjSu3GuKHHJA"/>
    <m/>
    <s v="fK1_SH3X2ek"/>
    <s v="https://www.youtube.com/watch?v=fK1_SH3X2ek"/>
    <s v="none"/>
    <n v="1"/>
    <x v="661"/>
    <d v="2019-04-09T13:26:06.000"/>
    <m/>
    <m/>
    <s v=""/>
    <n v="1"/>
    <s v="2"/>
    <s v="2"/>
    <n v="2"/>
    <n v="28.571428571428573"/>
    <n v="0"/>
    <n v="0"/>
    <n v="0"/>
    <n v="0"/>
    <n v="5"/>
    <n v="71.42857142857143"/>
    <n v="7"/>
  </r>
  <r>
    <s v="UCZPWJbdvBBrMxnzF6FiKm_A"/>
    <s v="UCpNnv_kL4Jk8YG_VflnZpmg"/>
    <s v="192, 192, 192"/>
    <n v="3"/>
    <m/>
    <n v="40"/>
    <m/>
    <m/>
    <m/>
    <m/>
    <s v="No"/>
    <n v="665"/>
    <m/>
    <m/>
    <s v="Commented Video"/>
    <x v="0"/>
    <s v="Thank you very much, the video is very helpful 😊"/>
    <s v="UCZPWJbdvBBrMxnzF6FiKm_A"/>
    <s v="Vhyrafhellianty Vhyra"/>
    <s v="http://www.youtube.com/channel/UCZPWJbdvBBrMxnzF6FiKm_A"/>
    <m/>
    <s v="fK1_SH3X2ek"/>
    <s v="https://www.youtube.com/watch?v=fK1_SH3X2ek"/>
    <s v="none"/>
    <n v="2"/>
    <x v="662"/>
    <d v="2019-04-09T14:55:18.000"/>
    <m/>
    <m/>
    <s v=""/>
    <n v="1"/>
    <s v="2"/>
    <s v="2"/>
    <n v="2"/>
    <n v="22.22222222222222"/>
    <n v="0"/>
    <n v="0"/>
    <n v="0"/>
    <n v="0"/>
    <n v="7"/>
    <n v="77.77777777777777"/>
    <n v="9"/>
  </r>
  <r>
    <s v="UCNW4s2hXa_zbtclkv5hF0XA"/>
    <s v="UCpNnv_kL4Jk8YG_VflnZpmg"/>
    <s v="Red"/>
    <n v="10"/>
    <m/>
    <n v="15"/>
    <m/>
    <m/>
    <m/>
    <m/>
    <s v="No"/>
    <n v="666"/>
    <m/>
    <m/>
    <s v="Commented Video"/>
    <x v="0"/>
    <s v="If higher taxes on junk food de-incentivizes people to partake of junk food, then what does raising income taxes do?"/>
    <s v="UCNW4s2hXa_zbtclkv5hF0XA"/>
    <s v="Sensei"/>
    <s v="http://www.youtube.com/channel/UCNW4s2hXa_zbtclkv5hF0XA"/>
    <m/>
    <s v="fK1_SH3X2ek"/>
    <s v="https://www.youtube.com/watch?v=fK1_SH3X2ek"/>
    <s v="none"/>
    <n v="1"/>
    <x v="663"/>
    <d v="2020-01-26T00:44:13.000"/>
    <m/>
    <m/>
    <s v=""/>
    <n v="2"/>
    <s v="2"/>
    <s v="2"/>
    <n v="0"/>
    <n v="0"/>
    <n v="2"/>
    <n v="9.523809523809524"/>
    <n v="0"/>
    <n v="0"/>
    <n v="19"/>
    <n v="90.47619047619048"/>
    <n v="21"/>
  </r>
  <r>
    <s v="UCNW4s2hXa_zbtclkv5hF0XA"/>
    <s v="UCpNnv_kL4Jk8YG_VflnZpmg"/>
    <s v="Red"/>
    <n v="10"/>
    <m/>
    <n v="15"/>
    <m/>
    <m/>
    <m/>
    <m/>
    <s v="No"/>
    <n v="667"/>
    <m/>
    <m/>
    <s v="Commented Video"/>
    <x v="0"/>
    <s v="So, the video is telling us that people are too stupid to make informed choices so the GOVERNMENT has to step in to FORCE people to comply through re-education, punitive taxation etc. What happens if people STILL want to have freewill? Gulags? &lt;br&gt;HOW VERY COMMUNIST!&lt;br&gt;Why not CUT taxes on people so they have more expendable INCOME, decrease corporate taxes and offer credits to employers to incentivize INCREASING employment numbers since people on government assistance are the MOST likely to make poor health choices?&lt;br&gt;Liberals would NEVER allow THAT!&lt;br&gt;That would take power/control over people&amp;#39;s lives away from from liberals by helping to make people economically independent by putting their lives and decisions in their OWN hands through economic independence and making MILLIONS of dependent people realize the detrimental effects excessive/punitive taxation has on citizens!&lt;br&gt;In America, the federal government only contributes about 10% to the local school budgets. BUT, the government holds MASSIVE sway over their policies because the schools have become dependent on the funds.&lt;br&gt;The schools probably spend 1/3-1/2 of the money they get just in compliance with federal regulations, but they are addicted to the money.&lt;br&gt;The SAME is true with people getting handout-it keeps them dependent which makes them COMPLIANT, just the way their communist overlords want them!"/>
    <s v="UCNW4s2hXa_zbtclkv5hF0XA"/>
    <s v="Sensei"/>
    <s v="http://www.youtube.com/channel/UCNW4s2hXa_zbtclkv5hF0XA"/>
    <m/>
    <s v="fK1_SH3X2ek"/>
    <s v="https://www.youtube.com/watch?v=fK1_SH3X2ek"/>
    <s v="none"/>
    <n v="1"/>
    <x v="664"/>
    <d v="2020-01-26T02:16:34.000"/>
    <m/>
    <m/>
    <s v=""/>
    <n v="2"/>
    <s v="2"/>
    <s v="2"/>
    <n v="2"/>
    <n v="0.8733624454148472"/>
    <n v="7"/>
    <n v="3.056768558951965"/>
    <n v="0"/>
    <n v="0"/>
    <n v="220"/>
    <n v="96.06986899563319"/>
    <n v="229"/>
  </r>
  <r>
    <s v="UCQ0xORuuU7Ym_BOdcC7oH1A"/>
    <s v="UCrCIH0x2X9Nq-qc3OyNPLZQ"/>
    <s v="192, 192, 192"/>
    <n v="3"/>
    <m/>
    <n v="40"/>
    <m/>
    <m/>
    <m/>
    <m/>
    <s v="No"/>
    <n v="668"/>
    <m/>
    <m/>
    <s v="Replied Comment"/>
    <x v="1"/>
    <s v="Qatar airways India ltd Tel"/>
    <s v="UCQ0xORuuU7Ym_BOdcC7oH1A"/>
    <s v="Fatima Mehdi"/>
    <s v="http://www.youtube.com/channel/UCQ0xORuuU7Ym_BOdcC7oH1A"/>
    <s v="UgypyQddKYvS8PkQG9l4AaABAg"/>
    <s v="fK1_SH3X2ek"/>
    <s v="https://www.youtube.com/watch?v=fK1_SH3X2ek"/>
    <s v="none"/>
    <n v="0"/>
    <x v="665"/>
    <d v="2020-05-01T13:28:29.000"/>
    <m/>
    <m/>
    <s v=""/>
    <n v="1"/>
    <s v="2"/>
    <s v="2"/>
    <n v="0"/>
    <n v="0"/>
    <n v="0"/>
    <n v="0"/>
    <n v="0"/>
    <n v="0"/>
    <n v="5"/>
    <n v="100"/>
    <n v="5"/>
  </r>
  <r>
    <s v="UCrCIH0x2X9Nq-qc3OyNPLZQ"/>
    <s v="UCpNnv_kL4Jk8YG_VflnZpmg"/>
    <s v="192, 192, 192"/>
    <n v="3"/>
    <m/>
    <n v="40"/>
    <m/>
    <m/>
    <m/>
    <m/>
    <s v="No"/>
    <n v="669"/>
    <m/>
    <m/>
    <s v="Commented Video"/>
    <x v="0"/>
    <s v="i like trains"/>
    <s v="UCrCIH0x2X9Nq-qc3OyNPLZQ"/>
    <s v="Noor Patel"/>
    <s v="http://www.youtube.com/channel/UCrCIH0x2X9Nq-qc3OyNPLZQ"/>
    <m/>
    <s v="fK1_SH3X2ek"/>
    <s v="https://www.youtube.com/watch?v=fK1_SH3X2ek"/>
    <s v="none"/>
    <n v="5"/>
    <x v="666"/>
    <d v="2020-02-09T16:36:38.000"/>
    <m/>
    <m/>
    <s v=""/>
    <n v="1"/>
    <s v="2"/>
    <s v="2"/>
    <n v="1"/>
    <n v="33.333333333333336"/>
    <n v="0"/>
    <n v="0"/>
    <n v="0"/>
    <n v="0"/>
    <n v="2"/>
    <n v="66.66666666666667"/>
    <n v="3"/>
  </r>
  <r>
    <s v="UCy8XLhlIl992JrAP2hgCscQ"/>
    <s v="UClAJGOLHfWZyl6ZKqLEnJHg"/>
    <s v="Red"/>
    <n v="10"/>
    <m/>
    <n v="15"/>
    <m/>
    <m/>
    <m/>
    <m/>
    <s v="No"/>
    <n v="670"/>
    <m/>
    <m/>
    <s v="Replied Comment"/>
    <x v="1"/>
    <s v="Me too 😂😂 , really it&amp;#39;s too funny so I gave u a like 💯👍"/>
    <s v="UCy8XLhlIl992JrAP2hgCscQ"/>
    <s v="Sarita Devi"/>
    <s v="http://www.youtube.com/channel/UCy8XLhlIl992JrAP2hgCscQ"/>
    <s v="UgyG7pkw3_qD3XIySHd4AaABAg"/>
    <s v="fK1_SH3X2ek"/>
    <s v="https://www.youtube.com/watch?v=fK1_SH3X2ek"/>
    <s v="none"/>
    <n v="1"/>
    <x v="667"/>
    <d v="2020-10-20T15:50:46.000"/>
    <m/>
    <m/>
    <s v=""/>
    <n v="2"/>
    <s v="2"/>
    <s v="2"/>
    <n v="1"/>
    <n v="7.142857142857143"/>
    <n v="1"/>
    <n v="7.142857142857143"/>
    <n v="0"/>
    <n v="0"/>
    <n v="12"/>
    <n v="85.71428571428571"/>
    <n v="14"/>
  </r>
  <r>
    <s v="UCy8XLhlIl992JrAP2hgCscQ"/>
    <s v="UClAJGOLHfWZyl6ZKqLEnJHg"/>
    <s v="Red"/>
    <n v="10"/>
    <m/>
    <n v="15"/>
    <m/>
    <m/>
    <m/>
    <m/>
    <s v="No"/>
    <n v="671"/>
    <m/>
    <m/>
    <s v="Replied Comment"/>
    <x v="1"/>
    <s v="Really it&amp;#39;s too funny 😂😂😂 so I gave u a like 💯👍, by the way my name is PRIYA"/>
    <s v="UCy8XLhlIl992JrAP2hgCscQ"/>
    <s v="Sarita Devi"/>
    <s v="http://www.youtube.com/channel/UCy8XLhlIl992JrAP2hgCscQ"/>
    <s v="UgyG7pkw3_qD3XIySHd4AaABAg"/>
    <s v="fK1_SH3X2ek"/>
    <s v="https://www.youtube.com/watch?v=fK1_SH3X2ek"/>
    <s v="none"/>
    <n v="1"/>
    <x v="668"/>
    <d v="2020-10-20T15:51:55.000"/>
    <m/>
    <m/>
    <s v=""/>
    <n v="2"/>
    <s v="2"/>
    <s v="2"/>
    <n v="1"/>
    <n v="5.2631578947368425"/>
    <n v="1"/>
    <n v="5.2631578947368425"/>
    <n v="0"/>
    <n v="0"/>
    <n v="17"/>
    <n v="89.47368421052632"/>
    <n v="19"/>
  </r>
  <r>
    <s v="UClAJGOLHfWZyl6ZKqLEnJHg"/>
    <s v="UCpNnv_kL4Jk8YG_VflnZpmg"/>
    <s v="192, 192, 192"/>
    <n v="3"/>
    <m/>
    <n v="40"/>
    <m/>
    <m/>
    <m/>
    <m/>
    <s v="No"/>
    <n v="672"/>
    <m/>
    <m/>
    <s v="Commented Video"/>
    <x v="0"/>
    <s v="I like this video because the pictures are very funny！😂😂😂"/>
    <s v="UClAJGOLHfWZyl6ZKqLEnJHg"/>
    <s v="missunun"/>
    <s v="http://www.youtube.com/channel/UClAJGOLHfWZyl6ZKqLEnJHg"/>
    <m/>
    <s v="fK1_SH3X2ek"/>
    <s v="https://www.youtube.com/watch?v=fK1_SH3X2ek"/>
    <s v="none"/>
    <n v="4"/>
    <x v="669"/>
    <d v="2020-03-05T09:45:39.000"/>
    <m/>
    <m/>
    <s v=""/>
    <n v="1"/>
    <s v="2"/>
    <s v="2"/>
    <n v="1"/>
    <n v="10"/>
    <n v="1"/>
    <n v="10"/>
    <n v="0"/>
    <n v="0"/>
    <n v="8"/>
    <n v="80"/>
    <n v="10"/>
  </r>
  <r>
    <s v="UCy7nI1ISKSL4DabMq45Yzgg"/>
    <s v="UCpNnv_kL4Jk8YG_VflnZpmg"/>
    <s v="192, 192, 192"/>
    <n v="3"/>
    <m/>
    <n v="40"/>
    <m/>
    <m/>
    <m/>
    <m/>
    <s v="No"/>
    <n v="673"/>
    <m/>
    <m/>
    <s v="Commented Video"/>
    <x v="0"/>
    <s v="Thank you for this video. It&amp;#39;s very helpful."/>
    <s v="UCy7nI1ISKSL4DabMq45Yzgg"/>
    <s v="Aiza Tibon"/>
    <s v="http://www.youtube.com/channel/UCy7nI1ISKSL4DabMq45Yzgg"/>
    <m/>
    <s v="fK1_SH3X2ek"/>
    <s v="https://www.youtube.com/watch?v=fK1_SH3X2ek"/>
    <s v="none"/>
    <n v="1"/>
    <x v="670"/>
    <d v="2020-03-05T15:24:49.000"/>
    <m/>
    <m/>
    <s v=""/>
    <n v="1"/>
    <s v="2"/>
    <s v="2"/>
    <n v="2"/>
    <n v="20"/>
    <n v="0"/>
    <n v="0"/>
    <n v="0"/>
    <n v="0"/>
    <n v="8"/>
    <n v="80"/>
    <n v="10"/>
  </r>
  <r>
    <s v="UClnojW-58I9WE8weIj_0J9A"/>
    <s v="UCAT9SfyewrfIMlREAUYjJjA"/>
    <s v="192, 192, 192"/>
    <n v="3"/>
    <m/>
    <n v="40"/>
    <m/>
    <m/>
    <m/>
    <m/>
    <s v="No"/>
    <n v="674"/>
    <m/>
    <m/>
    <s v="Replied Comment"/>
    <x v="1"/>
    <s v="me"/>
    <s v="UClnojW-58I9WE8weIj_0J9A"/>
    <s v="mystkmyke"/>
    <s v="http://www.youtube.com/channel/UClnojW-58I9WE8weIj_0J9A"/>
    <s v="Ugygkm6YzbwbNe-n9tt4AaABAg"/>
    <s v="fK1_SH3X2ek"/>
    <s v="https://www.youtube.com/watch?v=fK1_SH3X2ek"/>
    <s v="none"/>
    <n v="0"/>
    <x v="671"/>
    <d v="2020-04-01T17:40:43.000"/>
    <m/>
    <m/>
    <s v=""/>
    <n v="1"/>
    <s v="2"/>
    <s v="2"/>
    <n v="0"/>
    <n v="0"/>
    <n v="0"/>
    <n v="0"/>
    <n v="0"/>
    <n v="0"/>
    <n v="1"/>
    <n v="100"/>
    <n v="1"/>
  </r>
  <r>
    <s v="UCAT9SfyewrfIMlREAUYjJjA"/>
    <s v="UCpNnv_kL4Jk8YG_VflnZpmg"/>
    <s v="192, 192, 192"/>
    <n v="3"/>
    <m/>
    <n v="40"/>
    <m/>
    <m/>
    <m/>
    <m/>
    <s v="No"/>
    <n v="675"/>
    <m/>
    <m/>
    <s v="Commented Video"/>
    <x v="0"/>
    <s v="Whos watching this during corona break"/>
    <s v="UCAT9SfyewrfIMlREAUYjJjA"/>
    <s v="Ashley H"/>
    <s v="http://www.youtube.com/channel/UCAT9SfyewrfIMlREAUYjJjA"/>
    <m/>
    <s v="fK1_SH3X2ek"/>
    <s v="https://www.youtube.com/watch?v=fK1_SH3X2ek"/>
    <s v="none"/>
    <n v="2"/>
    <x v="672"/>
    <d v="2020-03-31T15:50:59.000"/>
    <m/>
    <m/>
    <s v=""/>
    <n v="1"/>
    <s v="2"/>
    <s v="2"/>
    <n v="0"/>
    <n v="0"/>
    <n v="1"/>
    <n v="16.666666666666668"/>
    <n v="0"/>
    <n v="0"/>
    <n v="5"/>
    <n v="83.33333333333333"/>
    <n v="6"/>
  </r>
  <r>
    <s v="UCxnol9Dl-jD2QSEVc2EZxzg"/>
    <s v="UClnojW-58I9WE8weIj_0J9A"/>
    <s v="192, 192, 192"/>
    <n v="3"/>
    <m/>
    <n v="40"/>
    <m/>
    <m/>
    <m/>
    <m/>
    <s v="No"/>
    <n v="676"/>
    <m/>
    <m/>
    <s v="Replied Comment"/>
    <x v="1"/>
    <s v="go do your school work."/>
    <s v="UCxnol9Dl-jD2QSEVc2EZxzg"/>
    <s v="Kent Robinson"/>
    <s v="http://www.youtube.com/channel/UCxnol9Dl-jD2QSEVc2EZxzg"/>
    <s v="Ugya1inrWUvvHowJAI94AaABAg"/>
    <s v="fK1_SH3X2ek"/>
    <s v="https://www.youtube.com/watch?v="/>
    <s v="none"/>
    <n v="3"/>
    <x v="673"/>
    <d v="2020-04-03T19:48:43.000"/>
    <m/>
    <m/>
    <s v=""/>
    <n v="1"/>
    <s v="2"/>
    <s v="2"/>
    <n v="1"/>
    <n v="20"/>
    <n v="0"/>
    <n v="0"/>
    <n v="0"/>
    <n v="0"/>
    <n v="4"/>
    <n v="80"/>
    <n v="5"/>
  </r>
  <r>
    <s v="UCcR3lvb6rzItuTw9H5_I2TQ"/>
    <s v="UClnojW-58I9WE8weIj_0J9A"/>
    <s v="192, 192, 192"/>
    <n v="3"/>
    <m/>
    <n v="40"/>
    <m/>
    <m/>
    <m/>
    <m/>
    <s v="No"/>
    <n v="677"/>
    <m/>
    <m/>
    <s v="Replied Comment"/>
    <x v="1"/>
    <s v="me"/>
    <s v="UCcR3lvb6rzItuTw9H5_I2TQ"/>
    <s v="kai fite"/>
    <s v="http://www.youtube.com/channel/UCcR3lvb6rzItuTw9H5_I2TQ"/>
    <s v="Ugya1inrWUvvHowJAI94AaABAg"/>
    <s v="fK1_SH3X2ek"/>
    <s v="https://www.youtube.com/watch?v="/>
    <s v="none"/>
    <n v="3"/>
    <x v="674"/>
    <d v="2020-04-08T20:59:26.000"/>
    <m/>
    <m/>
    <s v=""/>
    <n v="1"/>
    <s v="4"/>
    <s v="2"/>
    <n v="0"/>
    <n v="0"/>
    <n v="0"/>
    <n v="0"/>
    <n v="0"/>
    <n v="0"/>
    <n v="1"/>
    <n v="100"/>
    <n v="1"/>
  </r>
  <r>
    <s v="UCL1rU-jRwC0itTwpu9z7Lmg"/>
    <s v="UClnojW-58I9WE8weIj_0J9A"/>
    <s v="Red"/>
    <n v="10"/>
    <m/>
    <n v="15"/>
    <m/>
    <m/>
    <m/>
    <m/>
    <s v="No"/>
    <n v="678"/>
    <m/>
    <m/>
    <s v="Replied Comment"/>
    <x v="1"/>
    <s v="Me"/>
    <s v="UCL1rU-jRwC0itTwpu9z7Lmg"/>
    <s v="the guy in the background Gameing"/>
    <s v="http://www.youtube.com/channel/UCL1rU-jRwC0itTwpu9z7Lmg"/>
    <s v="Ugya1inrWUvvHowJAI94AaABAg"/>
    <s v="fK1_SH3X2ek"/>
    <s v="https://www.youtube.com/watch?v="/>
    <s v="none"/>
    <n v="2"/>
    <x v="675"/>
    <d v="2020-04-23T15:28:37.000"/>
    <m/>
    <m/>
    <s v=""/>
    <n v="2"/>
    <s v="2"/>
    <s v="2"/>
    <n v="0"/>
    <n v="0"/>
    <n v="0"/>
    <n v="0"/>
    <n v="0"/>
    <n v="0"/>
    <n v="1"/>
    <n v="100"/>
    <n v="1"/>
  </r>
  <r>
    <s v="UCL1rU-jRwC0itTwpu9z7Lmg"/>
    <s v="UClnojW-58I9WE8weIj_0J9A"/>
    <s v="Red"/>
    <n v="10"/>
    <m/>
    <n v="15"/>
    <m/>
    <m/>
    <m/>
    <m/>
    <s v="No"/>
    <n v="679"/>
    <m/>
    <m/>
    <s v="Replied Comment"/>
    <x v="1"/>
    <s v="@Kent Robinson make him lol"/>
    <s v="UCL1rU-jRwC0itTwpu9z7Lmg"/>
    <s v="the guy in the background Gameing"/>
    <s v="http://www.youtube.com/channel/UCL1rU-jRwC0itTwpu9z7Lmg"/>
    <s v="Ugya1inrWUvvHowJAI94AaABAg"/>
    <s v="fK1_SH3X2ek"/>
    <s v="https://www.youtube.com/watch?v="/>
    <s v="none"/>
    <n v="2"/>
    <x v="676"/>
    <d v="2020-04-23T15:36:32.000"/>
    <m/>
    <m/>
    <s v=""/>
    <n v="2"/>
    <s v="2"/>
    <s v="2"/>
    <n v="0"/>
    <n v="0"/>
    <n v="0"/>
    <n v="0"/>
    <n v="0"/>
    <n v="0"/>
    <n v="5"/>
    <n v="100"/>
    <n v="5"/>
  </r>
  <r>
    <s v="UCPb6pOgqpY3ye-z9595hDyA"/>
    <s v="UClnojW-58I9WE8weIj_0J9A"/>
    <s v="192, 192, 192"/>
    <n v="3"/>
    <m/>
    <n v="40"/>
    <m/>
    <m/>
    <m/>
    <m/>
    <s v="No"/>
    <n v="680"/>
    <m/>
    <m/>
    <s v="Replied Comment"/>
    <x v="1"/>
    <s v="from solon?"/>
    <s v="UCPb6pOgqpY3ye-z9595hDyA"/>
    <s v="Max Force"/>
    <s v="http://www.youtube.com/channel/UCPb6pOgqpY3ye-z9595hDyA"/>
    <s v="Ugya1inrWUvvHowJAI94AaABAg"/>
    <s v="fK1_SH3X2ek"/>
    <s v="https://www.youtube.com/watch?v="/>
    <s v="none"/>
    <n v="2"/>
    <x v="677"/>
    <d v="2020-04-27T17:46:13.000"/>
    <m/>
    <m/>
    <s v=""/>
    <n v="1"/>
    <s v="2"/>
    <s v="2"/>
    <n v="0"/>
    <n v="0"/>
    <n v="0"/>
    <n v="0"/>
    <n v="0"/>
    <n v="0"/>
    <n v="2"/>
    <n v="100"/>
    <n v="2"/>
  </r>
  <r>
    <s v="UCtojG0-YFF6E_STBkGB9GlA"/>
    <s v="UClnojW-58I9WE8weIj_0J9A"/>
    <s v="192, 192, 192"/>
    <n v="3"/>
    <m/>
    <n v="40"/>
    <m/>
    <m/>
    <m/>
    <m/>
    <s v="No"/>
    <n v="681"/>
    <m/>
    <m/>
    <s v="Replied Comment"/>
    <x v="1"/>
    <s v="Me 🤣"/>
    <s v="UCtojG0-YFF6E_STBkGB9GlA"/>
    <s v="Angela Oakley"/>
    <s v="http://www.youtube.com/channel/UCtojG0-YFF6E_STBkGB9GlA"/>
    <s v="Ugya1inrWUvvHowJAI94AaABAg"/>
    <s v="fK1_SH3X2ek"/>
    <s v="https://www.youtube.com/watch?v="/>
    <s v="none"/>
    <n v="1"/>
    <x v="678"/>
    <d v="2020-05-08T19:05:18.000"/>
    <m/>
    <m/>
    <s v=""/>
    <n v="1"/>
    <s v="2"/>
    <s v="2"/>
    <n v="0"/>
    <n v="0"/>
    <n v="0"/>
    <n v="0"/>
    <n v="0"/>
    <n v="0"/>
    <n v="1"/>
    <n v="100"/>
    <n v="1"/>
  </r>
  <r>
    <s v="UCVWdrNV8bxniNzRsFK-sBtg"/>
    <s v="UClnojW-58I9WE8weIj_0J9A"/>
    <s v="192, 192, 192"/>
    <n v="3"/>
    <m/>
    <n v="40"/>
    <m/>
    <m/>
    <m/>
    <m/>
    <s v="No"/>
    <n v="682"/>
    <m/>
    <m/>
    <s v="Replied Comment"/>
    <x v="1"/>
    <s v="bro, how did u know?"/>
    <s v="UCVWdrNV8bxniNzRsFK-sBtg"/>
    <s v="J. NVTN"/>
    <s v="http://www.youtube.com/channel/UCVWdrNV8bxniNzRsFK-sBtg"/>
    <s v="Ugya1inrWUvvHowJAI94AaABAg"/>
    <s v="fK1_SH3X2ek"/>
    <s v="https://www.youtube.com/watch?v="/>
    <s v="none"/>
    <n v="1"/>
    <x v="679"/>
    <d v="2020-05-13T18:56:32.000"/>
    <m/>
    <m/>
    <s v=""/>
    <n v="1"/>
    <s v="2"/>
    <s v="2"/>
    <n v="0"/>
    <n v="0"/>
    <n v="0"/>
    <n v="0"/>
    <n v="0"/>
    <n v="0"/>
    <n v="5"/>
    <n v="100"/>
    <n v="5"/>
  </r>
  <r>
    <s v="UC0-aV8W_jMNPr6pkPHoHklA"/>
    <s v="UClnojW-58I9WE8weIj_0J9A"/>
    <s v="192, 192, 192"/>
    <n v="3"/>
    <m/>
    <n v="40"/>
    <m/>
    <m/>
    <m/>
    <m/>
    <s v="No"/>
    <n v="683"/>
    <m/>
    <m/>
    <s v="Replied Comment"/>
    <x v="1"/>
    <s v="Wow🤣🤣"/>
    <s v="UC0-aV8W_jMNPr6pkPHoHklA"/>
    <s v="CHANA"/>
    <s v="http://www.youtube.com/channel/UC0-aV8W_jMNPr6pkPHoHklA"/>
    <s v="Ugya1inrWUvvHowJAI94AaABAg"/>
    <s v="fK1_SH3X2ek"/>
    <s v="https://www.youtube.com/watch?v="/>
    <s v="none"/>
    <n v="1"/>
    <x v="680"/>
    <d v="2020-06-09T20:03:00.000"/>
    <m/>
    <m/>
    <s v=""/>
    <n v="1"/>
    <s v="2"/>
    <s v="2"/>
    <n v="1"/>
    <n v="100"/>
    <n v="0"/>
    <n v="0"/>
    <n v="0"/>
    <n v="0"/>
    <n v="0"/>
    <n v="0"/>
    <n v="1"/>
  </r>
  <r>
    <s v="UCnr_NEU1KQ6uBsB0-pj7Z2Q"/>
    <s v="UClnojW-58I9WE8weIj_0J9A"/>
    <s v="192, 192, 192"/>
    <n v="3"/>
    <m/>
    <n v="40"/>
    <m/>
    <m/>
    <m/>
    <m/>
    <s v="No"/>
    <n v="684"/>
    <m/>
    <m/>
    <s v="Replied Comment"/>
    <x v="1"/>
    <s v="Me to"/>
    <s v="UCnr_NEU1KQ6uBsB0-pj7Z2Q"/>
    <s v="Julee Das"/>
    <s v="http://www.youtube.com/channel/UCnr_NEU1KQ6uBsB0-pj7Z2Q"/>
    <s v="Ugya1inrWUvvHowJAI94AaABAg"/>
    <s v="fK1_SH3X2ek"/>
    <s v="https://www.youtube.com/watch?v="/>
    <s v="none"/>
    <n v="1"/>
    <x v="681"/>
    <d v="2020-08-16T16:03:06.000"/>
    <m/>
    <m/>
    <s v=""/>
    <n v="1"/>
    <s v="2"/>
    <s v="2"/>
    <n v="0"/>
    <n v="0"/>
    <n v="0"/>
    <n v="0"/>
    <n v="0"/>
    <n v="0"/>
    <n v="2"/>
    <n v="100"/>
    <n v="2"/>
  </r>
  <r>
    <s v="UCzoCYX25FsK-ndwsTo_rNlw"/>
    <s v="UClnojW-58I9WE8weIj_0J9A"/>
    <s v="192, 192, 192"/>
    <n v="3"/>
    <m/>
    <n v="40"/>
    <m/>
    <m/>
    <m/>
    <m/>
    <s v="No"/>
    <n v="685"/>
    <m/>
    <m/>
    <s v="Replied Comment"/>
    <x v="1"/>
    <s v="My"/>
    <s v="UCzoCYX25FsK-ndwsTo_rNlw"/>
    <s v="Yuvraj Prasad"/>
    <s v="http://www.youtube.com/channel/UCzoCYX25FsK-ndwsTo_rNlw"/>
    <s v="Ugya1inrWUvvHowJAI94AaABAg"/>
    <s v="fK1_SH3X2ek"/>
    <s v="https://www.youtube.com/watch?v="/>
    <s v="none"/>
    <n v="1"/>
    <x v="682"/>
    <d v="2020-08-21T06:54:20.000"/>
    <m/>
    <m/>
    <s v=""/>
    <n v="1"/>
    <s v="2"/>
    <s v="2"/>
    <n v="0"/>
    <n v="0"/>
    <n v="0"/>
    <n v="0"/>
    <n v="0"/>
    <n v="0"/>
    <n v="1"/>
    <n v="100"/>
    <n v="1"/>
  </r>
  <r>
    <s v="UCn6p8O-NWPYAAvZ5MUzK9zw"/>
    <s v="UClnojW-58I9WE8weIj_0J9A"/>
    <s v="192, 192, 192"/>
    <n v="3"/>
    <m/>
    <n v="40"/>
    <m/>
    <m/>
    <m/>
    <m/>
    <s v="No"/>
    <n v="686"/>
    <m/>
    <m/>
    <s v="Replied Comment"/>
    <x v="1"/>
    <s v="Me"/>
    <s v="UCn6p8O-NWPYAAvZ5MUzK9zw"/>
    <s v="Addi Ifill"/>
    <s v="http://www.youtube.com/channel/UCn6p8O-NWPYAAvZ5MUzK9zw"/>
    <s v="Ugya1inrWUvvHowJAI94AaABAg"/>
    <s v="fK1_SH3X2ek"/>
    <s v="https://www.youtube.com/watch?v="/>
    <s v="none"/>
    <n v="2"/>
    <x v="683"/>
    <d v="2020-10-09T16:26:49.000"/>
    <m/>
    <m/>
    <s v=""/>
    <n v="1"/>
    <s v="2"/>
    <s v="2"/>
    <n v="0"/>
    <n v="0"/>
    <n v="0"/>
    <n v="0"/>
    <n v="0"/>
    <n v="0"/>
    <n v="1"/>
    <n v="100"/>
    <n v="1"/>
  </r>
  <r>
    <s v="UCWDyZ4tze7sg8PvKfBwjZ6w"/>
    <s v="UClnojW-58I9WE8weIj_0J9A"/>
    <s v="192, 192, 192"/>
    <n v="3"/>
    <m/>
    <n v="40"/>
    <m/>
    <m/>
    <m/>
    <m/>
    <s v="No"/>
    <n v="687"/>
    <m/>
    <m/>
    <s v="Replied Comment"/>
    <x v="1"/>
    <s v="lol same"/>
    <s v="UCWDyZ4tze7sg8PvKfBwjZ6w"/>
    <s v="Cheese"/>
    <s v="http://www.youtube.com/channel/UCWDyZ4tze7sg8PvKfBwjZ6w"/>
    <s v="Ugya1inrWUvvHowJAI94AaABAg"/>
    <s v="fK1_SH3X2ek"/>
    <s v="https://www.youtube.com/watch?v="/>
    <s v="none"/>
    <n v="2"/>
    <x v="684"/>
    <d v="2020-10-16T22:20:48.000"/>
    <m/>
    <m/>
    <s v=""/>
    <n v="1"/>
    <s v="2"/>
    <s v="2"/>
    <n v="0"/>
    <n v="0"/>
    <n v="0"/>
    <n v="0"/>
    <n v="0"/>
    <n v="0"/>
    <n v="2"/>
    <n v="100"/>
    <n v="2"/>
  </r>
  <r>
    <s v="UCGiyitvsoE0mvDymzZTN55A"/>
    <s v="UClnojW-58I9WE8weIj_0J9A"/>
    <s v="192, 192, 192"/>
    <n v="3"/>
    <m/>
    <n v="40"/>
    <m/>
    <m/>
    <m/>
    <m/>
    <s v="No"/>
    <n v="688"/>
    <m/>
    <m/>
    <s v="Replied Comment"/>
    <x v="1"/>
    <s v="Me"/>
    <s v="UCGiyitvsoE0mvDymzZTN55A"/>
    <s v="m18 87"/>
    <s v="http://www.youtube.com/channel/UCGiyitvsoE0mvDymzZTN55A"/>
    <s v="Ugya1inrWUvvHowJAI94AaABAg"/>
    <s v="fK1_SH3X2ek"/>
    <s v="https://www.youtube.com/watch?v="/>
    <s v="none"/>
    <n v="1"/>
    <x v="685"/>
    <d v="2020-12-01T14:56:09.000"/>
    <m/>
    <m/>
    <s v=""/>
    <n v="1"/>
    <s v="2"/>
    <s v="2"/>
    <n v="0"/>
    <n v="0"/>
    <n v="0"/>
    <n v="0"/>
    <n v="0"/>
    <n v="0"/>
    <n v="1"/>
    <n v="100"/>
    <n v="1"/>
  </r>
  <r>
    <s v="UCB6idNRhVqMo-V57OKOa7uQ"/>
    <s v="UClnojW-58I9WE8weIj_0J9A"/>
    <s v="Red"/>
    <n v="10"/>
    <m/>
    <n v="15"/>
    <m/>
    <m/>
    <m/>
    <m/>
    <s v="No"/>
    <n v="689"/>
    <m/>
    <m/>
    <s v="Replied Comment"/>
    <x v="1"/>
    <s v="Lmao me"/>
    <s v="UCB6idNRhVqMo-V57OKOa7uQ"/>
    <s v="That's Interesting."/>
    <s v="http://www.youtube.com/channel/UCB6idNRhVqMo-V57OKOa7uQ"/>
    <s v="Ugya1inrWUvvHowJAI94AaABAg"/>
    <s v="fK1_SH3X2ek"/>
    <s v="https://www.youtube.com/watch?v="/>
    <s v="none"/>
    <n v="1"/>
    <x v="686"/>
    <d v="2021-02-02T10:57:01.000"/>
    <m/>
    <m/>
    <s v=""/>
    <n v="2"/>
    <s v="2"/>
    <s v="2"/>
    <n v="0"/>
    <n v="0"/>
    <n v="0"/>
    <n v="0"/>
    <n v="0"/>
    <n v="0"/>
    <n v="2"/>
    <n v="100"/>
    <n v="2"/>
  </r>
  <r>
    <s v="UCB6idNRhVqMo-V57OKOa7uQ"/>
    <s v="UClnojW-58I9WE8weIj_0J9A"/>
    <s v="Red"/>
    <n v="10"/>
    <m/>
    <n v="15"/>
    <m/>
    <m/>
    <m/>
    <m/>
    <s v="No"/>
    <n v="690"/>
    <m/>
    <m/>
    <s v="Replied Comment"/>
    <x v="1"/>
    <s v="@Kent Robinson FUck off"/>
    <s v="UCB6idNRhVqMo-V57OKOa7uQ"/>
    <s v="That's Interesting."/>
    <s v="http://www.youtube.com/channel/UCB6idNRhVqMo-V57OKOa7uQ"/>
    <s v="Ugya1inrWUvvHowJAI94AaABAg"/>
    <s v="fK1_SH3X2ek"/>
    <s v="https://www.youtube.com/watch?v="/>
    <s v="none"/>
    <n v="0"/>
    <x v="687"/>
    <d v="2021-02-02T10:57:10.000"/>
    <m/>
    <m/>
    <s v=""/>
    <n v="2"/>
    <s v="2"/>
    <s v="2"/>
    <n v="0"/>
    <n v="0"/>
    <n v="1"/>
    <n v="25"/>
    <n v="0"/>
    <n v="0"/>
    <n v="3"/>
    <n v="75"/>
    <n v="4"/>
  </r>
  <r>
    <s v="UCqmW71_NOWovrUsgcCsJoaA"/>
    <s v="UClnojW-58I9WE8weIj_0J9A"/>
    <s v="192, 192, 192"/>
    <n v="3"/>
    <m/>
    <n v="40"/>
    <m/>
    <m/>
    <m/>
    <m/>
    <s v="No"/>
    <n v="691"/>
    <m/>
    <m/>
    <s v="Replied Comment"/>
    <x v="1"/>
    <s v="Mine did"/>
    <s v="UCqmW71_NOWovrUsgcCsJoaA"/>
    <s v="Elliot and friends"/>
    <s v="http://www.youtube.com/channel/UCqmW71_NOWovrUsgcCsJoaA"/>
    <s v="Ugya1inrWUvvHowJAI94AaABAg"/>
    <s v="fK1_SH3X2ek"/>
    <s v="https://www.youtube.com/watch?v="/>
    <s v="none"/>
    <n v="2"/>
    <x v="688"/>
    <d v="2021-02-10T01:39:37.000"/>
    <m/>
    <m/>
    <s v=""/>
    <n v="1"/>
    <s v="2"/>
    <s v="2"/>
    <n v="0"/>
    <n v="0"/>
    <n v="0"/>
    <n v="0"/>
    <n v="0"/>
    <n v="0"/>
    <n v="2"/>
    <n v="100"/>
    <n v="2"/>
  </r>
  <r>
    <s v="UC5c65XLWE2VC5GyFqnIwIsw"/>
    <s v="UClnojW-58I9WE8weIj_0J9A"/>
    <s v="192, 192, 192"/>
    <n v="3"/>
    <m/>
    <n v="40"/>
    <m/>
    <m/>
    <m/>
    <m/>
    <s v="No"/>
    <n v="692"/>
    <m/>
    <m/>
    <s v="Replied Comment"/>
    <x v="1"/>
    <s v="mmmeeeeeeeeeeee"/>
    <s v="UC5c65XLWE2VC5GyFqnIwIsw"/>
    <s v="Synth Vipex Xx"/>
    <s v="http://www.youtube.com/channel/UC5c65XLWE2VC5GyFqnIwIsw"/>
    <s v="Ugya1inrWUvvHowJAI94AaABAg"/>
    <s v="fK1_SH3X2ek"/>
    <s v="https://www.youtube.com/watch?v="/>
    <s v="none"/>
    <n v="0"/>
    <x v="689"/>
    <d v="2021-02-10T15:50:28.000"/>
    <m/>
    <m/>
    <s v=""/>
    <n v="1"/>
    <s v="2"/>
    <s v="2"/>
    <n v="0"/>
    <n v="0"/>
    <n v="0"/>
    <n v="0"/>
    <n v="0"/>
    <n v="0"/>
    <n v="1"/>
    <n v="100"/>
    <n v="1"/>
  </r>
  <r>
    <s v="UC3HQFQ3A1f7bOQ6Op3sO6VA"/>
    <s v="UClnojW-58I9WE8weIj_0J9A"/>
    <s v="192, 192, 192"/>
    <n v="3"/>
    <m/>
    <n v="40"/>
    <m/>
    <m/>
    <m/>
    <m/>
    <s v="No"/>
    <n v="693"/>
    <m/>
    <m/>
    <s v="Replied Comment"/>
    <x v="1"/>
    <s v="Love ur pfp"/>
    <s v="UC3HQFQ3A1f7bOQ6Op3sO6VA"/>
    <s v="Static Screen"/>
    <s v="http://www.youtube.com/channel/UC3HQFQ3A1f7bOQ6Op3sO6VA"/>
    <s v="Ugya1inrWUvvHowJAI94AaABAg"/>
    <s v="fK1_SH3X2ek"/>
    <s v="https://www.youtube.com/watch?v="/>
    <s v="none"/>
    <n v="0"/>
    <x v="690"/>
    <d v="2021-02-22T15:09:11.000"/>
    <m/>
    <m/>
    <s v=""/>
    <n v="1"/>
    <s v="2"/>
    <s v="2"/>
    <n v="1"/>
    <n v="33.333333333333336"/>
    <n v="0"/>
    <n v="0"/>
    <n v="0"/>
    <n v="0"/>
    <n v="2"/>
    <n v="66.66666666666667"/>
    <n v="3"/>
  </r>
  <r>
    <s v="UCwP0bxHg-8LXbS1QMYzhSRA"/>
    <s v="UClnojW-58I9WE8weIj_0J9A"/>
    <s v="192, 192, 192"/>
    <n v="3"/>
    <m/>
    <n v="40"/>
    <m/>
    <m/>
    <m/>
    <m/>
    <s v="No"/>
    <n v="694"/>
    <m/>
    <m/>
    <s v="Replied Comment"/>
    <x v="1"/>
    <s v="Mine"/>
    <s v="UCwP0bxHg-8LXbS1QMYzhSRA"/>
    <s v="Shakiera Clarke"/>
    <s v="http://www.youtube.com/channel/UCwP0bxHg-8LXbS1QMYzhSRA"/>
    <s v="Ugya1inrWUvvHowJAI94AaABAg"/>
    <s v="fK1_SH3X2ek"/>
    <s v="https://www.youtube.com/watch?v="/>
    <s v="none"/>
    <n v="0"/>
    <x v="691"/>
    <d v="2021-02-25T19:21:00.000"/>
    <m/>
    <m/>
    <s v=""/>
    <n v="1"/>
    <s v="2"/>
    <s v="2"/>
    <n v="0"/>
    <n v="0"/>
    <n v="0"/>
    <n v="0"/>
    <n v="0"/>
    <n v="0"/>
    <n v="1"/>
    <n v="100"/>
    <n v="1"/>
  </r>
  <r>
    <s v="UCN7DbIpJ94hcULRngZR-qRA"/>
    <s v="UClnojW-58I9WE8weIj_0J9A"/>
    <s v="192, 192, 192"/>
    <n v="3"/>
    <m/>
    <n v="40"/>
    <m/>
    <m/>
    <m/>
    <m/>
    <s v="No"/>
    <n v="695"/>
    <m/>
    <m/>
    <s v="Replied Comment"/>
    <x v="1"/>
    <s v="Mine"/>
    <s v="UCN7DbIpJ94hcULRngZR-qRA"/>
    <s v="aashray bhattad"/>
    <s v="http://www.youtube.com/channel/UCN7DbIpJ94hcULRngZR-qRA"/>
    <s v="Ugya1inrWUvvHowJAI94AaABAg"/>
    <s v="fK1_SH3X2ek"/>
    <s v="https://www.youtube.com/watch?v="/>
    <s v="none"/>
    <n v="0"/>
    <x v="692"/>
    <d v="2021-03-02T10:56:22.000"/>
    <m/>
    <m/>
    <s v=""/>
    <n v="1"/>
    <s v="2"/>
    <s v="2"/>
    <n v="0"/>
    <n v="0"/>
    <n v="0"/>
    <n v="0"/>
    <n v="0"/>
    <n v="0"/>
    <n v="1"/>
    <n v="100"/>
    <n v="1"/>
  </r>
  <r>
    <s v="UCYdODoJdVvDp-9z2mt6wgyQ"/>
    <s v="UClnojW-58I9WE8weIj_0J9A"/>
    <s v="192, 192, 192"/>
    <n v="3"/>
    <m/>
    <n v="40"/>
    <m/>
    <m/>
    <m/>
    <m/>
    <s v="No"/>
    <n v="696"/>
    <m/>
    <m/>
    <s v="Replied Comment"/>
    <x v="1"/>
    <s v="Me"/>
    <s v="UCYdODoJdVvDp-9z2mt6wgyQ"/>
    <s v="Armando Urizar"/>
    <s v="http://www.youtube.com/channel/UCYdODoJdVvDp-9z2mt6wgyQ"/>
    <s v="Ugya1inrWUvvHowJAI94AaABAg"/>
    <s v="fK1_SH3X2ek"/>
    <s v="https://www.youtube.com/watch?v="/>
    <s v="none"/>
    <n v="0"/>
    <x v="693"/>
    <d v="2021-03-05T01:37:54.000"/>
    <m/>
    <m/>
    <s v=""/>
    <n v="1"/>
    <s v="2"/>
    <s v="2"/>
    <n v="0"/>
    <n v="0"/>
    <n v="0"/>
    <n v="0"/>
    <n v="0"/>
    <n v="0"/>
    <n v="1"/>
    <n v="100"/>
    <n v="1"/>
  </r>
  <r>
    <s v="UCUZeBEoKiTTz0pPp5pii-aw"/>
    <s v="UClnojW-58I9WE8weIj_0J9A"/>
    <s v="192, 192, 192"/>
    <n v="3"/>
    <m/>
    <n v="40"/>
    <m/>
    <m/>
    <m/>
    <m/>
    <s v="No"/>
    <n v="697"/>
    <m/>
    <m/>
    <s v="Replied Comment"/>
    <x v="1"/>
    <s v="yup my teacher sent me to do this"/>
    <s v="UCUZeBEoKiTTz0pPp5pii-aw"/>
    <s v="Andrew’s What if’s"/>
    <s v="http://www.youtube.com/channel/UCUZeBEoKiTTz0pPp5pii-aw"/>
    <s v="Ugya1inrWUvvHowJAI94AaABAg"/>
    <s v="fK1_SH3X2ek"/>
    <s v="https://www.youtube.com/watch?v="/>
    <s v="none"/>
    <n v="0"/>
    <x v="694"/>
    <d v="2021-04-24T22:36:32.000"/>
    <m/>
    <m/>
    <s v=""/>
    <n v="1"/>
    <s v="2"/>
    <s v="2"/>
    <n v="0"/>
    <n v="0"/>
    <n v="0"/>
    <n v="0"/>
    <n v="0"/>
    <n v="0"/>
    <n v="8"/>
    <n v="100"/>
    <n v="8"/>
  </r>
  <r>
    <s v="UCy4crOLyffyAStwBkGRO9hg"/>
    <s v="UClnojW-58I9WE8weIj_0J9A"/>
    <s v="192, 192, 192"/>
    <n v="3"/>
    <m/>
    <n v="40"/>
    <m/>
    <m/>
    <m/>
    <m/>
    <s v="No"/>
    <n v="698"/>
    <m/>
    <m/>
    <s v="Replied Comment"/>
    <x v="1"/>
    <s v="me"/>
    <s v="UCy4crOLyffyAStwBkGRO9hg"/>
    <s v="reese teves"/>
    <s v="http://www.youtube.com/channel/UCy4crOLyffyAStwBkGRO9hg"/>
    <s v="Ugya1inrWUvvHowJAI94AaABAg"/>
    <s v="fK1_SH3X2ek"/>
    <s v="https://www.youtube.com/watch?v="/>
    <s v="none"/>
    <n v="0"/>
    <x v="695"/>
    <d v="2021-05-06T07:32:40.000"/>
    <m/>
    <m/>
    <s v=""/>
    <n v="1"/>
    <s v="2"/>
    <s v="2"/>
    <n v="0"/>
    <n v="0"/>
    <n v="0"/>
    <n v="0"/>
    <n v="0"/>
    <n v="0"/>
    <n v="1"/>
    <n v="100"/>
    <n v="1"/>
  </r>
  <r>
    <s v="UClnojW-58I9WE8weIj_0J9A"/>
    <s v="UClnojW-58I9WE8weIj_0J9A"/>
    <s v="Red"/>
    <n v="10"/>
    <m/>
    <n v="15"/>
    <m/>
    <m/>
    <m/>
    <m/>
    <s v="No"/>
    <n v="699"/>
    <m/>
    <m/>
    <s v="Replied Comment"/>
    <x v="1"/>
    <s v="@Kent Robinson make me"/>
    <s v="UClnojW-58I9WE8weIj_0J9A"/>
    <s v="mystkmyke"/>
    <s v="http://www.youtube.com/channel/UClnojW-58I9WE8weIj_0J9A"/>
    <s v="Ugya1inrWUvvHowJAI94AaABAg"/>
    <s v="fK1_SH3X2ek"/>
    <s v="https://www.youtube.com/watch?v="/>
    <s v="none"/>
    <n v="8"/>
    <x v="696"/>
    <d v="2020-04-03T20:05:08.000"/>
    <m/>
    <m/>
    <s v=""/>
    <n v="4"/>
    <s v="2"/>
    <s v="2"/>
    <n v="0"/>
    <n v="0"/>
    <n v="0"/>
    <n v="0"/>
    <n v="0"/>
    <n v="0"/>
    <n v="4"/>
    <n v="100"/>
    <n v="4"/>
  </r>
  <r>
    <s v="UClnojW-58I9WE8weIj_0J9A"/>
    <s v="UClnojW-58I9WE8weIj_0J9A"/>
    <s v="Red"/>
    <n v="10"/>
    <m/>
    <n v="15"/>
    <m/>
    <m/>
    <m/>
    <m/>
    <s v="No"/>
    <n v="700"/>
    <m/>
    <m/>
    <s v="Replied Comment"/>
    <x v="1"/>
    <s v="@the guy in the background Gameing haha nice"/>
    <s v="UClnojW-58I9WE8weIj_0J9A"/>
    <s v="mystkmyke"/>
    <s v="http://www.youtube.com/channel/UClnojW-58I9WE8weIj_0J9A"/>
    <s v="Ugya1inrWUvvHowJAI94AaABAg"/>
    <s v="fK1_SH3X2ek"/>
    <s v="https://www.youtube.com/watch?v="/>
    <s v="none"/>
    <n v="3"/>
    <x v="697"/>
    <d v="2020-04-23T15:32:23.000"/>
    <m/>
    <m/>
    <s v=""/>
    <n v="4"/>
    <s v="2"/>
    <s v="2"/>
    <n v="1"/>
    <n v="12.5"/>
    <n v="0"/>
    <n v="0"/>
    <n v="0"/>
    <n v="0"/>
    <n v="7"/>
    <n v="87.5"/>
    <n v="8"/>
  </r>
  <r>
    <s v="UClnojW-58I9WE8weIj_0J9A"/>
    <s v="UClnojW-58I9WE8weIj_0J9A"/>
    <s v="Red"/>
    <n v="10"/>
    <m/>
    <n v="15"/>
    <m/>
    <m/>
    <m/>
    <m/>
    <s v="No"/>
    <n v="701"/>
    <m/>
    <m/>
    <s v="Replied Comment"/>
    <x v="1"/>
    <s v="@Dominic’s World 😎"/>
    <s v="UClnojW-58I9WE8weIj_0J9A"/>
    <s v="mystkmyke"/>
    <s v="http://www.youtube.com/channel/UClnojW-58I9WE8weIj_0J9A"/>
    <s v="Ugya1inrWUvvHowJAI94AaABAg"/>
    <s v="fK1_SH3X2ek"/>
    <s v="https://www.youtube.com/watch?v="/>
    <s v="none"/>
    <n v="2"/>
    <x v="698"/>
    <d v="2020-04-23T15:32:28.000"/>
    <m/>
    <m/>
    <s v=""/>
    <n v="4"/>
    <s v="2"/>
    <s v="2"/>
    <n v="0"/>
    <n v="0"/>
    <n v="0"/>
    <n v="0"/>
    <n v="0"/>
    <n v="0"/>
    <n v="3"/>
    <n v="100"/>
    <n v="3"/>
  </r>
  <r>
    <s v="UClnojW-58I9WE8weIj_0J9A"/>
    <s v="UClnojW-58I9WE8weIj_0J9A"/>
    <s v="Red"/>
    <n v="10"/>
    <m/>
    <n v="15"/>
    <m/>
    <m/>
    <m/>
    <m/>
    <s v="No"/>
    <n v="702"/>
    <m/>
    <m/>
    <s v="Replied Comment"/>
    <x v="1"/>
    <s v="@J. NVTN i have eyes everywhere 👀"/>
    <s v="UClnojW-58I9WE8weIj_0J9A"/>
    <s v="mystkmyke"/>
    <s v="http://www.youtube.com/channel/UClnojW-58I9WE8weIj_0J9A"/>
    <s v="Ugya1inrWUvvHowJAI94AaABAg"/>
    <s v="fK1_SH3X2ek"/>
    <s v="https://www.youtube.com/watch?v="/>
    <s v="none"/>
    <n v="1"/>
    <x v="699"/>
    <d v="2020-05-27T13:25:05.000"/>
    <m/>
    <m/>
    <s v=""/>
    <n v="4"/>
    <s v="2"/>
    <s v="2"/>
    <n v="0"/>
    <n v="0"/>
    <n v="0"/>
    <n v="0"/>
    <n v="0"/>
    <n v="0"/>
    <n v="6"/>
    <n v="100"/>
    <n v="6"/>
  </r>
  <r>
    <s v="UCdf__4wGpIoAJUxaHzh52Rg"/>
    <s v="UClnojW-58I9WE8weIj_0J9A"/>
    <s v="192, 192, 192"/>
    <n v="3"/>
    <m/>
    <n v="40"/>
    <m/>
    <m/>
    <m/>
    <m/>
    <s v="No"/>
    <n v="703"/>
    <m/>
    <m/>
    <s v="Replied Comment"/>
    <x v="1"/>
    <s v="Me"/>
    <s v="UCdf__4wGpIoAJUxaHzh52Rg"/>
    <s v="my account is gone"/>
    <s v="http://www.youtube.com/channel/UCdf__4wGpIoAJUxaHzh52Rg"/>
    <s v="Ugya1inrWUvvHowJAI94AaABAg"/>
    <s v="fK1_SH3X2ek"/>
    <s v="https://www.youtube.com/watch?v="/>
    <s v="none"/>
    <n v="1"/>
    <x v="700"/>
    <d v="2020-06-06T02:49:18.000"/>
    <m/>
    <m/>
    <s v=""/>
    <n v="1"/>
    <s v="2"/>
    <s v="2"/>
    <n v="0"/>
    <n v="0"/>
    <n v="0"/>
    <n v="0"/>
    <n v="0"/>
    <n v="0"/>
    <n v="1"/>
    <n v="100"/>
    <n v="1"/>
  </r>
  <r>
    <s v="UCqTGL2iGxZBMK9l4EWPg1Ug"/>
    <s v="UClnojW-58I9WE8weIj_0J9A"/>
    <s v="192, 192, 192"/>
    <n v="3"/>
    <m/>
    <n v="40"/>
    <m/>
    <m/>
    <m/>
    <m/>
    <s v="No"/>
    <n v="704"/>
    <m/>
    <m/>
    <s v="Replied Comment"/>
    <x v="1"/>
    <s v="science teacher. for me"/>
    <s v="UCqTGL2iGxZBMK9l4EWPg1Ug"/>
    <s v="Colten Pearson"/>
    <s v="http://www.youtube.com/channel/UCqTGL2iGxZBMK9l4EWPg1Ug"/>
    <s v="Ugya1inrWUvvHowJAI94AaABAg"/>
    <s v="fK1_SH3X2ek"/>
    <s v="https://www.youtube.com/watch?v="/>
    <s v="none"/>
    <n v="1"/>
    <x v="701"/>
    <d v="2020-12-01T18:48:30.000"/>
    <m/>
    <m/>
    <s v=""/>
    <n v="1"/>
    <s v="2"/>
    <s v="2"/>
    <n v="0"/>
    <n v="0"/>
    <n v="0"/>
    <n v="0"/>
    <n v="0"/>
    <n v="0"/>
    <n v="4"/>
    <n v="100"/>
    <n v="4"/>
  </r>
  <r>
    <s v="UCXptVAEtFVNWoBYkirxhSHg"/>
    <s v="UClnojW-58I9WE8weIj_0J9A"/>
    <s v="192, 192, 192"/>
    <n v="3"/>
    <m/>
    <n v="40"/>
    <m/>
    <m/>
    <m/>
    <m/>
    <s v="No"/>
    <n v="705"/>
    <m/>
    <m/>
    <s v="Replied Comment"/>
    <x v="1"/>
    <s v="my teacher sent me in google classrom"/>
    <s v="UCXptVAEtFVNWoBYkirxhSHg"/>
    <s v="Pro 1234"/>
    <s v="http://www.youtube.com/channel/UCXptVAEtFVNWoBYkirxhSHg"/>
    <s v="Ugya1inrWUvvHowJAI94AaABAg"/>
    <s v="fK1_SH3X2ek"/>
    <s v="https://www.youtube.com/watch?v="/>
    <s v="none"/>
    <n v="1"/>
    <x v="702"/>
    <d v="2021-01-25T05:38:21.000"/>
    <m/>
    <m/>
    <s v=""/>
    <n v="1"/>
    <s v="2"/>
    <s v="2"/>
    <n v="0"/>
    <n v="0"/>
    <n v="0"/>
    <n v="0"/>
    <n v="0"/>
    <n v="0"/>
    <n v="7"/>
    <n v="100"/>
    <n v="7"/>
  </r>
  <r>
    <s v="UCYbcr3YlItwbRXxWJhXfPMQ"/>
    <s v="UClnojW-58I9WE8weIj_0J9A"/>
    <s v="192, 192, 192"/>
    <n v="3"/>
    <m/>
    <n v="40"/>
    <m/>
    <m/>
    <m/>
    <m/>
    <s v="No"/>
    <n v="706"/>
    <m/>
    <m/>
    <s v="Replied Comment"/>
    <x v="1"/>
    <s v="Yes bro"/>
    <s v="UCYbcr3YlItwbRXxWJhXfPMQ"/>
    <s v="Hamza Daaboul"/>
    <s v="http://www.youtube.com/channel/UCYbcr3YlItwbRXxWJhXfPMQ"/>
    <s v="Ugya1inrWUvvHowJAI94AaABAg"/>
    <s v="fK1_SH3X2ek"/>
    <s v="https://www.youtube.com/watch?v="/>
    <s v="none"/>
    <n v="0"/>
    <x v="703"/>
    <d v="2021-02-08T18:44:56.000"/>
    <m/>
    <m/>
    <s v=""/>
    <n v="1"/>
    <s v="2"/>
    <s v="2"/>
    <n v="0"/>
    <n v="0"/>
    <n v="0"/>
    <n v="0"/>
    <n v="0"/>
    <n v="0"/>
    <n v="2"/>
    <n v="100"/>
    <n v="2"/>
  </r>
  <r>
    <s v="UCF5ChGDslgBBC95Q2q_mqTA"/>
    <s v="UClnojW-58I9WE8weIj_0J9A"/>
    <s v="192, 192, 192"/>
    <n v="3"/>
    <m/>
    <n v="40"/>
    <m/>
    <m/>
    <m/>
    <m/>
    <s v="No"/>
    <n v="707"/>
    <m/>
    <m/>
    <s v="Replied Comment"/>
    <x v="1"/>
    <s v="Me"/>
    <s v="UCF5ChGDslgBBC95Q2q_mqTA"/>
    <s v="Edward Copeland"/>
    <s v="http://www.youtube.com/channel/UCF5ChGDslgBBC95Q2q_mqTA"/>
    <s v="Ugya1inrWUvvHowJAI94AaABAg"/>
    <s v="fK1_SH3X2ek"/>
    <s v="https://www.youtube.com/watch?v="/>
    <s v="none"/>
    <n v="0"/>
    <x v="704"/>
    <d v="2021-04-21T21:57:41.000"/>
    <m/>
    <m/>
    <s v=""/>
    <n v="1"/>
    <s v="2"/>
    <s v="2"/>
    <n v="0"/>
    <n v="0"/>
    <n v="0"/>
    <n v="0"/>
    <n v="0"/>
    <n v="0"/>
    <n v="1"/>
    <n v="100"/>
    <n v="1"/>
  </r>
  <r>
    <s v="UClnojW-58I9WE8weIj_0J9A"/>
    <s v="UCpNnv_kL4Jk8YG_VflnZpmg"/>
    <s v="192, 192, 192"/>
    <n v="3"/>
    <m/>
    <n v="40"/>
    <m/>
    <m/>
    <m/>
    <m/>
    <s v="No"/>
    <n v="708"/>
    <m/>
    <m/>
    <s v="Commented Video"/>
    <x v="0"/>
    <s v="who else&amp;#39;s health teacher sent them this video in Google Classroom to watch it?"/>
    <s v="UClnojW-58I9WE8weIj_0J9A"/>
    <s v="mystkmyke"/>
    <s v="http://www.youtube.com/channel/UClnojW-58I9WE8weIj_0J9A"/>
    <m/>
    <s v="fK1_SH3X2ek"/>
    <s v="https://www.youtube.com/watch?v=fK1_SH3X2ek"/>
    <s v="none"/>
    <n v="190"/>
    <x v="705"/>
    <d v="2020-04-01T17:41:27.000"/>
    <m/>
    <m/>
    <s v=""/>
    <n v="1"/>
    <s v="2"/>
    <s v="2"/>
    <n v="0"/>
    <n v="0"/>
    <n v="0"/>
    <n v="0"/>
    <n v="0"/>
    <n v="0"/>
    <n v="16"/>
    <n v="100"/>
    <n v="16"/>
  </r>
  <r>
    <s v="UCsZFWQYkG-slxqG0PSAeuDg"/>
    <s v="UCpNnv_kL4Jk8YG_VflnZpmg"/>
    <s v="192, 192, 192"/>
    <n v="3"/>
    <m/>
    <n v="40"/>
    <m/>
    <m/>
    <m/>
    <m/>
    <s v="No"/>
    <n v="709"/>
    <m/>
    <m/>
    <s v="Commented Video"/>
    <x v="0"/>
    <s v="Interesting topic, wow, follow this link to get more insights on this subject. &lt;br&gt;&lt;a href=&quot;https://gurudeseyesubai.org/hidden-causes-of-disease-3/&quot;&gt;https://gurudeseyesubai.org/hidden-causes-of-disease-3/&lt;/a&gt;"/>
    <s v="UCsZFWQYkG-slxqG0PSAeuDg"/>
    <s v="chinaenye obicheta"/>
    <s v="http://www.youtube.com/channel/UCsZFWQYkG-slxqG0PSAeuDg"/>
    <m/>
    <s v="fK1_SH3X2ek"/>
    <s v="https://www.youtube.com/watch?v=fK1_SH3X2ek"/>
    <s v="none"/>
    <n v="1"/>
    <x v="706"/>
    <d v="2020-04-06T01:46:31.000"/>
    <s v=" https://gurudeseyesubai.org/hidden-causes-of-disease-3/ https://gurudeseyesubai.org/hidden-causes-of-disease-3/"/>
    <s v="gurudeseyesubai.org gurudeseyesubai.org"/>
    <s v=""/>
    <n v="1"/>
    <s v="2"/>
    <s v="2"/>
    <n v="2"/>
    <n v="6.0606060606060606"/>
    <n v="0"/>
    <n v="0"/>
    <n v="0"/>
    <n v="0"/>
    <n v="31"/>
    <n v="93.93939393939394"/>
    <n v="33"/>
  </r>
  <r>
    <s v="UCanNtkxGuVo8RHmoYXqQdPQ"/>
    <s v="UCpNnv_kL4Jk8YG_VflnZpmg"/>
    <s v="192, 192, 192"/>
    <n v="3"/>
    <m/>
    <n v="40"/>
    <m/>
    <m/>
    <m/>
    <m/>
    <s v="No"/>
    <n v="710"/>
    <m/>
    <m/>
    <s v="Commented Video"/>
    <x v="0"/>
    <s v="hey nice  vedio"/>
    <s v="UCanNtkxGuVo8RHmoYXqQdPQ"/>
    <s v="MARIA ASHNA KUMAR"/>
    <s v="http://www.youtube.com/channel/UCanNtkxGuVo8RHmoYXqQdPQ"/>
    <m/>
    <s v="fK1_SH3X2ek"/>
    <s v="https://www.youtube.com/watch?v=fK1_SH3X2ek"/>
    <s v="none"/>
    <n v="1"/>
    <x v="707"/>
    <d v="2020-04-07T11:09:03.000"/>
    <m/>
    <m/>
    <s v=""/>
    <n v="1"/>
    <s v="2"/>
    <s v="2"/>
    <n v="1"/>
    <n v="33.333333333333336"/>
    <n v="0"/>
    <n v="0"/>
    <n v="0"/>
    <n v="0"/>
    <n v="2"/>
    <n v="66.66666666666667"/>
    <n v="3"/>
  </r>
  <r>
    <s v="UCIRd_KLhNQWScj1-la439iw"/>
    <s v="UCpNnv_kL4Jk8YG_VflnZpmg"/>
    <s v="192, 192, 192"/>
    <n v="3"/>
    <m/>
    <n v="40"/>
    <m/>
    <m/>
    <m/>
    <m/>
    <s v="No"/>
    <n v="711"/>
    <m/>
    <m/>
    <s v="Commented Video"/>
    <x v="0"/>
    <s v="Thanks to explain 😊"/>
    <s v="UCIRd_KLhNQWScj1-la439iw"/>
    <s v="Sarita Rathord"/>
    <s v="http://www.youtube.com/channel/UCIRd_KLhNQWScj1-la439iw"/>
    <m/>
    <s v="fK1_SH3X2ek"/>
    <s v="https://www.youtube.com/watch?v=fK1_SH3X2ek"/>
    <s v="none"/>
    <n v="1"/>
    <x v="708"/>
    <d v="2020-04-29T08:24:10.000"/>
    <m/>
    <m/>
    <s v=""/>
    <n v="1"/>
    <s v="2"/>
    <s v="2"/>
    <n v="0"/>
    <n v="0"/>
    <n v="0"/>
    <n v="0"/>
    <n v="0"/>
    <n v="0"/>
    <n v="3"/>
    <n v="100"/>
    <n v="3"/>
  </r>
  <r>
    <s v="UCnkFrB1A-54rSDf1RYW_lnw"/>
    <s v="UC5VEXHfh6kXP2d8EkFx16sw"/>
    <s v="192, 192, 192"/>
    <n v="3"/>
    <m/>
    <n v="40"/>
    <m/>
    <m/>
    <m/>
    <m/>
    <s v="No"/>
    <n v="712"/>
    <m/>
    <m/>
    <s v="Commented Video"/>
    <x v="0"/>
    <s v="Thx"/>
    <s v="UCnkFrB1A-54rSDf1RYW_lnw"/>
    <s v="Zacharie-Kyle Percil"/>
    <s v="http://www.youtube.com/channel/UCnkFrB1A-54rSDf1RYW_lnw"/>
    <m/>
    <s v="LBkXQ_mBO3Q"/>
    <s v="https://www.youtube.com/watch?v=LBkXQ_mBO3Q"/>
    <s v="none"/>
    <n v="4"/>
    <x v="709"/>
    <d v="2020-05-10T21:41:00.000"/>
    <m/>
    <m/>
    <s v=""/>
    <n v="1"/>
    <s v="3"/>
    <s v="3"/>
    <n v="0"/>
    <n v="0"/>
    <n v="0"/>
    <n v="0"/>
    <n v="0"/>
    <n v="0"/>
    <n v="1"/>
    <n v="100"/>
    <n v="1"/>
  </r>
  <r>
    <s v="UCnkFrB1A-54rSDf1RYW_lnw"/>
    <s v="UCpNnv_kL4Jk8YG_VflnZpmg"/>
    <s v="Red"/>
    <n v="10"/>
    <m/>
    <n v="15"/>
    <m/>
    <m/>
    <m/>
    <m/>
    <s v="No"/>
    <n v="713"/>
    <m/>
    <m/>
    <s v="Commented Video"/>
    <x v="0"/>
    <s v="Meee"/>
    <s v="UCnkFrB1A-54rSDf1RYW_lnw"/>
    <s v="Zacharie-Kyle Percil"/>
    <s v="http://www.youtube.com/channel/UCnkFrB1A-54rSDf1RYW_lnw"/>
    <m/>
    <s v="fK1_SH3X2ek"/>
    <s v="https://www.youtube.com/watch?v=fK1_SH3X2ek"/>
    <s v="none"/>
    <n v="0"/>
    <x v="710"/>
    <d v="2020-05-10T21:51:08.000"/>
    <m/>
    <m/>
    <s v=""/>
    <n v="2"/>
    <s v="3"/>
    <s v="2"/>
    <n v="0"/>
    <n v="0"/>
    <n v="0"/>
    <n v="0"/>
    <n v="0"/>
    <n v="0"/>
    <n v="1"/>
    <n v="100"/>
    <n v="1"/>
  </r>
  <r>
    <s v="UCnkFrB1A-54rSDf1RYW_lnw"/>
    <s v="UCpNnv_kL4Jk8YG_VflnZpmg"/>
    <s v="Red"/>
    <n v="10"/>
    <m/>
    <n v="15"/>
    <m/>
    <m/>
    <m/>
    <m/>
    <s v="No"/>
    <n v="714"/>
    <m/>
    <m/>
    <s v="Commented Video"/>
    <x v="0"/>
    <s v="My teacher"/>
    <s v="UCnkFrB1A-54rSDf1RYW_lnw"/>
    <s v="Zacharie-Kyle Percil"/>
    <s v="http://www.youtube.com/channel/UCnkFrB1A-54rSDf1RYW_lnw"/>
    <m/>
    <s v="fK1_SH3X2ek"/>
    <s v="https://www.youtube.com/watch?v=fK1_SH3X2ek"/>
    <s v="none"/>
    <n v="0"/>
    <x v="711"/>
    <d v="2020-05-10T21:52:05.000"/>
    <m/>
    <m/>
    <s v=""/>
    <n v="2"/>
    <s v="3"/>
    <s v="2"/>
    <n v="0"/>
    <n v="0"/>
    <n v="0"/>
    <n v="0"/>
    <n v="0"/>
    <n v="0"/>
    <n v="2"/>
    <n v="100"/>
    <n v="2"/>
  </r>
  <r>
    <s v="UCsllZ-JGcQe1GqrWliTwIaQ"/>
    <s v="UCpNnv_kL4Jk8YG_VflnZpmg"/>
    <s v="Red"/>
    <n v="10"/>
    <m/>
    <n v="15"/>
    <m/>
    <m/>
    <m/>
    <m/>
    <s v="No"/>
    <n v="715"/>
    <m/>
    <m/>
    <s v="Commented Video"/>
    <x v="0"/>
    <s v="HOLY FUCK THIS SUCKS"/>
    <s v="UCsllZ-JGcQe1GqrWliTwIaQ"/>
    <s v="animated life"/>
    <s v="http://www.youtube.com/channel/UCsllZ-JGcQe1GqrWliTwIaQ"/>
    <m/>
    <s v="fK1_SH3X2ek"/>
    <s v="https://www.youtube.com/watch?v=fK1_SH3X2ek"/>
    <s v="none"/>
    <n v="0"/>
    <x v="712"/>
    <d v="2020-05-11T15:54:34.000"/>
    <m/>
    <m/>
    <s v=""/>
    <n v="2"/>
    <s v="2"/>
    <s v="2"/>
    <n v="1"/>
    <n v="25"/>
    <n v="2"/>
    <n v="50"/>
    <n v="0"/>
    <n v="0"/>
    <n v="1"/>
    <n v="25"/>
    <n v="4"/>
  </r>
  <r>
    <s v="UCsllZ-JGcQe1GqrWliTwIaQ"/>
    <s v="UCpNnv_kL4Jk8YG_VflnZpmg"/>
    <s v="Red"/>
    <n v="10"/>
    <m/>
    <n v="15"/>
    <m/>
    <m/>
    <m/>
    <m/>
    <s v="No"/>
    <n v="716"/>
    <m/>
    <m/>
    <s v="Commented Video"/>
    <x v="0"/>
    <s v="Who else got sent here from Google classroom ik THIS FUCKING SUCKS ASS"/>
    <s v="UCsllZ-JGcQe1GqrWliTwIaQ"/>
    <s v="animated life"/>
    <s v="http://www.youtube.com/channel/UCsllZ-JGcQe1GqrWliTwIaQ"/>
    <m/>
    <s v="fK1_SH3X2ek"/>
    <s v="https://www.youtube.com/watch?v=fK1_SH3X2ek"/>
    <s v="none"/>
    <n v="0"/>
    <x v="713"/>
    <d v="2020-05-11T15:55:10.000"/>
    <m/>
    <m/>
    <s v=""/>
    <n v="2"/>
    <s v="2"/>
    <s v="2"/>
    <n v="0"/>
    <n v="0"/>
    <n v="2"/>
    <n v="15.384615384615385"/>
    <n v="0"/>
    <n v="0"/>
    <n v="11"/>
    <n v="84.61538461538461"/>
    <n v="13"/>
  </r>
  <r>
    <s v="UC7SBoanzWGOIY8cJm5N5XwQ"/>
    <s v="UCpNnv_kL4Jk8YG_VflnZpmg"/>
    <s v="192, 192, 192"/>
    <n v="3"/>
    <m/>
    <n v="40"/>
    <m/>
    <m/>
    <m/>
    <m/>
    <s v="No"/>
    <n v="717"/>
    <m/>
    <m/>
    <s v="Commented Video"/>
    <x v="0"/>
    <s v="👎👎👎👎👎👎👎👎👎🏻 like this if you love English"/>
    <s v="UC7SBoanzWGOIY8cJm5N5XwQ"/>
    <s v="Tanu Sharma"/>
    <s v="http://www.youtube.com/channel/UC7SBoanzWGOIY8cJm5N5XwQ"/>
    <m/>
    <s v="fK1_SH3X2ek"/>
    <s v="https://www.youtube.com/watch?v=fK1_SH3X2ek"/>
    <s v="none"/>
    <n v="1"/>
    <x v="714"/>
    <d v="2020-05-28T09:03:23.000"/>
    <m/>
    <m/>
    <s v=""/>
    <n v="1"/>
    <s v="2"/>
    <s v="2"/>
    <n v="2"/>
    <n v="33.333333333333336"/>
    <n v="0"/>
    <n v="0"/>
    <n v="0"/>
    <n v="0"/>
    <n v="4"/>
    <n v="66.66666666666667"/>
    <n v="6"/>
  </r>
  <r>
    <s v="UCdf__4wGpIoAJUxaHzh52Rg"/>
    <s v="UCpNnv_kL4Jk8YG_VflnZpmg"/>
    <s v="192, 192, 192"/>
    <n v="3"/>
    <m/>
    <n v="40"/>
    <m/>
    <m/>
    <m/>
    <m/>
    <s v="No"/>
    <n v="718"/>
    <m/>
    <m/>
    <s v="Commented Video"/>
    <x v="0"/>
    <s v="Yeah"/>
    <s v="UCdf__4wGpIoAJUxaHzh52Rg"/>
    <s v="my account is gone"/>
    <s v="http://www.youtube.com/channel/UCdf__4wGpIoAJUxaHzh52Rg"/>
    <m/>
    <s v="fK1_SH3X2ek"/>
    <s v="https://www.youtube.com/watch?v=fK1_SH3X2ek"/>
    <s v="none"/>
    <n v="0"/>
    <x v="715"/>
    <d v="2020-06-07T15:29:46.000"/>
    <m/>
    <m/>
    <s v=""/>
    <n v="1"/>
    <s v="2"/>
    <s v="2"/>
    <n v="0"/>
    <n v="0"/>
    <n v="0"/>
    <n v="0"/>
    <n v="0"/>
    <n v="0"/>
    <n v="1"/>
    <n v="100"/>
    <n v="1"/>
  </r>
  <r>
    <s v="UCfSRxcEYb7rjFKHXBw1O2dA"/>
    <s v="UC8_oQ7TS8UBU5j1es2pvHHg"/>
    <s v="Red"/>
    <n v="10"/>
    <m/>
    <n v="15"/>
    <m/>
    <m/>
    <m/>
    <m/>
    <s v="No"/>
    <n v="719"/>
    <m/>
    <m/>
    <s v="Replied Comment"/>
    <x v="1"/>
    <s v="Me"/>
    <s v="UCfSRxcEYb7rjFKHXBw1O2dA"/>
    <s v="AriesChic Pinder"/>
    <s v="http://www.youtube.com/channel/UCfSRxcEYb7rjFKHXBw1O2dA"/>
    <s v="Ugyy5RKSoMWxigwH-yx4AaABAg"/>
    <s v="fK1_SH3X2ek"/>
    <s v="https://www.youtube.com/watch?v="/>
    <s v="none"/>
    <n v="0"/>
    <x v="716"/>
    <d v="2021-05-21T20:52:15.000"/>
    <m/>
    <m/>
    <s v=""/>
    <n v="2"/>
    <s v="2"/>
    <s v="2"/>
    <n v="0"/>
    <n v="0"/>
    <n v="0"/>
    <n v="0"/>
    <n v="0"/>
    <n v="0"/>
    <n v="1"/>
    <n v="100"/>
    <n v="1"/>
  </r>
  <r>
    <s v="UCfSRxcEYb7rjFKHXBw1O2dA"/>
    <s v="UC8_oQ7TS8UBU5j1es2pvHHg"/>
    <s v="Red"/>
    <n v="10"/>
    <m/>
    <n v="15"/>
    <m/>
    <m/>
    <m/>
    <m/>
    <s v="No"/>
    <n v="720"/>
    <m/>
    <m/>
    <s v="Replied Comment"/>
    <x v="1"/>
    <s v="I know this is  comment is old but help....."/>
    <s v="UCfSRxcEYb7rjFKHXBw1O2dA"/>
    <s v="AriesChic Pinder"/>
    <s v="http://www.youtube.com/channel/UCfSRxcEYb7rjFKHXBw1O2dA"/>
    <s v="Ugyy5RKSoMWxigwH-yx4AaABAg"/>
    <s v="fK1_SH3X2ek"/>
    <s v="https://www.youtube.com/watch?v="/>
    <s v="none"/>
    <n v="0"/>
    <x v="717"/>
    <d v="2021-05-21T20:53:11.000"/>
    <m/>
    <m/>
    <s v=""/>
    <n v="2"/>
    <s v="2"/>
    <s v="2"/>
    <n v="0"/>
    <n v="0"/>
    <n v="0"/>
    <n v="0"/>
    <n v="0"/>
    <n v="0"/>
    <n v="9"/>
    <n v="100"/>
    <n v="9"/>
  </r>
  <r>
    <s v="UCqTGL2iGxZBMK9l4EWPg1Ug"/>
    <s v="UC8_oQ7TS8UBU5j1es2pvHHg"/>
    <s v="192, 192, 192"/>
    <n v="3"/>
    <m/>
    <n v="40"/>
    <m/>
    <m/>
    <m/>
    <m/>
    <s v="No"/>
    <n v="721"/>
    <m/>
    <m/>
    <s v="Replied Comment"/>
    <x v="1"/>
    <s v="science teacher..."/>
    <s v="UCqTGL2iGxZBMK9l4EWPg1Ug"/>
    <s v="Colten Pearson"/>
    <s v="http://www.youtube.com/channel/UCqTGL2iGxZBMK9l4EWPg1Ug"/>
    <s v="Ugyy5RKSoMWxigwH-yx4AaABAg"/>
    <s v="fK1_SH3X2ek"/>
    <s v="https://www.youtube.com/watch?v="/>
    <s v="none"/>
    <n v="0"/>
    <x v="718"/>
    <d v="2020-12-01T18:48:47.000"/>
    <m/>
    <m/>
    <s v=""/>
    <n v="1"/>
    <s v="2"/>
    <s v="2"/>
    <n v="0"/>
    <n v="0"/>
    <n v="0"/>
    <n v="0"/>
    <n v="0"/>
    <n v="0"/>
    <n v="2"/>
    <n v="100"/>
    <n v="2"/>
  </r>
  <r>
    <s v="UCF5ChGDslgBBC95Q2q_mqTA"/>
    <s v="UC8_oQ7TS8UBU5j1es2pvHHg"/>
    <s v="192, 192, 192"/>
    <n v="3"/>
    <m/>
    <n v="40"/>
    <m/>
    <m/>
    <m/>
    <m/>
    <s v="No"/>
    <n v="722"/>
    <m/>
    <m/>
    <s v="Replied Comment"/>
    <x v="1"/>
    <s v="Me"/>
    <s v="UCF5ChGDslgBBC95Q2q_mqTA"/>
    <s v="Edward Copeland"/>
    <s v="http://www.youtube.com/channel/UCF5ChGDslgBBC95Q2q_mqTA"/>
    <s v="Ugyy5RKSoMWxigwH-yx4AaABAg"/>
    <s v="fK1_SH3X2ek"/>
    <s v="https://www.youtube.com/watch?v="/>
    <s v="none"/>
    <n v="0"/>
    <x v="719"/>
    <d v="2021-04-21T21:59:38.000"/>
    <m/>
    <m/>
    <s v=""/>
    <n v="1"/>
    <s v="2"/>
    <s v="2"/>
    <n v="0"/>
    <n v="0"/>
    <n v="0"/>
    <n v="0"/>
    <n v="0"/>
    <n v="0"/>
    <n v="1"/>
    <n v="100"/>
    <n v="1"/>
  </r>
  <r>
    <s v="UC8_oQ7TS8UBU5j1es2pvHHg"/>
    <s v="UC8_oQ7TS8UBU5j1es2pvHHg"/>
    <s v="192, 192, 192"/>
    <n v="3"/>
    <m/>
    <n v="40"/>
    <m/>
    <m/>
    <m/>
    <m/>
    <s v="No"/>
    <n v="723"/>
    <m/>
    <m/>
    <s v="Replied Comment"/>
    <x v="1"/>
    <s v="@AriesChic Pinder with the assignment?"/>
    <s v="UC8_oQ7TS8UBU5j1es2pvHHg"/>
    <s v="Arielle kouadio"/>
    <s v="http://www.youtube.com/channel/UC8_oQ7TS8UBU5j1es2pvHHg"/>
    <s v="Ugyy5RKSoMWxigwH-yx4AaABAg"/>
    <s v="fK1_SH3X2ek"/>
    <s v="https://www.youtube.com/watch?v="/>
    <s v="none"/>
    <n v="0"/>
    <x v="720"/>
    <d v="2021-05-29T19:27:23.000"/>
    <m/>
    <m/>
    <s v=""/>
    <n v="1"/>
    <s v="2"/>
    <s v="2"/>
    <n v="0"/>
    <n v="0"/>
    <n v="0"/>
    <n v="0"/>
    <n v="0"/>
    <n v="0"/>
    <n v="5"/>
    <n v="100"/>
    <n v="5"/>
  </r>
  <r>
    <s v="UCnRYGBsqdgTYMJN96h4DoTQ"/>
    <s v="UC8_oQ7TS8UBU5j1es2pvHHg"/>
    <s v="192, 192, 192"/>
    <n v="3"/>
    <m/>
    <n v="40"/>
    <m/>
    <m/>
    <m/>
    <m/>
    <s v="No"/>
    <n v="724"/>
    <m/>
    <m/>
    <s v="Replied Comment"/>
    <x v="1"/>
    <s v="Me hahah"/>
    <s v="UCnRYGBsqdgTYMJN96h4DoTQ"/>
    <s v="GREENWH33L_YT"/>
    <s v="http://www.youtube.com/channel/UCnRYGBsqdgTYMJN96h4DoTQ"/>
    <s v="Ugyy5RKSoMWxigwH-yx4AaABAg"/>
    <s v="fK1_SH3X2ek"/>
    <s v="https://www.youtube.com/watch?v="/>
    <s v="none"/>
    <n v="0"/>
    <x v="721"/>
    <d v="2021-06-14T15:51:13.000"/>
    <m/>
    <m/>
    <s v=""/>
    <n v="1"/>
    <s v="2"/>
    <s v="2"/>
    <n v="0"/>
    <n v="0"/>
    <n v="0"/>
    <n v="0"/>
    <n v="0"/>
    <n v="0"/>
    <n v="2"/>
    <n v="100"/>
    <n v="2"/>
  </r>
  <r>
    <s v="UC8_oQ7TS8UBU5j1es2pvHHg"/>
    <s v="UCpNnv_kL4Jk8YG_VflnZpmg"/>
    <s v="192, 192, 192"/>
    <n v="3"/>
    <m/>
    <n v="40"/>
    <m/>
    <m/>
    <m/>
    <m/>
    <s v="No"/>
    <n v="725"/>
    <m/>
    <m/>
    <s v="Commented Video"/>
    <x v="0"/>
    <s v="Who’s here because of health class?"/>
    <s v="UC8_oQ7TS8UBU5j1es2pvHHg"/>
    <s v="Arielle kouadio"/>
    <s v="http://www.youtube.com/channel/UC8_oQ7TS8UBU5j1es2pvHHg"/>
    <m/>
    <s v="fK1_SH3X2ek"/>
    <s v="https://www.youtube.com/watch?v=fK1_SH3X2ek"/>
    <s v="none"/>
    <n v="48"/>
    <x v="722"/>
    <d v="2020-06-10T04:56:32.000"/>
    <m/>
    <m/>
    <s v=""/>
    <n v="1"/>
    <s v="2"/>
    <s v="2"/>
    <n v="0"/>
    <n v="0"/>
    <n v="0"/>
    <n v="0"/>
    <n v="0"/>
    <n v="0"/>
    <n v="7"/>
    <n v="100"/>
    <n v="7"/>
  </r>
  <r>
    <s v="UC3htKE-dyoJeXF-fZ7JS_jw"/>
    <s v="UCpNnv_kL4Jk8YG_VflnZpmg"/>
    <s v="192, 192, 192"/>
    <n v="3"/>
    <m/>
    <n v="40"/>
    <m/>
    <m/>
    <m/>
    <m/>
    <s v="No"/>
    <n v="726"/>
    <m/>
    <m/>
    <s v="Commented Video"/>
    <x v="0"/>
    <s v="I like it"/>
    <s v="UC3htKE-dyoJeXF-fZ7JS_jw"/>
    <s v="Rebika Sangma"/>
    <s v="http://www.youtube.com/channel/UC3htKE-dyoJeXF-fZ7JS_jw"/>
    <m/>
    <s v="fK1_SH3X2ek"/>
    <s v="https://www.youtube.com/watch?v=fK1_SH3X2ek"/>
    <s v="none"/>
    <n v="0"/>
    <x v="723"/>
    <d v="2020-06-25T06:27:24.000"/>
    <m/>
    <m/>
    <s v=""/>
    <n v="1"/>
    <s v="2"/>
    <s v="2"/>
    <n v="1"/>
    <n v="33.333333333333336"/>
    <n v="0"/>
    <n v="0"/>
    <n v="0"/>
    <n v="0"/>
    <n v="2"/>
    <n v="66.66666666666667"/>
    <n v="3"/>
  </r>
  <r>
    <s v="UC7nIPfgorPJhL52Ne5qkn4Q"/>
    <s v="UCpNnv_kL4Jk8YG_VflnZpmg"/>
    <s v="192, 192, 192"/>
    <n v="3"/>
    <m/>
    <n v="40"/>
    <m/>
    <m/>
    <m/>
    <m/>
    <s v="No"/>
    <n v="727"/>
    <m/>
    <m/>
    <s v="Commented Video"/>
    <x v="0"/>
    <s v="mamniceteachingmam thanksmam"/>
    <s v="UC7nIPfgorPJhL52Ne5qkn4Q"/>
    <s v="Vishanth R"/>
    <s v="http://www.youtube.com/channel/UC7nIPfgorPJhL52Ne5qkn4Q"/>
    <m/>
    <s v="fK1_SH3X2ek"/>
    <s v="https://www.youtube.com/watch?v=fK1_SH3X2ek"/>
    <s v="none"/>
    <n v="0"/>
    <x v="724"/>
    <d v="2020-07-20T14:57:28.000"/>
    <m/>
    <m/>
    <s v=""/>
    <n v="1"/>
    <s v="2"/>
    <s v="2"/>
    <n v="0"/>
    <n v="0"/>
    <n v="0"/>
    <n v="0"/>
    <n v="0"/>
    <n v="0"/>
    <n v="2"/>
    <n v="100"/>
    <n v="2"/>
  </r>
  <r>
    <s v="UCMqj6PcNzNbrIBmmVl0yoag"/>
    <s v="UCpNnv_kL4Jk8YG_VflnZpmg"/>
    <s v="192, 192, 192"/>
    <n v="3"/>
    <m/>
    <n v="40"/>
    <m/>
    <m/>
    <m/>
    <m/>
    <s v="No"/>
    <n v="728"/>
    <m/>
    <m/>
    <s v="Commented Video"/>
    <x v="0"/>
    <s v="super video very helpful"/>
    <s v="UCMqj6PcNzNbrIBmmVl0yoag"/>
    <s v="Yokanantha Babu"/>
    <s v="http://www.youtube.com/channel/UCMqj6PcNzNbrIBmmVl0yoag"/>
    <m/>
    <s v="fK1_SH3X2ek"/>
    <s v="https://www.youtube.com/watch?v=fK1_SH3X2ek"/>
    <s v="none"/>
    <n v="0"/>
    <x v="725"/>
    <d v="2020-07-21T06:51:01.000"/>
    <m/>
    <m/>
    <s v=""/>
    <n v="1"/>
    <s v="2"/>
    <s v="2"/>
    <n v="2"/>
    <n v="50"/>
    <n v="0"/>
    <n v="0"/>
    <n v="0"/>
    <n v="0"/>
    <n v="2"/>
    <n v="50"/>
    <n v="4"/>
  </r>
  <r>
    <s v="UCr8qF5f_vLyTxQe2fw02d8w"/>
    <s v="UCpNnv_kL4Jk8YG_VflnZpmg"/>
    <s v="192, 192, 192"/>
    <n v="3"/>
    <m/>
    <n v="40"/>
    <m/>
    <m/>
    <m/>
    <m/>
    <s v="No"/>
    <n v="729"/>
    <m/>
    <m/>
    <s v="Commented Video"/>
    <x v="0"/>
    <s v="thanks"/>
    <s v="UCr8qF5f_vLyTxQe2fw02d8w"/>
    <s v="Shlesha Maniar"/>
    <s v="http://www.youtube.com/channel/UCr8qF5f_vLyTxQe2fw02d8w"/>
    <m/>
    <s v="fK1_SH3X2ek"/>
    <s v="https://www.youtube.com/watch?v=fK1_SH3X2ek"/>
    <s v="none"/>
    <n v="0"/>
    <x v="726"/>
    <d v="2020-08-07T11:04:02.000"/>
    <m/>
    <m/>
    <s v=""/>
    <n v="1"/>
    <s v="2"/>
    <s v="2"/>
    <n v="0"/>
    <n v="0"/>
    <n v="0"/>
    <n v="0"/>
    <n v="0"/>
    <n v="0"/>
    <n v="1"/>
    <n v="100"/>
    <n v="1"/>
  </r>
  <r>
    <s v="UCh-2TKI04EBmj1G6P1OB6Pw"/>
    <s v="UCpNnv_kL4Jk8YG_VflnZpmg"/>
    <s v="192, 192, 192"/>
    <n v="3"/>
    <m/>
    <n v="40"/>
    <m/>
    <m/>
    <m/>
    <m/>
    <s v="No"/>
    <n v="730"/>
    <m/>
    <m/>
    <s v="Commented Video"/>
    <x v="0"/>
    <s v="🤓"/>
    <s v="UCh-2TKI04EBmj1G6P1OB6Pw"/>
    <s v="ishaan mafia"/>
    <s v="http://www.youtube.com/channel/UCh-2TKI04EBmj1G6P1OB6Pw"/>
    <m/>
    <s v="fK1_SH3X2ek"/>
    <s v="https://www.youtube.com/watch?v=fK1_SH3X2ek"/>
    <s v="none"/>
    <n v="0"/>
    <x v="727"/>
    <d v="2020-08-19T07:20:36.000"/>
    <m/>
    <m/>
    <s v=""/>
    <n v="1"/>
    <s v="2"/>
    <s v="2"/>
    <n v="0"/>
    <n v="0"/>
    <n v="0"/>
    <n v="0"/>
    <n v="0"/>
    <n v="0"/>
    <n v="0"/>
    <n v="0"/>
    <n v="0"/>
  </r>
  <r>
    <s v="UCy8XLhlIl992JrAP2hgCscQ"/>
    <s v="UCaIeo4JpCmSTtmQfmfH4eAg"/>
    <s v="192, 192, 192"/>
    <n v="3"/>
    <m/>
    <n v="40"/>
    <m/>
    <m/>
    <m/>
    <m/>
    <s v="No"/>
    <n v="731"/>
    <m/>
    <m/>
    <s v="Replied Comment"/>
    <x v="1"/>
    <s v="Tnx yar for telling us,but it has no use to me but again THANK YOU 😊"/>
    <s v="UCy8XLhlIl992JrAP2hgCscQ"/>
    <s v="Sarita Devi"/>
    <s v="http://www.youtube.com/channel/UCy8XLhlIl992JrAP2hgCscQ"/>
    <s v="UgwDKLGFaQ5vIofNRo54AaABAg"/>
    <s v="fK1_SH3X2ek"/>
    <s v="https://www.youtube.com/watch?v=fK1_SH3X2ek"/>
    <s v="none"/>
    <n v="1"/>
    <x v="728"/>
    <d v="2020-10-20T15:32:18.000"/>
    <m/>
    <m/>
    <s v=""/>
    <n v="1"/>
    <s v="2"/>
    <s v="2"/>
    <n v="1"/>
    <n v="6.25"/>
    <n v="0"/>
    <n v="0"/>
    <n v="0"/>
    <n v="0"/>
    <n v="15"/>
    <n v="93.75"/>
    <n v="16"/>
  </r>
  <r>
    <s v="UC1l0Bbv3upJ90bFKIfT2JCA"/>
    <s v="UCaIeo4JpCmSTtmQfmfH4eAg"/>
    <s v="192, 192, 192"/>
    <n v="3"/>
    <m/>
    <n v="40"/>
    <m/>
    <m/>
    <m/>
    <m/>
    <s v="No"/>
    <n v="732"/>
    <m/>
    <m/>
    <s v="Replied Comment"/>
    <x v="1"/>
    <s v="If he can cure als then why didn&amp;#39;t he save Stephen Hawkings?"/>
    <s v="UC1l0Bbv3upJ90bFKIfT2JCA"/>
    <s v="mͥสyͣuͫkhツ Ghøsh"/>
    <s v="http://www.youtube.com/channel/UC1l0Bbv3upJ90bFKIfT2JCA"/>
    <s v="UgwDKLGFaQ5vIofNRo54AaABAg"/>
    <s v="fK1_SH3X2ek"/>
    <s v="https://www.youtube.com/watch?v=fK1_SH3X2ek"/>
    <s v="none"/>
    <n v="1"/>
    <x v="729"/>
    <d v="2020-10-31T08:29:17.000"/>
    <m/>
    <m/>
    <s v=""/>
    <n v="1"/>
    <s v="2"/>
    <s v="2"/>
    <n v="1"/>
    <n v="7.142857142857143"/>
    <n v="0"/>
    <n v="0"/>
    <n v="0"/>
    <n v="0"/>
    <n v="13"/>
    <n v="92.85714285714286"/>
    <n v="14"/>
  </r>
  <r>
    <s v="UCaIeo4JpCmSTtmQfmfH4eAg"/>
    <s v="UCaIeo4JpCmSTtmQfmfH4eAg"/>
    <s v="192, 192, 192"/>
    <n v="3"/>
    <m/>
    <n v="40"/>
    <m/>
    <m/>
    <m/>
    <m/>
    <s v="No"/>
    <n v="733"/>
    <m/>
    <m/>
    <s v="Replied Comment"/>
    <x v="1"/>
    <s v="@mͥสyͣuͫkhツ Ghøsh a lot of people don&amp;#39;t know about this great herbalist in africa, have Cure all kinds of disease"/>
    <s v="UCaIeo4JpCmSTtmQfmfH4eAg"/>
    <s v="Eric"/>
    <s v="http://www.youtube.com/channel/UCaIeo4JpCmSTtmQfmfH4eAg"/>
    <s v="UgwDKLGFaQ5vIofNRo54AaABAg"/>
    <s v="fK1_SH3X2ek"/>
    <s v="https://www.youtube.com/watch?v=fK1_SH3X2ek"/>
    <s v="none"/>
    <n v="0"/>
    <x v="730"/>
    <d v="2020-10-31T13:45:59.000"/>
    <m/>
    <m/>
    <s v=""/>
    <n v="1"/>
    <s v="2"/>
    <s v="2"/>
    <n v="2"/>
    <n v="8"/>
    <n v="0"/>
    <n v="0"/>
    <n v="0"/>
    <n v="0"/>
    <n v="23"/>
    <n v="92"/>
    <n v="25"/>
  </r>
  <r>
    <s v="UCaIeo4JpCmSTtmQfmfH4eAg"/>
    <s v="UCpNnv_kL4Jk8YG_VflnZpmg"/>
    <s v="192, 192, 192"/>
    <n v="3"/>
    <m/>
    <n v="40"/>
    <m/>
    <m/>
    <m/>
    <m/>
    <s v="No"/>
    <n v="734"/>
    <m/>
    <m/>
    <s v="Commented Video"/>
    <x v="0"/>
    <s v="I have been suffering from Herpes for the past 3 years and 8 months, and ever since then i have been taking series of treatment but there was no improvement until i came across testimonies of Dr odion on how he has been curing different people from different diseases all over the world, then i contacted him as well. After our conversation he sent me the medicine which i took according to his instructions. When i was done taking the herbal medicine i went for a medical checkup and to my greatest surprise i was cured from Herpes. My heart is so filled with joy. If you are suffering from Herpes or any other disease you can contact Dr Odion today on this email:drodionherbalhome12@&lt;a href=&quot;http://gmail.com/&quot;&gt;gmail.com&lt;/a&gt; WhatsApp him on this Number +234 9019421176 Dr odion cures:&lt;br&gt;1. HIV / AIDS&lt;br&gt;2. HERPES 1/2&lt;br&gt;3. CANCER&lt;br&gt;4. ALS (Lou Gehrig&amp;#39;s disease)&lt;br&gt;5. Hepatitis B&lt;br&gt;6. chronici pancreatic&lt;br&gt;7. emphysema&lt;br&gt;8. COPD (chronic obstructive pulmonary disease"/>
    <s v="UCaIeo4JpCmSTtmQfmfH4eAg"/>
    <s v="Eric"/>
    <s v="http://www.youtube.com/channel/UCaIeo4JpCmSTtmQfmfH4eAg"/>
    <m/>
    <s v="fK1_SH3X2ek"/>
    <s v="https://www.youtube.com/watch?v=fK1_SH3X2ek"/>
    <s v="none"/>
    <n v="3"/>
    <x v="731"/>
    <d v="2020-08-23T00:31:57.000"/>
    <s v=" http://gmail.com/"/>
    <s v="gmail.com"/>
    <s v=""/>
    <n v="1"/>
    <s v="2"/>
    <s v="2"/>
    <n v="4"/>
    <n v="2.2099447513812156"/>
    <n v="4"/>
    <n v="2.2099447513812156"/>
    <n v="0"/>
    <n v="0"/>
    <n v="173"/>
    <n v="95.58011049723757"/>
    <n v="181"/>
  </r>
  <r>
    <s v="UCD3JkquUUlOui749jhE6Mvg"/>
    <s v="UCpNnv_kL4Jk8YG_VflnZpmg"/>
    <s v="192, 192, 192"/>
    <n v="3"/>
    <m/>
    <n v="40"/>
    <m/>
    <m/>
    <m/>
    <m/>
    <s v="No"/>
    <n v="735"/>
    <m/>
    <m/>
    <s v="Commented Video"/>
    <x v="0"/>
    <s v="Yo who is in my class right now watching this video. Reply to me"/>
    <s v="UCD3JkquUUlOui749jhE6Mvg"/>
    <s v="Saad ElHayani"/>
    <s v="http://www.youtube.com/channel/UCD3JkquUUlOui749jhE6Mvg"/>
    <m/>
    <s v="fK1_SH3X2ek"/>
    <s v="https://www.youtube.com/watch?v=fK1_SH3X2ek"/>
    <s v="none"/>
    <n v="1"/>
    <x v="732"/>
    <d v="2020-09-22T16:57:47.000"/>
    <m/>
    <m/>
    <s v=""/>
    <n v="1"/>
    <s v="2"/>
    <s v="2"/>
    <n v="1"/>
    <n v="7.142857142857143"/>
    <n v="0"/>
    <n v="0"/>
    <n v="0"/>
    <n v="0"/>
    <n v="13"/>
    <n v="92.85714285714286"/>
    <n v="14"/>
  </r>
  <r>
    <s v="UCLj0oRJSMJlFtBvj2MqARiQ"/>
    <s v="UCpNnv_kL4Jk8YG_VflnZpmg"/>
    <s v="192, 192, 192"/>
    <n v="3"/>
    <m/>
    <n v="40"/>
    <m/>
    <m/>
    <m/>
    <m/>
    <s v="No"/>
    <n v="736"/>
    <m/>
    <m/>
    <s v="Commented Video"/>
    <x v="0"/>
    <s v="nice teaching"/>
    <s v="UCLj0oRJSMJlFtBvj2MqARiQ"/>
    <s v="ALDEN JOSIAH FERNANDES CLASS VI"/>
    <s v="http://www.youtube.com/channel/UCLj0oRJSMJlFtBvj2MqARiQ"/>
    <m/>
    <s v="fK1_SH3X2ek"/>
    <s v="https://www.youtube.com/watch?v=fK1_SH3X2ek"/>
    <s v="none"/>
    <n v="1"/>
    <x v="733"/>
    <d v="2020-09-29T07:49:54.000"/>
    <m/>
    <m/>
    <s v=""/>
    <n v="1"/>
    <s v="2"/>
    <s v="2"/>
    <n v="1"/>
    <n v="50"/>
    <n v="0"/>
    <n v="0"/>
    <n v="0"/>
    <n v="0"/>
    <n v="1"/>
    <n v="50"/>
    <n v="2"/>
  </r>
  <r>
    <s v="UC1aILpkji8MPAKECCmV6exQ"/>
    <s v="UCpNnv_kL4Jk8YG_VflnZpmg"/>
    <s v="Red"/>
    <n v="10"/>
    <m/>
    <n v="15"/>
    <m/>
    <m/>
    <m/>
    <m/>
    <s v="No"/>
    <n v="737"/>
    <m/>
    <m/>
    <s v="Commented Video"/>
    <x v="0"/>
    <s v="Nic"/>
    <s v="UC1aILpkji8MPAKECCmV6exQ"/>
    <s v="Sushila Kullu"/>
    <s v="http://www.youtube.com/channel/UC1aILpkji8MPAKECCmV6exQ"/>
    <m/>
    <s v="fK1_SH3X2ek"/>
    <s v="https://www.youtube.com/watch?v=fK1_SH3X2ek"/>
    <s v="none"/>
    <n v="0"/>
    <x v="734"/>
    <d v="2020-10-01T04:41:34.000"/>
    <m/>
    <m/>
    <s v=""/>
    <n v="2"/>
    <s v="2"/>
    <s v="2"/>
    <n v="0"/>
    <n v="0"/>
    <n v="0"/>
    <n v="0"/>
    <n v="0"/>
    <n v="0"/>
    <n v="1"/>
    <n v="100"/>
    <n v="1"/>
  </r>
  <r>
    <s v="UC1aILpkji8MPAKECCmV6exQ"/>
    <s v="UCpNnv_kL4Jk8YG_VflnZpmg"/>
    <s v="Red"/>
    <n v="10"/>
    <m/>
    <n v="15"/>
    <m/>
    <m/>
    <m/>
    <m/>
    <s v="No"/>
    <n v="738"/>
    <m/>
    <m/>
    <s v="Commented Video"/>
    <x v="0"/>
    <s v="Nice"/>
    <s v="UC1aILpkji8MPAKECCmV6exQ"/>
    <s v="Sushila Kullu"/>
    <s v="http://www.youtube.com/channel/UC1aILpkji8MPAKECCmV6exQ"/>
    <m/>
    <s v="fK1_SH3X2ek"/>
    <s v="https://www.youtube.com/watch?v=fK1_SH3X2ek"/>
    <s v="none"/>
    <n v="0"/>
    <x v="735"/>
    <d v="2020-10-01T04:41:46.000"/>
    <m/>
    <m/>
    <s v=""/>
    <n v="2"/>
    <s v="2"/>
    <s v="2"/>
    <n v="1"/>
    <n v="100"/>
    <n v="0"/>
    <n v="0"/>
    <n v="0"/>
    <n v="0"/>
    <n v="0"/>
    <n v="0"/>
    <n v="1"/>
  </r>
  <r>
    <s v="UCjXQ1_b7RUp86iL0t4I4XrQ"/>
    <s v="UCpNnv_kL4Jk8YG_VflnZpmg"/>
    <s v="192, 192, 192"/>
    <n v="3"/>
    <m/>
    <n v="40"/>
    <m/>
    <m/>
    <m/>
    <m/>
    <s v="No"/>
    <n v="739"/>
    <m/>
    <m/>
    <s v="Commented Video"/>
    <x v="0"/>
    <s v="good video."/>
    <s v="UCjXQ1_b7RUp86iL0t4I4XrQ"/>
    <s v="renuka pulchand"/>
    <s v="http://www.youtube.com/channel/UCjXQ1_b7RUp86iL0t4I4XrQ"/>
    <m/>
    <s v="fK1_SH3X2ek"/>
    <s v="https://www.youtube.com/watch?v=fK1_SH3X2ek"/>
    <s v="none"/>
    <n v="0"/>
    <x v="736"/>
    <d v="2020-10-14T03:15:18.000"/>
    <m/>
    <m/>
    <s v=""/>
    <n v="1"/>
    <s v="2"/>
    <s v="2"/>
    <n v="1"/>
    <n v="50"/>
    <n v="0"/>
    <n v="0"/>
    <n v="0"/>
    <n v="0"/>
    <n v="1"/>
    <n v="50"/>
    <n v="2"/>
  </r>
  <r>
    <s v="UCBWw8SH9UeJw3XQVEBJtQrA"/>
    <s v="UCpNnv_kL4Jk8YG_VflnZpmg"/>
    <s v="192, 192, 192"/>
    <n v="3"/>
    <m/>
    <n v="40"/>
    <m/>
    <m/>
    <m/>
    <m/>
    <s v="No"/>
    <n v="740"/>
    <m/>
    <m/>
    <s v="Commented Video"/>
    <x v="0"/>
    <s v="I love these  video"/>
    <s v="UCBWw8SH9UeJw3XQVEBJtQrA"/>
    <s v="Rahul Wankhede"/>
    <s v="http://www.youtube.com/channel/UCBWw8SH9UeJw3XQVEBJtQrA"/>
    <m/>
    <s v="fK1_SH3X2ek"/>
    <s v="https://www.youtube.com/watch?v=fK1_SH3X2ek"/>
    <s v="none"/>
    <n v="0"/>
    <x v="737"/>
    <d v="2020-10-22T07:09:58.000"/>
    <m/>
    <m/>
    <s v=""/>
    <n v="1"/>
    <s v="2"/>
    <s v="2"/>
    <n v="1"/>
    <n v="25"/>
    <n v="0"/>
    <n v="0"/>
    <n v="0"/>
    <n v="0"/>
    <n v="3"/>
    <n v="75"/>
    <n v="4"/>
  </r>
  <r>
    <s v="UCSFVipfASWh43ZpnFG3Alvg"/>
    <s v="UCpNnv_kL4Jk8YG_VflnZpmg"/>
    <s v="192, 192, 192"/>
    <n v="3"/>
    <m/>
    <n v="40"/>
    <m/>
    <m/>
    <m/>
    <m/>
    <s v="No"/>
    <n v="741"/>
    <m/>
    <m/>
    <s v="Commented Video"/>
    <x v="0"/>
    <s v="Who else&amp;#39;s healt teacher making u watch this"/>
    <s v="UCSFVipfASWh43ZpnFG3Alvg"/>
    <s v="Yomanzzz"/>
    <s v="http://www.youtube.com/channel/UCSFVipfASWh43ZpnFG3Alvg"/>
    <m/>
    <s v="fK1_SH3X2ek"/>
    <s v="https://www.youtube.com/watch?v=fK1_SH3X2ek"/>
    <s v="none"/>
    <n v="11"/>
    <x v="738"/>
    <d v="2020-10-22T20:36:02.000"/>
    <m/>
    <m/>
    <s v=""/>
    <n v="1"/>
    <s v="2"/>
    <s v="2"/>
    <n v="0"/>
    <n v="0"/>
    <n v="0"/>
    <n v="0"/>
    <n v="0"/>
    <n v="0"/>
    <n v="10"/>
    <n v="100"/>
    <n v="10"/>
  </r>
  <r>
    <s v="UCmtBrY48_j-28UhxzpxRVyg"/>
    <s v="UCpNnv_kL4Jk8YG_VflnZpmg"/>
    <s v="192, 192, 192"/>
    <n v="3"/>
    <m/>
    <n v="40"/>
    <m/>
    <m/>
    <m/>
    <m/>
    <s v="No"/>
    <n v="742"/>
    <m/>
    <m/>
    <s v="Commented Video"/>
    <x v="0"/>
    <s v="Jzjsjs"/>
    <s v="UCmtBrY48_j-28UhxzpxRVyg"/>
    <s v="Dark Gaming"/>
    <s v="http://www.youtube.com/channel/UCmtBrY48_j-28UhxzpxRVyg"/>
    <m/>
    <s v="fK1_SH3X2ek"/>
    <s v="https://www.youtube.com/watch?v=fK1_SH3X2ek"/>
    <s v="none"/>
    <n v="0"/>
    <x v="739"/>
    <d v="2020-10-28T02:27:17.000"/>
    <m/>
    <m/>
    <s v=""/>
    <n v="1"/>
    <s v="2"/>
    <s v="2"/>
    <n v="0"/>
    <n v="0"/>
    <n v="0"/>
    <n v="0"/>
    <n v="0"/>
    <n v="0"/>
    <n v="1"/>
    <n v="100"/>
    <n v="1"/>
  </r>
  <r>
    <s v="UC1l0Bbv3upJ90bFKIfT2JCA"/>
    <s v="UCpNnv_kL4Jk8YG_VflnZpmg"/>
    <s v="192, 192, 192"/>
    <n v="3"/>
    <m/>
    <n v="40"/>
    <m/>
    <m/>
    <m/>
    <m/>
    <s v="No"/>
    <n v="743"/>
    <m/>
    <m/>
    <s v="Commented Video"/>
    <x v="0"/>
    <s v="Hmm"/>
    <s v="UC1l0Bbv3upJ90bFKIfT2JCA"/>
    <s v="mͥสyͣuͫkhツ Ghøsh"/>
    <s v="http://www.youtube.com/channel/UC1l0Bbv3upJ90bFKIfT2JCA"/>
    <m/>
    <s v="fK1_SH3X2ek"/>
    <s v="https://www.youtube.com/watch?v=fK1_SH3X2ek"/>
    <s v="none"/>
    <n v="2"/>
    <x v="740"/>
    <d v="2020-10-31T08:28:07.000"/>
    <m/>
    <m/>
    <s v=""/>
    <n v="1"/>
    <s v="2"/>
    <s v="2"/>
    <n v="0"/>
    <n v="0"/>
    <n v="0"/>
    <n v="0"/>
    <n v="0"/>
    <n v="0"/>
    <n v="1"/>
    <n v="100"/>
    <n v="1"/>
  </r>
  <r>
    <s v="UCkoGhJVmkMOztmnzPa30EWA"/>
    <s v="UCpNnv_kL4Jk8YG_VflnZpmg"/>
    <s v="192, 192, 192"/>
    <n v="3"/>
    <m/>
    <n v="40"/>
    <m/>
    <m/>
    <m/>
    <m/>
    <s v="No"/>
    <n v="744"/>
    <m/>
    <m/>
    <s v="Commented Video"/>
    <x v="0"/>
    <s v="I like it for aaral"/>
    <s v="UCkoGhJVmkMOztmnzPa30EWA"/>
    <s v="Aida Batac"/>
    <s v="http://www.youtube.com/channel/UCkoGhJVmkMOztmnzPa30EWA"/>
    <m/>
    <s v="fK1_SH3X2ek"/>
    <s v="https://www.youtube.com/watch?v=fK1_SH3X2ek"/>
    <s v="none"/>
    <n v="0"/>
    <x v="741"/>
    <d v="2020-11-05T06:35:19.000"/>
    <m/>
    <m/>
    <s v=""/>
    <n v="1"/>
    <s v="2"/>
    <s v="2"/>
    <n v="1"/>
    <n v="20"/>
    <n v="0"/>
    <n v="0"/>
    <n v="0"/>
    <n v="0"/>
    <n v="4"/>
    <n v="80"/>
    <n v="5"/>
  </r>
  <r>
    <s v="UCUUcUvc-YNLzYoX7ztHzLsw"/>
    <s v="UCpNnv_kL4Jk8YG_VflnZpmg"/>
    <s v="192, 192, 192"/>
    <n v="3"/>
    <m/>
    <n v="40"/>
    <m/>
    <m/>
    <m/>
    <m/>
    <s v="No"/>
    <n v="745"/>
    <m/>
    <m/>
    <s v="Commented Video"/>
    <x v="0"/>
    <s v="Good"/>
    <s v="UCUUcUvc-YNLzYoX7ztHzLsw"/>
    <s v="Gerald rogers"/>
    <s v="http://www.youtube.com/channel/UCUUcUvc-YNLzYoX7ztHzLsw"/>
    <m/>
    <s v="fK1_SH3X2ek"/>
    <s v="https://www.youtube.com/watch?v=fK1_SH3X2ek"/>
    <s v="none"/>
    <n v="0"/>
    <x v="742"/>
    <d v="2020-11-09T03:40:58.000"/>
    <m/>
    <m/>
    <s v=""/>
    <n v="1"/>
    <s v="2"/>
    <s v="2"/>
    <n v="1"/>
    <n v="100"/>
    <n v="0"/>
    <n v="0"/>
    <n v="0"/>
    <n v="0"/>
    <n v="0"/>
    <n v="0"/>
    <n v="1"/>
  </r>
  <r>
    <s v="UC-MVjybu6gbAbIDiQosKimA"/>
    <s v="UC-MVjybu6gbAbIDiQosKimA"/>
    <s v="192, 192, 192"/>
    <n v="3"/>
    <m/>
    <n v="40"/>
    <m/>
    <m/>
    <m/>
    <m/>
    <s v="No"/>
    <n v="746"/>
    <m/>
    <m/>
    <s v="Replied Comment"/>
    <x v="1"/>
    <s v="btw why do they think it is easy to make one of the most profitible things just be replaced?"/>
    <s v="UC-MVjybu6gbAbIDiQosKimA"/>
    <s v="Ryan McNeish"/>
    <s v="http://www.youtube.com/channel/UC-MVjybu6gbAbIDiQosKimA"/>
    <s v="Ugy9rNk_rG2uiOPdzyh4AaABAg"/>
    <s v="fK1_SH3X2ek"/>
    <s v="https://www.youtube.com/watch?v=fK1_SH3X2ek"/>
    <s v="none"/>
    <n v="0"/>
    <x v="743"/>
    <d v="2020-11-20T00:20:21.000"/>
    <m/>
    <m/>
    <s v=""/>
    <n v="1"/>
    <s v="2"/>
    <s v="2"/>
    <n v="1"/>
    <n v="5.2631578947368425"/>
    <n v="0"/>
    <n v="0"/>
    <n v="0"/>
    <n v="0"/>
    <n v="18"/>
    <n v="94.73684210526316"/>
    <n v="19"/>
  </r>
  <r>
    <s v="UC-MVjybu6gbAbIDiQosKimA"/>
    <s v="UCpNnv_kL4Jk8YG_VflnZpmg"/>
    <s v="192, 192, 192"/>
    <n v="3"/>
    <m/>
    <n v="40"/>
    <m/>
    <m/>
    <m/>
    <m/>
    <s v="No"/>
    <n v="747"/>
    <m/>
    <m/>
    <s v="Commented Video"/>
    <x v="0"/>
    <s v="&amp;quot;Country`s of the americas...&amp;quot; ~ The narrator of that video"/>
    <s v="UC-MVjybu6gbAbIDiQosKimA"/>
    <s v="Ryan McNeish"/>
    <s v="http://www.youtube.com/channel/UC-MVjybu6gbAbIDiQosKimA"/>
    <m/>
    <s v="fK1_SH3X2ek"/>
    <s v="https://www.youtube.com/watch?v=fK1_SH3X2ek"/>
    <s v="none"/>
    <n v="0"/>
    <x v="744"/>
    <d v="2020-11-20T00:18:59.000"/>
    <m/>
    <m/>
    <s v=""/>
    <n v="1"/>
    <s v="2"/>
    <s v="2"/>
    <n v="0"/>
    <n v="0"/>
    <n v="0"/>
    <n v="0"/>
    <n v="0"/>
    <n v="0"/>
    <n v="12"/>
    <n v="100"/>
    <n v="12"/>
  </r>
  <r>
    <s v="UCqTGL2iGxZBMK9l4EWPg1Ug"/>
    <s v="UCpNnv_kL4Jk8YG_VflnZpmg"/>
    <s v="192, 192, 192"/>
    <n v="3"/>
    <m/>
    <n v="40"/>
    <m/>
    <m/>
    <m/>
    <m/>
    <s v="No"/>
    <n v="748"/>
    <m/>
    <m/>
    <s v="Commented Video"/>
    <x v="0"/>
    <s v="&lt;a href=&quot;https://www.youtube.com/watch?v=fK1_SH3X2ek&amp;amp;t=2m13s&quot;&gt;2:13&lt;/a&gt; try telling that to us government!"/>
    <s v="UCqTGL2iGxZBMK9l4EWPg1Ug"/>
    <s v="Colten Pearson"/>
    <s v="http://www.youtube.com/channel/UCqTGL2iGxZBMK9l4EWPg1Ug"/>
    <m/>
    <s v="fK1_SH3X2ek"/>
    <s v="https://www.youtube.com/watch?v=fK1_SH3X2ek"/>
    <s v="none"/>
    <n v="3"/>
    <x v="745"/>
    <d v="2020-12-01T18:48:16.000"/>
    <s v=" https://www.youtube.com/watch?v=fK1_SH3X2ek&amp;amp;t=2m13s"/>
    <s v="youtube.com"/>
    <s v=""/>
    <n v="1"/>
    <s v="2"/>
    <s v="2"/>
    <n v="0"/>
    <n v="0"/>
    <n v="0"/>
    <n v="0"/>
    <n v="0"/>
    <n v="0"/>
    <n v="21"/>
    <n v="100"/>
    <n v="21"/>
  </r>
  <r>
    <s v="UC6E4aPR3UIKueoV4Zv4vCeA"/>
    <s v="UCgquf9LuuyNk4tYNC7gZKgg"/>
    <s v="192, 192, 192"/>
    <n v="3"/>
    <m/>
    <n v="40"/>
    <m/>
    <m/>
    <m/>
    <m/>
    <s v="No"/>
    <n v="749"/>
    <m/>
    <m/>
    <s v="Replied Comment"/>
    <x v="1"/>
    <s v="nO helP meeew"/>
    <s v="UC6E4aPR3UIKueoV4Zv4vCeA"/>
    <s v="FuriousShadow"/>
    <s v="http://www.youtube.com/channel/UC6E4aPR3UIKueoV4Zv4vCeA"/>
    <s v="Ugzk2T4uEJtYGd9zIEZ4AaABAg"/>
    <s v="fK1_SH3X2ek"/>
    <s v="https://www.youtube.com/watch?v=fK1_SH3X2ek"/>
    <s v="none"/>
    <n v="0"/>
    <x v="746"/>
    <d v="2021-03-05T18:43:51.000"/>
    <m/>
    <m/>
    <s v=""/>
    <n v="1"/>
    <s v="2"/>
    <s v="2"/>
    <n v="0"/>
    <n v="0"/>
    <n v="0"/>
    <n v="0"/>
    <n v="0"/>
    <n v="0"/>
    <n v="3"/>
    <n v="100"/>
    <n v="3"/>
  </r>
  <r>
    <s v="UCgquf9LuuyNk4tYNC7gZKgg"/>
    <s v="UCpNnv_kL4Jk8YG_VflnZpmg"/>
    <s v="192, 192, 192"/>
    <n v="3"/>
    <m/>
    <n v="40"/>
    <m/>
    <m/>
    <m/>
    <m/>
    <s v="No"/>
    <n v="750"/>
    <m/>
    <m/>
    <s v="Commented Video"/>
    <x v="0"/>
    <s v="I was forced to watch this because of my health teacher. help."/>
    <s v="UCgquf9LuuyNk4tYNC7gZKgg"/>
    <s v="Error404"/>
    <s v="http://www.youtube.com/channel/UCgquf9LuuyNk4tYNC7gZKgg"/>
    <m/>
    <s v="fK1_SH3X2ek"/>
    <s v="https://www.youtube.com/watch?v=fK1_SH3X2ek"/>
    <s v="none"/>
    <n v="8"/>
    <x v="747"/>
    <d v="2020-12-08T01:31:37.000"/>
    <m/>
    <m/>
    <s v=""/>
    <n v="1"/>
    <s v="2"/>
    <s v="2"/>
    <n v="0"/>
    <n v="0"/>
    <n v="0"/>
    <n v="0"/>
    <n v="0"/>
    <n v="0"/>
    <n v="12"/>
    <n v="100"/>
    <n v="12"/>
  </r>
  <r>
    <s v="UCPO2vYJeMPUThpD2I7nA5KQ"/>
    <s v="UCpNnv_kL4Jk8YG_VflnZpmg"/>
    <s v="192, 192, 192"/>
    <n v="3"/>
    <m/>
    <n v="40"/>
    <m/>
    <m/>
    <m/>
    <m/>
    <s v="No"/>
    <n v="751"/>
    <m/>
    <m/>
    <s v="Commented Video"/>
    <x v="0"/>
    <s v="Hi"/>
    <s v="UCPO2vYJeMPUThpD2I7nA5KQ"/>
    <s v="Hana Tesfaye"/>
    <s v="http://www.youtube.com/channel/UCPO2vYJeMPUThpD2I7nA5KQ"/>
    <m/>
    <s v="fK1_SH3X2ek"/>
    <s v="https://www.youtube.com/watch?v=fK1_SH3X2ek"/>
    <s v="none"/>
    <n v="0"/>
    <x v="748"/>
    <d v="2021-01-13T17:29:37.000"/>
    <m/>
    <m/>
    <s v=""/>
    <n v="1"/>
    <s v="2"/>
    <s v="2"/>
    <n v="0"/>
    <n v="0"/>
    <n v="0"/>
    <n v="0"/>
    <n v="0"/>
    <n v="0"/>
    <n v="1"/>
    <n v="100"/>
    <n v="1"/>
  </r>
  <r>
    <s v="UChTJoaRW4cXLkDd7UQsILEw"/>
    <s v="UCpNnv_kL4Jk8YG_VflnZpmg"/>
    <s v="192, 192, 192"/>
    <n v="3"/>
    <m/>
    <n v="40"/>
    <m/>
    <m/>
    <m/>
    <m/>
    <s v="No"/>
    <n v="752"/>
    <m/>
    <m/>
    <s v="Commented Video"/>
    <x v="0"/>
    <s v="How else are watching this video because of exams 👩‍💻"/>
    <s v="UChTJoaRW4cXLkDd7UQsILEw"/>
    <s v="Kabita Devi"/>
    <s v="http://www.youtube.com/channel/UChTJoaRW4cXLkDd7UQsILEw"/>
    <m/>
    <s v="fK1_SH3X2ek"/>
    <s v="https://www.youtube.com/watch?v=fK1_SH3X2ek"/>
    <s v="none"/>
    <n v="1"/>
    <x v="749"/>
    <d v="2021-01-23T16:14:54.000"/>
    <m/>
    <m/>
    <s v=""/>
    <n v="1"/>
    <s v="2"/>
    <s v="2"/>
    <n v="0"/>
    <n v="0"/>
    <n v="0"/>
    <n v="0"/>
    <n v="0"/>
    <n v="0"/>
    <n v="9"/>
    <n v="100"/>
    <n v="9"/>
  </r>
  <r>
    <s v="UCnRYGBsqdgTYMJN96h4DoTQ"/>
    <s v="UCXptVAEtFVNWoBYkirxhSHg"/>
    <s v="192, 192, 192"/>
    <n v="3"/>
    <m/>
    <n v="40"/>
    <m/>
    <m/>
    <m/>
    <m/>
    <s v="No"/>
    <n v="753"/>
    <m/>
    <m/>
    <s v="Replied Comment"/>
    <x v="1"/>
    <s v="Same bro"/>
    <s v="UCnRYGBsqdgTYMJN96h4DoTQ"/>
    <s v="GREENWH33L_YT"/>
    <s v="http://www.youtube.com/channel/UCnRYGBsqdgTYMJN96h4DoTQ"/>
    <s v="UgzY3vImspwDUTKOFx94AaABAg"/>
    <s v="fK1_SH3X2ek"/>
    <s v="https://www.youtube.com/watch?v=fK1_SH3X2ek"/>
    <s v="none"/>
    <n v="1"/>
    <x v="750"/>
    <d v="2021-06-14T15:51:00.000"/>
    <m/>
    <m/>
    <s v=""/>
    <n v="1"/>
    <s v="2"/>
    <s v="2"/>
    <n v="0"/>
    <n v="0"/>
    <n v="0"/>
    <n v="0"/>
    <n v="0"/>
    <n v="0"/>
    <n v="2"/>
    <n v="100"/>
    <n v="2"/>
  </r>
  <r>
    <s v="UCXptVAEtFVNWoBYkirxhSHg"/>
    <s v="UCpNnv_kL4Jk8YG_VflnZpmg"/>
    <s v="192, 192, 192"/>
    <n v="3"/>
    <m/>
    <n v="40"/>
    <m/>
    <m/>
    <m/>
    <m/>
    <s v="No"/>
    <n v="754"/>
    <m/>
    <m/>
    <s v="Commented Video"/>
    <x v="0"/>
    <s v="My teacher sent me this in google classroom"/>
    <s v="UCXptVAEtFVNWoBYkirxhSHg"/>
    <s v="Pro 1234"/>
    <s v="http://www.youtube.com/channel/UCXptVAEtFVNWoBYkirxhSHg"/>
    <m/>
    <s v="fK1_SH3X2ek"/>
    <s v="https://www.youtube.com/watch?v=fK1_SH3X2ek"/>
    <s v="none"/>
    <n v="19"/>
    <x v="751"/>
    <d v="2021-01-25T05:38:52.000"/>
    <m/>
    <m/>
    <s v=""/>
    <n v="1"/>
    <s v="2"/>
    <s v="2"/>
    <n v="0"/>
    <n v="0"/>
    <n v="0"/>
    <n v="0"/>
    <n v="0"/>
    <n v="0"/>
    <n v="8"/>
    <n v="100"/>
    <n v="8"/>
  </r>
  <r>
    <s v="UCYbcr3YlItwbRXxWJhXfPMQ"/>
    <s v="UCpNnv_kL4Jk8YG_VflnZpmg"/>
    <s v="192, 192, 192"/>
    <n v="3"/>
    <m/>
    <n v="40"/>
    <m/>
    <m/>
    <m/>
    <m/>
    <s v="No"/>
    <n v="755"/>
    <m/>
    <m/>
    <s v="Commented Video"/>
    <x v="0"/>
    <s v="Yo this is for a kid named Daniel Reply now"/>
    <s v="UCYbcr3YlItwbRXxWJhXfPMQ"/>
    <s v="Hamza Daaboul"/>
    <s v="http://www.youtube.com/channel/UCYbcr3YlItwbRXxWJhXfPMQ"/>
    <m/>
    <s v="fK1_SH3X2ek"/>
    <s v="https://www.youtube.com/watch?v=fK1_SH3X2ek"/>
    <s v="none"/>
    <n v="0"/>
    <x v="752"/>
    <d v="2021-02-08T18:47:41.000"/>
    <m/>
    <m/>
    <s v=""/>
    <n v="1"/>
    <s v="2"/>
    <s v="2"/>
    <n v="0"/>
    <n v="0"/>
    <n v="0"/>
    <n v="0"/>
    <n v="0"/>
    <n v="0"/>
    <n v="10"/>
    <n v="100"/>
    <n v="10"/>
  </r>
  <r>
    <s v="UCHmOPF4RgEpc7Cn_fQchGLw"/>
    <s v="UCpNnv_kL4Jk8YG_VflnZpmg"/>
    <s v="192, 192, 192"/>
    <n v="3"/>
    <m/>
    <n v="40"/>
    <m/>
    <m/>
    <m/>
    <m/>
    <s v="No"/>
    <n v="756"/>
    <m/>
    <m/>
    <s v="Commented Video"/>
    <x v="0"/>
    <s v="same video was shown in my classrom"/>
    <s v="UCHmOPF4RgEpc7Cn_fQchGLw"/>
    <s v="Agent 190"/>
    <s v="http://www.youtube.com/channel/UCHmOPF4RgEpc7Cn_fQchGLw"/>
    <m/>
    <s v="fK1_SH3X2ek"/>
    <s v="https://www.youtube.com/watch?v=fK1_SH3X2ek"/>
    <s v="none"/>
    <n v="0"/>
    <x v="753"/>
    <d v="2021-02-13T11:07:59.000"/>
    <m/>
    <m/>
    <s v=""/>
    <n v="1"/>
    <s v="2"/>
    <s v="2"/>
    <n v="0"/>
    <n v="0"/>
    <n v="0"/>
    <n v="0"/>
    <n v="0"/>
    <n v="0"/>
    <n v="7"/>
    <n v="100"/>
    <n v="7"/>
  </r>
  <r>
    <s v="UCruo99Y6FBB2DcBuWKn4lsw"/>
    <s v="UCpNnv_kL4Jk8YG_VflnZpmg"/>
    <s v="192, 192, 192"/>
    <n v="3"/>
    <m/>
    <n v="40"/>
    <m/>
    <m/>
    <m/>
    <m/>
    <s v="No"/>
    <n v="757"/>
    <m/>
    <m/>
    <s v="Commented Video"/>
    <x v="0"/>
    <s v="you can be our teacher?"/>
    <s v="UCruo99Y6FBB2DcBuWKn4lsw"/>
    <s v="Aster Sanchez"/>
    <s v="http://www.youtube.com/channel/UCruo99Y6FBB2DcBuWKn4lsw"/>
    <m/>
    <s v="fK1_SH3X2ek"/>
    <s v="https://www.youtube.com/watch?v=fK1_SH3X2ek"/>
    <s v="none"/>
    <n v="1"/>
    <x v="754"/>
    <d v="2021-02-21T03:47:53.000"/>
    <m/>
    <m/>
    <s v=""/>
    <n v="1"/>
    <s v="2"/>
    <s v="2"/>
    <n v="0"/>
    <n v="0"/>
    <n v="0"/>
    <n v="0"/>
    <n v="0"/>
    <n v="0"/>
    <n v="5"/>
    <n v="100"/>
    <n v="5"/>
  </r>
  <r>
    <s v="UChDxGApugufXgdbkew0BHEA"/>
    <s v="UCpNnv_kL4Jk8YG_VflnZpmg"/>
    <s v="192, 192, 192"/>
    <n v="3"/>
    <m/>
    <n v="40"/>
    <m/>
    <m/>
    <m/>
    <m/>
    <s v="No"/>
    <n v="758"/>
    <m/>
    <m/>
    <s v="Commented Video"/>
    <x v="0"/>
    <s v="Who&amp;#39;s health teacher forced you to watch this?"/>
    <s v="UChDxGApugufXgdbkew0BHEA"/>
    <s v="Collen"/>
    <s v="http://www.youtube.com/channel/UChDxGApugufXgdbkew0BHEA"/>
    <m/>
    <s v="fK1_SH3X2ek"/>
    <s v="https://www.youtube.com/watch?v=fK1_SH3X2ek"/>
    <s v="none"/>
    <n v="2"/>
    <x v="755"/>
    <d v="2021-03-11T03:25:33.000"/>
    <m/>
    <m/>
    <s v=""/>
    <n v="1"/>
    <s v="2"/>
    <s v="2"/>
    <n v="0"/>
    <n v="0"/>
    <n v="0"/>
    <n v="0"/>
    <n v="0"/>
    <n v="0"/>
    <n v="10"/>
    <n v="100"/>
    <n v="10"/>
  </r>
  <r>
    <s v="UCGG7n9NThURR_CUkef32Y9Q"/>
    <s v="UCpNnv_kL4Jk8YG_VflnZpmg"/>
    <s v="192, 192, 192"/>
    <n v="3"/>
    <m/>
    <n v="40"/>
    <m/>
    <m/>
    <m/>
    <m/>
    <s v="No"/>
    <n v="759"/>
    <m/>
    <m/>
    <s v="Commented Video"/>
    <x v="0"/>
    <s v="hi classmates"/>
    <s v="UCGG7n9NThURR_CUkef32Y9Q"/>
    <s v="Lander"/>
    <s v="http://www.youtube.com/channel/UCGG7n9NThURR_CUkef32Y9Q"/>
    <m/>
    <s v="fK1_SH3X2ek"/>
    <s v="https://www.youtube.com/watch?v=fK1_SH3X2ek"/>
    <s v="none"/>
    <n v="0"/>
    <x v="756"/>
    <d v="2021-04-12T06:46:01.000"/>
    <m/>
    <m/>
    <s v=""/>
    <n v="1"/>
    <s v="2"/>
    <s v="2"/>
    <n v="0"/>
    <n v="0"/>
    <n v="0"/>
    <n v="0"/>
    <n v="0"/>
    <n v="0"/>
    <n v="2"/>
    <n v="100"/>
    <n v="2"/>
  </r>
  <r>
    <s v="UCQpqRbnxeGP47QFTnpEkY8Q"/>
    <s v="UCpNnv_kL4Jk8YG_VflnZpmg"/>
    <s v="192, 192, 192"/>
    <n v="3"/>
    <m/>
    <n v="40"/>
    <m/>
    <m/>
    <m/>
    <m/>
    <s v="No"/>
    <n v="760"/>
    <m/>
    <m/>
    <s v="Commented Video"/>
    <x v="0"/>
    <s v="&amp;quot;this is the great epidemic of our age&amp;quot;&lt;br&gt;that would be the.....nevermind"/>
    <s v="UCQpqRbnxeGP47QFTnpEkY8Q"/>
    <s v="Radcliff Alabas"/>
    <s v="http://www.youtube.com/channel/UCQpqRbnxeGP47QFTnpEkY8Q"/>
    <m/>
    <s v="fK1_SH3X2ek"/>
    <s v="https://www.youtube.com/watch?v=fK1_SH3X2ek"/>
    <s v="none"/>
    <n v="0"/>
    <x v="757"/>
    <d v="2021-04-13T02:42:15.000"/>
    <m/>
    <m/>
    <s v=""/>
    <n v="1"/>
    <s v="2"/>
    <s v="2"/>
    <n v="1"/>
    <n v="6.25"/>
    <n v="1"/>
    <n v="6.25"/>
    <n v="0"/>
    <n v="0"/>
    <n v="14"/>
    <n v="87.5"/>
    <n v="16"/>
  </r>
  <r>
    <s v="UCF5ChGDslgBBC95Q2q_mqTA"/>
    <s v="UCpNnv_kL4Jk8YG_VflnZpmg"/>
    <s v="192, 192, 192"/>
    <n v="3"/>
    <m/>
    <n v="40"/>
    <m/>
    <m/>
    <m/>
    <m/>
    <s v="No"/>
    <n v="761"/>
    <m/>
    <m/>
    <s v="Commented Video"/>
    <x v="0"/>
    <s v="I disliked the video &amp;gt;:)"/>
    <s v="UCF5ChGDslgBBC95Q2q_mqTA"/>
    <s v="Edward Copeland"/>
    <s v="http://www.youtube.com/channel/UCF5ChGDslgBBC95Q2q_mqTA"/>
    <m/>
    <s v="fK1_SH3X2ek"/>
    <s v="https://www.youtube.com/watch?v=fK1_SH3X2ek"/>
    <s v="none"/>
    <n v="0"/>
    <x v="758"/>
    <d v="2021-04-21T22:00:03.000"/>
    <m/>
    <m/>
    <s v=""/>
    <n v="1"/>
    <s v="2"/>
    <s v="2"/>
    <n v="0"/>
    <n v="0"/>
    <n v="1"/>
    <n v="20"/>
    <n v="0"/>
    <n v="0"/>
    <n v="4"/>
    <n v="80"/>
    <n v="5"/>
  </r>
  <r>
    <s v="UCxWv4IME8TBjpAxZTkah88g"/>
    <s v="UC_V7nOjrL1MJU2JZ-6wyrXg"/>
    <s v="192, 192, 192"/>
    <n v="3"/>
    <m/>
    <n v="40"/>
    <m/>
    <m/>
    <m/>
    <m/>
    <s v="No"/>
    <n v="762"/>
    <m/>
    <m/>
    <s v="Replied Comment"/>
    <x v="1"/>
    <s v="Same"/>
    <s v="UCxWv4IME8TBjpAxZTkah88g"/>
    <s v="Shadei"/>
    <s v="http://www.youtube.com/channel/UCxWv4IME8TBjpAxZTkah88g"/>
    <s v="UgyltWU6FV2kpylekn14AaABAg"/>
    <s v="fK1_SH3X2ek"/>
    <s v="https://www.youtube.com/watch?v=fK1_SH3X2ek"/>
    <s v="none"/>
    <n v="1"/>
    <x v="759"/>
    <d v="2021-05-03T16:39:00.000"/>
    <m/>
    <m/>
    <s v=""/>
    <n v="1"/>
    <s v="2"/>
    <s v="2"/>
    <n v="0"/>
    <n v="0"/>
    <n v="0"/>
    <n v="0"/>
    <n v="0"/>
    <n v="0"/>
    <n v="1"/>
    <n v="100"/>
    <n v="1"/>
  </r>
  <r>
    <s v="UC_V7nOjrL1MJU2JZ-6wyrXg"/>
    <s v="UCpNnv_kL4Jk8YG_VflnZpmg"/>
    <s v="192, 192, 192"/>
    <n v="3"/>
    <m/>
    <n v="40"/>
    <m/>
    <m/>
    <m/>
    <m/>
    <s v="No"/>
    <n v="763"/>
    <m/>
    <m/>
    <s v="Commented Video"/>
    <x v="0"/>
    <s v="My teacher is making me watch this"/>
    <s v="UC_V7nOjrL1MJU2JZ-6wyrXg"/>
    <s v="s!mp_ chXn"/>
    <s v="http://www.youtube.com/channel/UC_V7nOjrL1MJU2JZ-6wyrXg"/>
    <m/>
    <s v="fK1_SH3X2ek"/>
    <s v="https://www.youtube.com/watch?v=fK1_SH3X2ek"/>
    <s v="none"/>
    <n v="0"/>
    <x v="760"/>
    <d v="2021-05-03T16:02:37.000"/>
    <m/>
    <m/>
    <s v=""/>
    <n v="1"/>
    <s v="2"/>
    <s v="2"/>
    <n v="0"/>
    <n v="0"/>
    <n v="0"/>
    <n v="0"/>
    <n v="0"/>
    <n v="0"/>
    <n v="7"/>
    <n v="100"/>
    <n v="7"/>
  </r>
  <r>
    <s v="UCbieuM_WCd6wC0enOietzdQ"/>
    <s v="UCpNnv_kL4Jk8YG_VflnZpmg"/>
    <s v="192, 192, 192"/>
    <n v="3"/>
    <m/>
    <n v="40"/>
    <m/>
    <m/>
    <m/>
    <m/>
    <s v="No"/>
    <n v="764"/>
    <m/>
    <m/>
    <s v="Commented Video"/>
    <x v="0"/>
    <s v="My Springdales teacher send me this in Google classroom"/>
    <s v="UCbieuM_WCd6wC0enOietzdQ"/>
    <s v="Bhavya Show"/>
    <s v="http://www.youtube.com/channel/UCbieuM_WCd6wC0enOietzdQ"/>
    <m/>
    <s v="fK1_SH3X2ek"/>
    <s v="https://www.youtube.com/watch?v=fK1_SH3X2ek"/>
    <s v="none"/>
    <n v="0"/>
    <x v="761"/>
    <d v="2021-05-05T09:25:57.000"/>
    <m/>
    <m/>
    <s v=""/>
    <n v="1"/>
    <s v="2"/>
    <s v="2"/>
    <n v="0"/>
    <n v="0"/>
    <n v="0"/>
    <n v="0"/>
    <n v="0"/>
    <n v="0"/>
    <n v="9"/>
    <n v="100"/>
    <n v="9"/>
  </r>
  <r>
    <s v="UCchgbiZujU7ZKwdY5B2hoeA"/>
    <s v="UCpNnv_kL4Jk8YG_VflnZpmg"/>
    <s v="192, 192, 192"/>
    <n v="3"/>
    <m/>
    <n v="40"/>
    <m/>
    <m/>
    <m/>
    <m/>
    <s v="No"/>
    <n v="765"/>
    <m/>
    <m/>
    <s v="Commented Video"/>
    <x v="0"/>
    <s v="Thanks sir bhot acha btaya mere mama bhi kafi time sai hairfall ki samsaya sai suffer kr rhe thai and humne sab tarah ki medicines li aur test krwae magar kuch kam nahi aya phir hum ko kisi ne Ayurvedic medicine ka btaya jo hmne Planet Ayurveda sai mangvaya and unki davie lene k baad meri mama k bal bhi achey hogye hai… planet Ayurveda ka Thanks !!"/>
    <s v="UCchgbiZujU7ZKwdY5B2hoeA"/>
    <s v="Jagraj Singh"/>
    <s v="http://www.youtube.com/channel/UCchgbiZujU7ZKwdY5B2hoeA"/>
    <m/>
    <s v="fK1_SH3X2ek"/>
    <s v="https://www.youtube.com/watch?v=fK1_SH3X2ek"/>
    <s v="none"/>
    <n v="0"/>
    <x v="762"/>
    <d v="2021-05-24T14:24:12.000"/>
    <m/>
    <m/>
    <s v=""/>
    <n v="1"/>
    <s v="2"/>
    <s v="2"/>
    <n v="0"/>
    <n v="0"/>
    <n v="3"/>
    <n v="4.477611940298507"/>
    <n v="0"/>
    <n v="0"/>
    <n v="64"/>
    <n v="95.5223880597015"/>
    <n v="67"/>
  </r>
  <r>
    <s v="UCoIUMLg-qptX6fVqZEBPm-w"/>
    <s v="UCpNnv_kL4Jk8YG_VflnZpmg"/>
    <s v="192, 192, 192"/>
    <n v="3"/>
    <m/>
    <n v="40"/>
    <m/>
    <m/>
    <m/>
    <m/>
    <s v="No"/>
    <n v="766"/>
    <m/>
    <m/>
    <s v="Commented Video"/>
    <x v="0"/>
    <s v="I have to watch this for health class and I got nothing from it"/>
    <s v="UCoIUMLg-qptX6fVqZEBPm-w"/>
    <s v="Hamm SlayDog"/>
    <s v="http://www.youtube.com/channel/UCoIUMLg-qptX6fVqZEBPm-w"/>
    <m/>
    <s v="fK1_SH3X2ek"/>
    <s v="https://www.youtube.com/watch?v=fK1_SH3X2ek"/>
    <s v="none"/>
    <n v="0"/>
    <x v="763"/>
    <d v="2021-06-04T20:31:09.000"/>
    <m/>
    <m/>
    <s v=""/>
    <n v="1"/>
    <s v="2"/>
    <s v="2"/>
    <n v="0"/>
    <n v="0"/>
    <n v="0"/>
    <n v="0"/>
    <n v="0"/>
    <n v="0"/>
    <n v="14"/>
    <n v="100"/>
    <n v="14"/>
  </r>
  <r>
    <s v="UCZj8Z6LdulS3k7YTTxz6iUQ"/>
    <s v="UCaGEe4KXZrjou9kQx6ezG2w"/>
    <s v="Red"/>
    <n v="10"/>
    <m/>
    <n v="15"/>
    <m/>
    <m/>
    <m/>
    <m/>
    <s v="No"/>
    <n v="767"/>
    <m/>
    <m/>
    <s v="Commented Video"/>
    <x v="0"/>
    <s v="Some self care practices can be as simple as meditating, putting on a face mask or getting enough sleep. Sleep naturals, brahmi and green essentials from planet ayurveda can improve your health, sleep quality and will keep you calm on daily basis."/>
    <s v="UCZj8Z6LdulS3k7YTTxz6iUQ"/>
    <s v="Sheetal Kataria"/>
    <s v="http://www.youtube.com/channel/UCZj8Z6LdulS3k7YTTxz6iUQ"/>
    <m/>
    <s v="iy-47a68P60"/>
    <s v="https://www.youtube.com/watch?v=iy-47a68P60"/>
    <s v="none"/>
    <n v="2"/>
    <x v="764"/>
    <d v="2021-04-16T15:57:13.000"/>
    <m/>
    <m/>
    <s v=""/>
    <n v="2"/>
    <s v="8"/>
    <s v="8"/>
    <n v="3"/>
    <n v="7.142857142857143"/>
    <n v="0"/>
    <n v="0"/>
    <n v="0"/>
    <n v="0"/>
    <n v="39"/>
    <n v="92.85714285714286"/>
    <n v="42"/>
  </r>
  <r>
    <s v="UCZj8Z6LdulS3k7YTTxz6iUQ"/>
    <s v="UCaGEe4KXZrjou9kQx6ezG2w"/>
    <s v="Red"/>
    <n v="10"/>
    <m/>
    <n v="15"/>
    <m/>
    <m/>
    <m/>
    <m/>
    <s v="No"/>
    <n v="768"/>
    <m/>
    <m/>
    <s v="Commented Video"/>
    <x v="0"/>
    <s v="However, yoga is associated with spirituality because it combines human consciousness with the divine consciousness. Planet ayurveda’s diet plans and herbal supplements can help you lead a healthier life."/>
    <s v="UCZj8Z6LdulS3k7YTTxz6iUQ"/>
    <s v="Sheetal Kataria"/>
    <s v="http://www.youtube.com/channel/UCZj8Z6LdulS3k7YTTxz6iUQ"/>
    <m/>
    <s v="iy-47a68P60"/>
    <s v="https://www.youtube.com/watch?v=iy-47a68P60"/>
    <s v="none"/>
    <n v="0"/>
    <x v="765"/>
    <d v="2021-06-11T19:59:02.000"/>
    <m/>
    <m/>
    <s v=""/>
    <n v="2"/>
    <s v="8"/>
    <s v="8"/>
    <n v="2"/>
    <n v="6.666666666666667"/>
    <n v="0"/>
    <n v="0"/>
    <n v="0"/>
    <n v="0"/>
    <n v="28"/>
    <n v="93.33333333333333"/>
    <n v="30"/>
  </r>
  <r>
    <s v="UCZj8Z6LdulS3k7YTTxz6iUQ"/>
    <s v="UCpNnv_kL4Jk8YG_VflnZpmg"/>
    <s v="192, 192, 192"/>
    <n v="3"/>
    <m/>
    <n v="40"/>
    <m/>
    <m/>
    <m/>
    <m/>
    <s v="No"/>
    <n v="769"/>
    <m/>
    <m/>
    <s v="Commented Video"/>
    <x v="0"/>
    <s v="Did this make you wonder how some boring moves and postures can improve our health? Yoga and natural remedies from planet ayurveda helps lifestyle diseases."/>
    <s v="UCZj8Z6LdulS3k7YTTxz6iUQ"/>
    <s v="Sheetal Kataria"/>
    <s v="http://www.youtube.com/channel/UCZj8Z6LdulS3k7YTTxz6iUQ"/>
    <m/>
    <s v="fK1_SH3X2ek"/>
    <s v="https://www.youtube.com/watch?v=fK1_SH3X2ek"/>
    <s v="none"/>
    <n v="0"/>
    <x v="766"/>
    <d v="2021-06-11T20:03:08.000"/>
    <m/>
    <m/>
    <s v=""/>
    <n v="1"/>
    <s v="8"/>
    <s v="2"/>
    <n v="2"/>
    <n v="8"/>
    <n v="1"/>
    <n v="4"/>
    <n v="0"/>
    <n v="0"/>
    <n v="22"/>
    <n v="88"/>
    <n v="25"/>
  </r>
  <r>
    <s v="UCEFANWZOr1vqmhr5TzNEskw"/>
    <s v="UCEFANWZOr1vqmhr5TzNEskw"/>
    <s v="192, 192, 192"/>
    <n v="3"/>
    <m/>
    <n v="40"/>
    <m/>
    <m/>
    <m/>
    <m/>
    <s v="No"/>
    <n v="770"/>
    <m/>
    <m/>
    <s v="Posted Video"/>
    <x v="2"/>
    <m/>
    <m/>
    <m/>
    <m/>
    <m/>
    <s v="_iatKXqz1Ug"/>
    <s v="https://www.youtube.com/watch?v=_iatKXqz1Ug"/>
    <m/>
    <m/>
    <x v="767"/>
    <m/>
    <m/>
    <m/>
    <m/>
    <n v="1"/>
    <s v="13"/>
    <s v="13"/>
    <m/>
    <m/>
    <m/>
    <m/>
    <m/>
    <m/>
    <m/>
    <m/>
    <m/>
  </r>
  <r>
    <s v="UCmmMbh6_u2aj20gWrGceXqg"/>
    <s v="UCmmMbh6_u2aj20gWrGceXqg"/>
    <s v="192, 192, 192"/>
    <n v="3"/>
    <m/>
    <n v="40"/>
    <m/>
    <m/>
    <m/>
    <m/>
    <s v="No"/>
    <n v="771"/>
    <m/>
    <m/>
    <s v="Posted Video"/>
    <x v="2"/>
    <m/>
    <m/>
    <m/>
    <m/>
    <m/>
    <s v="f5vABZt80AQ"/>
    <s v="https://www.youtube.com/watch?v=f5vABZt80AQ"/>
    <m/>
    <m/>
    <x v="768"/>
    <m/>
    <m/>
    <m/>
    <m/>
    <n v="1"/>
    <s v="9"/>
    <s v="9"/>
    <m/>
    <m/>
    <m/>
    <m/>
    <m/>
    <m/>
    <m/>
    <m/>
    <m/>
  </r>
  <r>
    <s v="UCGqabAVv0SRD_SjtodhQPTQ"/>
    <s v="UCGqabAVv0SRD_SjtodhQPTQ"/>
    <s v="192, 192, 192"/>
    <n v="3"/>
    <m/>
    <n v="40"/>
    <m/>
    <m/>
    <m/>
    <m/>
    <s v="No"/>
    <n v="772"/>
    <m/>
    <m/>
    <s v="Posted Video"/>
    <x v="2"/>
    <m/>
    <m/>
    <m/>
    <m/>
    <m/>
    <s v="A1MrJb2pXgA"/>
    <s v="https://www.youtube.com/watch?v=A1MrJb2pXgA"/>
    <m/>
    <m/>
    <x v="769"/>
    <m/>
    <m/>
    <m/>
    <m/>
    <n v="1"/>
    <s v="24"/>
    <s v="24"/>
    <m/>
    <m/>
    <m/>
    <m/>
    <m/>
    <m/>
    <m/>
    <m/>
    <m/>
  </r>
  <r>
    <s v="UC04e1vy95lGjggcYbwgbOfw"/>
    <s v="UC04e1vy95lGjggcYbwgbOfw"/>
    <s v="Red"/>
    <n v="10"/>
    <m/>
    <n v="15"/>
    <m/>
    <m/>
    <m/>
    <m/>
    <s v="No"/>
    <n v="773"/>
    <m/>
    <m/>
    <s v="Posted Video"/>
    <x v="2"/>
    <m/>
    <m/>
    <m/>
    <m/>
    <m/>
    <s v="ggOqMncgemw"/>
    <s v="https://www.youtube.com/watch?v=ggOqMncgemw"/>
    <m/>
    <m/>
    <x v="770"/>
    <m/>
    <m/>
    <m/>
    <m/>
    <n v="2"/>
    <s v="6"/>
    <s v="6"/>
    <m/>
    <m/>
    <m/>
    <m/>
    <m/>
    <m/>
    <m/>
    <m/>
    <m/>
  </r>
  <r>
    <s v="UC04e1vy95lGjggcYbwgbOfw"/>
    <s v="UC04e1vy95lGjggcYbwgbOfw"/>
    <s v="Red"/>
    <n v="10"/>
    <m/>
    <n v="15"/>
    <m/>
    <m/>
    <m/>
    <m/>
    <s v="No"/>
    <n v="774"/>
    <m/>
    <m/>
    <s v="Posted Video"/>
    <x v="2"/>
    <m/>
    <m/>
    <m/>
    <m/>
    <m/>
    <s v="HeOcduRiqyw"/>
    <s v="https://www.youtube.com/watch?v=HeOcduRiqyw"/>
    <m/>
    <m/>
    <x v="771"/>
    <m/>
    <m/>
    <m/>
    <m/>
    <n v="2"/>
    <s v="6"/>
    <s v="6"/>
    <m/>
    <m/>
    <m/>
    <m/>
    <m/>
    <m/>
    <m/>
    <m/>
    <m/>
  </r>
  <r>
    <s v="UCA-MuKlT-IKQeVVn2EQV4tw"/>
    <s v="UCA-MuKlT-IKQeVVn2EQV4tw"/>
    <s v="192, 192, 192"/>
    <n v="3"/>
    <m/>
    <n v="40"/>
    <m/>
    <m/>
    <m/>
    <m/>
    <s v="No"/>
    <n v="775"/>
    <m/>
    <m/>
    <s v="Posted Video"/>
    <x v="2"/>
    <m/>
    <m/>
    <m/>
    <m/>
    <m/>
    <s v="35YxoCAKKYw"/>
    <s v="https://www.youtube.com/watch?v=35YxoCAKKYw"/>
    <m/>
    <m/>
    <x v="772"/>
    <m/>
    <m/>
    <m/>
    <m/>
    <n v="1"/>
    <s v="13"/>
    <s v="13"/>
    <m/>
    <m/>
    <m/>
    <m/>
    <m/>
    <m/>
    <m/>
    <m/>
    <m/>
  </r>
  <r>
    <s v="UC5VEXHfh6kXP2d8EkFx16sw"/>
    <s v="UC5VEXHfh6kXP2d8EkFx16sw"/>
    <s v="192, 192, 192"/>
    <n v="3"/>
    <m/>
    <n v="40"/>
    <m/>
    <m/>
    <m/>
    <m/>
    <s v="No"/>
    <n v="776"/>
    <m/>
    <m/>
    <s v="Posted Video"/>
    <x v="2"/>
    <m/>
    <m/>
    <m/>
    <m/>
    <m/>
    <s v="LBkXQ_mBO3Q"/>
    <s v="https://www.youtube.com/watch?v=LBkXQ_mBO3Q"/>
    <m/>
    <m/>
    <x v="773"/>
    <m/>
    <m/>
    <m/>
    <m/>
    <n v="1"/>
    <s v="3"/>
    <s v="3"/>
    <m/>
    <m/>
    <m/>
    <m/>
    <m/>
    <m/>
    <m/>
    <m/>
    <m/>
  </r>
  <r>
    <s v="UCIBZlWqgzyWY5oMXDSkA6Qw"/>
    <s v="UCIBZlWqgzyWY5oMXDSkA6Qw"/>
    <s v="192, 192, 192"/>
    <n v="3"/>
    <m/>
    <n v="40"/>
    <m/>
    <m/>
    <m/>
    <m/>
    <s v="No"/>
    <n v="777"/>
    <m/>
    <m/>
    <s v="Posted Video"/>
    <x v="2"/>
    <m/>
    <m/>
    <m/>
    <m/>
    <m/>
    <s v="1122XOjo1iM"/>
    <s v="https://www.youtube.com/watch?v=1122XOjo1iM"/>
    <m/>
    <m/>
    <x v="774"/>
    <m/>
    <m/>
    <m/>
    <m/>
    <n v="1"/>
    <s v="13"/>
    <s v="13"/>
    <m/>
    <m/>
    <m/>
    <m/>
    <m/>
    <m/>
    <m/>
    <m/>
    <m/>
  </r>
  <r>
    <s v="UCaGEe4KXZrjou9kQx6ezG2w"/>
    <s v="UCaGEe4KXZrjou9kQx6ezG2w"/>
    <s v="192, 192, 192"/>
    <n v="3"/>
    <m/>
    <n v="40"/>
    <m/>
    <m/>
    <m/>
    <m/>
    <s v="No"/>
    <n v="778"/>
    <m/>
    <m/>
    <s v="Posted Video"/>
    <x v="2"/>
    <m/>
    <m/>
    <m/>
    <m/>
    <m/>
    <s v="iy-47a68P60"/>
    <s v="https://www.youtube.com/watch?v=iy-47a68P60"/>
    <m/>
    <m/>
    <x v="775"/>
    <m/>
    <m/>
    <m/>
    <m/>
    <n v="1"/>
    <s v="8"/>
    <s v="8"/>
    <m/>
    <m/>
    <m/>
    <m/>
    <m/>
    <m/>
    <m/>
    <m/>
    <m/>
  </r>
  <r>
    <s v="UCm8PoLXw1-GLRZYYQVXAQ8w"/>
    <s v="UCm8PoLXw1-GLRZYYQVXAQ8w"/>
    <s v="192, 192, 192"/>
    <n v="3"/>
    <m/>
    <n v="40"/>
    <m/>
    <m/>
    <m/>
    <m/>
    <s v="No"/>
    <n v="779"/>
    <m/>
    <m/>
    <s v="Posted Video"/>
    <x v="2"/>
    <m/>
    <m/>
    <m/>
    <m/>
    <m/>
    <s v="q2zxHaxjoDQ"/>
    <s v="https://www.youtube.com/watch?v=q2zxHaxjoDQ"/>
    <m/>
    <m/>
    <x v="776"/>
    <m/>
    <m/>
    <m/>
    <m/>
    <n v="1"/>
    <s v="13"/>
    <s v="13"/>
    <m/>
    <m/>
    <m/>
    <m/>
    <m/>
    <m/>
    <m/>
    <m/>
    <m/>
  </r>
  <r>
    <s v="UCTg4WnwzN4NLhoFeDJsAUkw"/>
    <s v="UCTg4WnwzN4NLhoFeDJsAUkw"/>
    <s v="192, 192, 192"/>
    <n v="3"/>
    <m/>
    <n v="40"/>
    <m/>
    <m/>
    <m/>
    <m/>
    <s v="No"/>
    <n v="780"/>
    <m/>
    <m/>
    <s v="Posted Video"/>
    <x v="2"/>
    <m/>
    <m/>
    <m/>
    <m/>
    <m/>
    <s v="7iZSO_vqLa4"/>
    <s v="https://www.youtube.com/watch?v=7iZSO_vqLa4"/>
    <m/>
    <m/>
    <x v="777"/>
    <m/>
    <m/>
    <m/>
    <m/>
    <n v="1"/>
    <s v="13"/>
    <s v="13"/>
    <m/>
    <m/>
    <m/>
    <m/>
    <m/>
    <m/>
    <m/>
    <m/>
    <m/>
  </r>
  <r>
    <s v="UCwCK4I1ApV4gDpWxv3EvPAg"/>
    <s v="UCwCK4I1ApV4gDpWxv3EvPAg"/>
    <s v="192, 192, 192"/>
    <n v="3"/>
    <m/>
    <n v="40"/>
    <m/>
    <m/>
    <m/>
    <m/>
    <s v="No"/>
    <n v="781"/>
    <m/>
    <m/>
    <s v="Posted Video"/>
    <x v="2"/>
    <m/>
    <m/>
    <m/>
    <m/>
    <m/>
    <s v="niztAhOnXpQ"/>
    <s v="https://www.youtube.com/watch?v=niztAhOnXpQ"/>
    <m/>
    <m/>
    <x v="778"/>
    <m/>
    <m/>
    <m/>
    <m/>
    <n v="1"/>
    <s v="20"/>
    <s v="20"/>
    <m/>
    <m/>
    <m/>
    <m/>
    <m/>
    <m/>
    <m/>
    <m/>
    <m/>
  </r>
  <r>
    <s v="UCH_y4KNm2oGh2EyR4U19X4w"/>
    <s v="UCH_y4KNm2oGh2EyR4U19X4w"/>
    <s v="192, 192, 192"/>
    <n v="3"/>
    <m/>
    <n v="40"/>
    <m/>
    <m/>
    <m/>
    <m/>
    <s v="No"/>
    <n v="782"/>
    <m/>
    <m/>
    <s v="Posted Video"/>
    <x v="2"/>
    <m/>
    <m/>
    <m/>
    <m/>
    <m/>
    <s v="vawW1_p2p64"/>
    <s v="https://www.youtube.com/watch?v=vawW1_p2p64"/>
    <m/>
    <m/>
    <x v="779"/>
    <m/>
    <m/>
    <m/>
    <m/>
    <n v="1"/>
    <s v="13"/>
    <s v="13"/>
    <m/>
    <m/>
    <m/>
    <m/>
    <m/>
    <m/>
    <m/>
    <m/>
    <m/>
  </r>
  <r>
    <s v="UCIujpQDjxt8TLzSMzuXAjjw"/>
    <s v="UCIujpQDjxt8TLzSMzuXAjjw"/>
    <s v="192, 192, 192"/>
    <n v="3"/>
    <m/>
    <n v="40"/>
    <m/>
    <m/>
    <m/>
    <m/>
    <s v="No"/>
    <n v="783"/>
    <m/>
    <m/>
    <s v="Posted Video"/>
    <x v="2"/>
    <m/>
    <m/>
    <m/>
    <m/>
    <m/>
    <s v="4gDOjS0xRAQ"/>
    <s v="https://www.youtube.com/watch?v=4gDOjS0xRAQ"/>
    <m/>
    <m/>
    <x v="780"/>
    <m/>
    <m/>
    <m/>
    <m/>
    <n v="1"/>
    <s v="7"/>
    <s v="7"/>
    <m/>
    <m/>
    <m/>
    <m/>
    <m/>
    <m/>
    <m/>
    <m/>
    <m/>
  </r>
  <r>
    <s v="UCJqYJTdXhhFqLbJii990qQA"/>
    <s v="UCJqYJTdXhhFqLbJii990qQA"/>
    <s v="192, 192, 192"/>
    <n v="3"/>
    <m/>
    <n v="40"/>
    <m/>
    <m/>
    <m/>
    <m/>
    <s v="No"/>
    <n v="784"/>
    <m/>
    <m/>
    <s v="Posted Video"/>
    <x v="2"/>
    <m/>
    <m/>
    <m/>
    <m/>
    <m/>
    <s v="CjLTpEupuf8"/>
    <s v="https://www.youtube.com/watch?v=CjLTpEupuf8"/>
    <m/>
    <m/>
    <x v="781"/>
    <m/>
    <m/>
    <m/>
    <m/>
    <n v="1"/>
    <s v="23"/>
    <s v="23"/>
    <m/>
    <m/>
    <m/>
    <m/>
    <m/>
    <m/>
    <m/>
    <m/>
    <m/>
  </r>
  <r>
    <s v="UCsT0YIqwnpJCM-mx7-gSA4Q"/>
    <s v="UCsT0YIqwnpJCM-mx7-gSA4Q"/>
    <s v="192, 192, 192"/>
    <n v="3"/>
    <m/>
    <n v="40"/>
    <m/>
    <m/>
    <m/>
    <m/>
    <s v="No"/>
    <n v="785"/>
    <m/>
    <m/>
    <s v="Posted Video"/>
    <x v="2"/>
    <m/>
    <m/>
    <m/>
    <m/>
    <m/>
    <s v="xS_txj05aTQ"/>
    <s v="https://www.youtube.com/watch?v=xS_txj05aTQ"/>
    <m/>
    <m/>
    <x v="782"/>
    <m/>
    <m/>
    <m/>
    <m/>
    <n v="1"/>
    <s v="10"/>
    <s v="10"/>
    <m/>
    <m/>
    <m/>
    <m/>
    <m/>
    <m/>
    <m/>
    <m/>
    <m/>
  </r>
  <r>
    <s v="UCrC8mOqJQpoB7NuIMKIS6rQ"/>
    <s v="UCrC8mOqJQpoB7NuIMKIS6rQ"/>
    <s v="Red"/>
    <n v="10"/>
    <m/>
    <n v="15"/>
    <m/>
    <m/>
    <m/>
    <m/>
    <s v="No"/>
    <n v="786"/>
    <m/>
    <m/>
    <s v="Commented Video"/>
    <x v="0"/>
    <s v="Click here to buy the GS course : -&lt;a href=&quot;https://play.google.com/store/apps/details?id=com.wow.studyiq&quot;&gt;https://play.google.com/store/apps/details?id=com.wow.studyiq&lt;/a&gt;&lt;br&gt;Demo video Link : &lt;a href=&quot;https://bit.ly/2xxuT9B&quot;&gt;https://bit.ly/2xxuT9B&lt;/a&gt;&lt;br&gt;&lt;br&gt;For PDFs join Telegram :  &lt;a href=&quot;https://t.me/DrVipanGoyal&quot;&gt;https://t.me/DrVipanGoyal&lt;/a&gt;&lt;br&gt;Follow Dr Vipan Goyal on Instagram: &lt;a href=&quot;https://bit.ly/2ODgNaf&quot;&gt;https://bit.ly/2ODgNaf&lt;/a&gt;&lt;br&gt;Follow Dr Vipan Goyal on facebook: &lt;a href=&quot;https://www.facebook.com/vipangoyal13&quot;&gt;https://www.facebook.com/vipangoyal13&lt;/a&gt;&lt;br&gt;For Doubts : vipan.studyiq@&lt;a href=&quot;http://gmail.com/&quot;&gt;gmail.com&lt;/a&gt;"/>
    <s v="UCrC8mOqJQpoB7NuIMKIS6rQ"/>
    <s v="Study IQ education"/>
    <s v="http://www.youtube.com/channel/UCrC8mOqJQpoB7NuIMKIS6rQ"/>
    <m/>
    <s v="5Q411ntL0jQ"/>
    <s v="https://www.youtube.com/watch?v=5Q411ntL0jQ"/>
    <s v="none"/>
    <n v="1"/>
    <x v="783"/>
    <d v="2020-03-25T04:32:56.000"/>
    <s v=" https://play.google.com/store/apps/details?id=com.wow.studyiq https://play.google.com/store/apps/details?id=com.wow.studyiq https://bit.ly/2xxuT9B https://bit.ly/2xxuT9B https://t.me/DrVipanGoyal https://t.me/DrVipanGoyal https://bit.ly/2ODgNaf https://bit.ly/2ODgNaf https://www.facebook.com/vipangoyal13 https://www.facebook.com/vipangoyal13 http://gmail.com/"/>
    <s v="google.com google.com bit.ly bit.ly t.me t.me bit.ly bit.ly facebook.com facebook.com gmail.com"/>
    <s v=""/>
    <n v="2"/>
    <s v="11"/>
    <s v="11"/>
    <n v="2"/>
    <n v="1.7391304347826086"/>
    <n v="1"/>
    <n v="0.8695652173913043"/>
    <n v="0"/>
    <n v="0"/>
    <n v="112"/>
    <n v="97.3913043478261"/>
    <n v="115"/>
  </r>
  <r>
    <s v="UCrC8mOqJQpoB7NuIMKIS6rQ"/>
    <s v="UCrC8mOqJQpoB7NuIMKIS6rQ"/>
    <s v="Red"/>
    <n v="10"/>
    <m/>
    <n v="15"/>
    <m/>
    <m/>
    <m/>
    <m/>
    <s v="No"/>
    <n v="787"/>
    <m/>
    <m/>
    <s v="Posted Video"/>
    <x v="2"/>
    <m/>
    <m/>
    <m/>
    <m/>
    <m/>
    <s v="5Q411ntL0jQ"/>
    <s v="https://www.youtube.com/watch?v=5Q411ntL0jQ"/>
    <m/>
    <m/>
    <x v="784"/>
    <m/>
    <m/>
    <m/>
    <m/>
    <n v="2"/>
    <s v="11"/>
    <s v="11"/>
    <m/>
    <m/>
    <m/>
    <m/>
    <m/>
    <m/>
    <m/>
    <m/>
    <m/>
  </r>
  <r>
    <s v="UCigXBTUNLcFuQMg-RgJvSgg"/>
    <s v="UCigXBTUNLcFuQMg-RgJvSgg"/>
    <s v="192, 192, 192"/>
    <n v="3"/>
    <m/>
    <n v="40"/>
    <m/>
    <m/>
    <m/>
    <m/>
    <s v="No"/>
    <n v="788"/>
    <m/>
    <m/>
    <s v="Posted Video"/>
    <x v="2"/>
    <m/>
    <m/>
    <m/>
    <m/>
    <m/>
    <s v="TAO_rztPO80"/>
    <s v="https://www.youtube.com/watch?v=TAO_rztPO80"/>
    <m/>
    <m/>
    <x v="785"/>
    <m/>
    <m/>
    <m/>
    <m/>
    <n v="1"/>
    <s v="21"/>
    <s v="21"/>
    <m/>
    <m/>
    <m/>
    <m/>
    <m/>
    <m/>
    <m/>
    <m/>
    <m/>
  </r>
  <r>
    <s v="UCqNRObSCvPqLS8VftXXy9Ow"/>
    <s v="UCqNRObSCvPqLS8VftXXy9Ow"/>
    <s v="192, 192, 192"/>
    <n v="3"/>
    <m/>
    <n v="40"/>
    <m/>
    <m/>
    <m/>
    <m/>
    <s v="No"/>
    <n v="789"/>
    <m/>
    <m/>
    <s v="Posted Video"/>
    <x v="2"/>
    <m/>
    <m/>
    <m/>
    <m/>
    <m/>
    <s v="Td1itX2lMss"/>
    <s v="https://www.youtube.com/watch?v=Td1itX2lMss"/>
    <m/>
    <m/>
    <x v="786"/>
    <m/>
    <m/>
    <m/>
    <m/>
    <n v="1"/>
    <s v="16"/>
    <s v="16"/>
    <m/>
    <m/>
    <m/>
    <m/>
    <m/>
    <m/>
    <m/>
    <m/>
    <m/>
  </r>
  <r>
    <s v="UCig0KhrB5NClMvX9QrbXcrw"/>
    <s v="UCig0KhrB5NClMvX9QrbXcrw"/>
    <s v="192, 192, 192"/>
    <n v="3"/>
    <m/>
    <n v="40"/>
    <m/>
    <m/>
    <m/>
    <m/>
    <s v="No"/>
    <n v="790"/>
    <m/>
    <m/>
    <s v="Posted Video"/>
    <x v="2"/>
    <m/>
    <m/>
    <m/>
    <m/>
    <m/>
    <s v="pfKPJasaDSY"/>
    <s v="https://www.youtube.com/watch?v=pfKPJasaDSY"/>
    <m/>
    <m/>
    <x v="787"/>
    <m/>
    <m/>
    <m/>
    <m/>
    <n v="1"/>
    <s v="15"/>
    <s v="15"/>
    <m/>
    <m/>
    <m/>
    <m/>
    <m/>
    <m/>
    <m/>
    <m/>
    <m/>
  </r>
  <r>
    <s v="UCZD1LLp6e838Iw_UTMcxQiQ"/>
    <s v="UCZD1LLp6e838Iw_UTMcxQiQ"/>
    <s v="192, 192, 192"/>
    <n v="3"/>
    <m/>
    <n v="40"/>
    <m/>
    <m/>
    <m/>
    <m/>
    <s v="No"/>
    <n v="791"/>
    <m/>
    <m/>
    <s v="Posted Video"/>
    <x v="2"/>
    <m/>
    <m/>
    <m/>
    <m/>
    <m/>
    <s v="khC0wedp-K8"/>
    <s v="https://www.youtube.com/watch?v=khC0wedp-K8"/>
    <m/>
    <m/>
    <x v="788"/>
    <m/>
    <m/>
    <m/>
    <m/>
    <n v="1"/>
    <s v="13"/>
    <s v="13"/>
    <m/>
    <m/>
    <m/>
    <m/>
    <m/>
    <m/>
    <m/>
    <m/>
    <m/>
  </r>
  <r>
    <s v="UCqbOeHaAUXw9Il7sBVG3_bw"/>
    <s v="UCqbOeHaAUXw9Il7sBVG3_bw"/>
    <s v="Red"/>
    <n v="10"/>
    <m/>
    <n v="15"/>
    <m/>
    <m/>
    <m/>
    <m/>
    <s v="No"/>
    <n v="792"/>
    <m/>
    <m/>
    <s v="Posted Video"/>
    <x v="2"/>
    <m/>
    <m/>
    <m/>
    <m/>
    <m/>
    <s v="H6DrSG_KQjo"/>
    <s v="https://www.youtube.com/watch?v=H6DrSG_KQjo"/>
    <m/>
    <m/>
    <x v="789"/>
    <m/>
    <m/>
    <m/>
    <m/>
    <n v="2"/>
    <s v="1"/>
    <s v="1"/>
    <m/>
    <m/>
    <m/>
    <m/>
    <m/>
    <m/>
    <m/>
    <m/>
    <m/>
  </r>
  <r>
    <s v="UCqbOeHaAUXw9Il7sBVG3_bw"/>
    <s v="UCqbOeHaAUXw9Il7sBVG3_bw"/>
    <s v="Red"/>
    <n v="10"/>
    <m/>
    <n v="15"/>
    <m/>
    <m/>
    <m/>
    <m/>
    <s v="No"/>
    <n v="793"/>
    <m/>
    <m/>
    <s v="Posted Video"/>
    <x v="2"/>
    <m/>
    <m/>
    <m/>
    <m/>
    <m/>
    <s v="QYWNXp36O48"/>
    <s v="https://www.youtube.com/watch?v=QYWNXp36O48"/>
    <m/>
    <m/>
    <x v="790"/>
    <m/>
    <m/>
    <m/>
    <m/>
    <n v="2"/>
    <s v="1"/>
    <s v="1"/>
    <m/>
    <m/>
    <m/>
    <m/>
    <m/>
    <m/>
    <m/>
    <m/>
    <m/>
  </r>
  <r>
    <s v="UCM1pkppQ37_C-W8vXINMqaA"/>
    <s v="UCM1pkppQ37_C-W8vXINMqaA"/>
    <s v="192, 192, 192"/>
    <n v="3"/>
    <m/>
    <n v="40"/>
    <m/>
    <m/>
    <m/>
    <m/>
    <s v="No"/>
    <n v="794"/>
    <m/>
    <m/>
    <s v="Posted Video"/>
    <x v="2"/>
    <m/>
    <m/>
    <m/>
    <m/>
    <m/>
    <s v="eoRbJqpWwo0"/>
    <s v="https://www.youtube.com/watch?v=eoRbJqpWwo0"/>
    <m/>
    <m/>
    <x v="791"/>
    <m/>
    <m/>
    <m/>
    <m/>
    <n v="1"/>
    <s v="13"/>
    <s v="13"/>
    <m/>
    <m/>
    <m/>
    <m/>
    <m/>
    <m/>
    <m/>
    <m/>
    <m/>
  </r>
  <r>
    <s v="UCT7a_fVlSrjOs9jyvtH-uhA"/>
    <s v="UCT7a_fVlSrjOs9jyvtH-uhA"/>
    <s v="Red"/>
    <n v="10"/>
    <m/>
    <n v="15"/>
    <m/>
    <m/>
    <m/>
    <m/>
    <s v="No"/>
    <n v="795"/>
    <m/>
    <m/>
    <s v="Posted Video"/>
    <x v="2"/>
    <m/>
    <m/>
    <m/>
    <m/>
    <m/>
    <s v="B8zRA1fKJrA"/>
    <s v="https://www.youtube.com/watch?v=B8zRA1fKJrA"/>
    <m/>
    <m/>
    <x v="792"/>
    <m/>
    <m/>
    <m/>
    <m/>
    <n v="2"/>
    <s v="22"/>
    <s v="22"/>
    <m/>
    <m/>
    <m/>
    <m/>
    <m/>
    <m/>
    <m/>
    <m/>
    <m/>
  </r>
  <r>
    <s v="UCT7a_fVlSrjOs9jyvtH-uhA"/>
    <s v="UCT7a_fVlSrjOs9jyvtH-uhA"/>
    <s v="Red"/>
    <n v="10"/>
    <m/>
    <n v="15"/>
    <m/>
    <m/>
    <m/>
    <m/>
    <s v="No"/>
    <n v="796"/>
    <m/>
    <m/>
    <s v="Posted Video"/>
    <x v="2"/>
    <m/>
    <m/>
    <m/>
    <m/>
    <m/>
    <s v="Uuk8iIhq-Do"/>
    <s v="https://www.youtube.com/watch?v=Uuk8iIhq-Do"/>
    <m/>
    <m/>
    <x v="793"/>
    <m/>
    <m/>
    <m/>
    <m/>
    <n v="2"/>
    <s v="22"/>
    <s v="22"/>
    <m/>
    <m/>
    <m/>
    <m/>
    <m/>
    <m/>
    <m/>
    <m/>
    <m/>
  </r>
  <r>
    <s v="UCTl32ukBGG3FGRX7ZfZwVTw"/>
    <s v="UCTl32ukBGG3FGRX7ZfZwVTw"/>
    <s v="Red"/>
    <n v="10"/>
    <m/>
    <n v="15"/>
    <m/>
    <m/>
    <m/>
    <m/>
    <s v="No"/>
    <n v="797"/>
    <m/>
    <m/>
    <s v="Posted Video"/>
    <x v="2"/>
    <m/>
    <m/>
    <m/>
    <m/>
    <m/>
    <s v="vpEAos0blyw"/>
    <s v="https://www.youtube.com/watch?v=vpEAos0blyw"/>
    <m/>
    <m/>
    <x v="794"/>
    <m/>
    <m/>
    <m/>
    <m/>
    <n v="3"/>
    <s v="4"/>
    <s v="4"/>
    <m/>
    <m/>
    <m/>
    <m/>
    <m/>
    <m/>
    <m/>
    <m/>
    <m/>
  </r>
  <r>
    <s v="UCTl32ukBGG3FGRX7ZfZwVTw"/>
    <s v="UCTl32ukBGG3FGRX7ZfZwVTw"/>
    <s v="Red"/>
    <n v="10"/>
    <m/>
    <n v="15"/>
    <m/>
    <m/>
    <m/>
    <m/>
    <s v="No"/>
    <n v="798"/>
    <m/>
    <m/>
    <s v="Posted Video"/>
    <x v="2"/>
    <m/>
    <m/>
    <m/>
    <m/>
    <m/>
    <s v="lruYVSGcxHs"/>
    <s v="https://www.youtube.com/watch?v=lruYVSGcxHs"/>
    <m/>
    <m/>
    <x v="795"/>
    <m/>
    <m/>
    <m/>
    <m/>
    <n v="3"/>
    <s v="4"/>
    <s v="4"/>
    <m/>
    <m/>
    <m/>
    <m/>
    <m/>
    <m/>
    <m/>
    <m/>
    <m/>
  </r>
  <r>
    <s v="UCTl32ukBGG3FGRX7ZfZwVTw"/>
    <s v="UCTl32ukBGG3FGRX7ZfZwVTw"/>
    <s v="Red"/>
    <n v="10"/>
    <m/>
    <n v="15"/>
    <m/>
    <m/>
    <m/>
    <m/>
    <s v="No"/>
    <n v="799"/>
    <m/>
    <m/>
    <s v="Posted Video"/>
    <x v="2"/>
    <m/>
    <m/>
    <m/>
    <m/>
    <m/>
    <s v="uGHwpg-fJvc"/>
    <s v="https://www.youtube.com/watch?v=uGHwpg-fJvc"/>
    <m/>
    <m/>
    <x v="796"/>
    <m/>
    <m/>
    <m/>
    <m/>
    <n v="3"/>
    <s v="4"/>
    <s v="4"/>
    <m/>
    <m/>
    <m/>
    <m/>
    <m/>
    <m/>
    <m/>
    <m/>
    <m/>
  </r>
  <r>
    <s v="UC07-dOwgza1IguKA86jqxNA"/>
    <s v="UC07-dOwgza1IguKA86jqxNA"/>
    <s v="Red"/>
    <n v="10"/>
    <m/>
    <n v="15"/>
    <m/>
    <m/>
    <m/>
    <m/>
    <s v="No"/>
    <n v="800"/>
    <m/>
    <m/>
    <s v="Posted Video"/>
    <x v="2"/>
    <m/>
    <m/>
    <m/>
    <m/>
    <m/>
    <s v="mNWdLV2Cv0U"/>
    <s v="https://www.youtube.com/watch?v=mNWdLV2Cv0U"/>
    <m/>
    <m/>
    <x v="797"/>
    <m/>
    <m/>
    <m/>
    <m/>
    <n v="12"/>
    <s v="5"/>
    <s v="5"/>
    <m/>
    <m/>
    <m/>
    <m/>
    <m/>
    <m/>
    <m/>
    <m/>
    <m/>
  </r>
  <r>
    <s v="UC07-dOwgza1IguKA86jqxNA"/>
    <s v="UC07-dOwgza1IguKA86jqxNA"/>
    <s v="Red"/>
    <n v="10"/>
    <m/>
    <n v="15"/>
    <m/>
    <m/>
    <m/>
    <m/>
    <s v="No"/>
    <n v="801"/>
    <m/>
    <m/>
    <s v="Posted Video"/>
    <x v="2"/>
    <m/>
    <m/>
    <m/>
    <m/>
    <m/>
    <s v="qr6waNqVjrw"/>
    <s v="https://www.youtube.com/watch?v=qr6waNqVjrw"/>
    <m/>
    <m/>
    <x v="798"/>
    <m/>
    <m/>
    <m/>
    <m/>
    <n v="12"/>
    <s v="5"/>
    <s v="5"/>
    <m/>
    <m/>
    <m/>
    <m/>
    <m/>
    <m/>
    <m/>
    <m/>
    <m/>
  </r>
  <r>
    <s v="UC07-dOwgza1IguKA86jqxNA"/>
    <s v="UC07-dOwgza1IguKA86jqxNA"/>
    <s v="Red"/>
    <n v="10"/>
    <m/>
    <n v="15"/>
    <m/>
    <m/>
    <m/>
    <m/>
    <s v="No"/>
    <n v="802"/>
    <m/>
    <m/>
    <s v="Posted Video"/>
    <x v="2"/>
    <m/>
    <m/>
    <m/>
    <m/>
    <m/>
    <s v="qoyPQNU9ypc"/>
    <s v="https://www.youtube.com/watch?v=qoyPQNU9ypc"/>
    <m/>
    <m/>
    <x v="799"/>
    <m/>
    <m/>
    <m/>
    <m/>
    <n v="12"/>
    <s v="5"/>
    <s v="5"/>
    <m/>
    <m/>
    <m/>
    <m/>
    <m/>
    <m/>
    <m/>
    <m/>
    <m/>
  </r>
  <r>
    <s v="UC07-dOwgza1IguKA86jqxNA"/>
    <s v="UC07-dOwgza1IguKA86jqxNA"/>
    <s v="Red"/>
    <n v="10"/>
    <m/>
    <n v="15"/>
    <m/>
    <m/>
    <m/>
    <m/>
    <s v="No"/>
    <n v="803"/>
    <m/>
    <m/>
    <s v="Posted Video"/>
    <x v="2"/>
    <m/>
    <m/>
    <m/>
    <m/>
    <m/>
    <s v="gwgqd1742kw"/>
    <s v="https://www.youtube.com/watch?v=gwgqd1742kw"/>
    <m/>
    <m/>
    <x v="800"/>
    <m/>
    <m/>
    <m/>
    <m/>
    <n v="12"/>
    <s v="5"/>
    <s v="5"/>
    <m/>
    <m/>
    <m/>
    <m/>
    <m/>
    <m/>
    <m/>
    <m/>
    <m/>
  </r>
  <r>
    <s v="UC07-dOwgza1IguKA86jqxNA"/>
    <s v="UC07-dOwgza1IguKA86jqxNA"/>
    <s v="Red"/>
    <n v="10"/>
    <m/>
    <n v="15"/>
    <m/>
    <m/>
    <m/>
    <m/>
    <s v="No"/>
    <n v="804"/>
    <m/>
    <m/>
    <s v="Posted Video"/>
    <x v="2"/>
    <m/>
    <m/>
    <m/>
    <m/>
    <m/>
    <s v="PmNVhCoki_E"/>
    <s v="https://www.youtube.com/watch?v=PmNVhCoki_E"/>
    <m/>
    <m/>
    <x v="801"/>
    <m/>
    <m/>
    <m/>
    <m/>
    <n v="12"/>
    <s v="5"/>
    <s v="5"/>
    <m/>
    <m/>
    <m/>
    <m/>
    <m/>
    <m/>
    <m/>
    <m/>
    <m/>
  </r>
  <r>
    <s v="UC07-dOwgza1IguKA86jqxNA"/>
    <s v="UC07-dOwgza1IguKA86jqxNA"/>
    <s v="Red"/>
    <n v="10"/>
    <m/>
    <n v="15"/>
    <m/>
    <m/>
    <m/>
    <m/>
    <s v="No"/>
    <n v="805"/>
    <m/>
    <m/>
    <s v="Posted Video"/>
    <x v="2"/>
    <m/>
    <m/>
    <m/>
    <m/>
    <m/>
    <s v="uGZbbC0Smi4"/>
    <s v="https://www.youtube.com/watch?v=uGZbbC0Smi4"/>
    <m/>
    <m/>
    <x v="802"/>
    <m/>
    <m/>
    <m/>
    <m/>
    <n v="12"/>
    <s v="5"/>
    <s v="5"/>
    <m/>
    <m/>
    <m/>
    <m/>
    <m/>
    <m/>
    <m/>
    <m/>
    <m/>
  </r>
  <r>
    <s v="UC07-dOwgza1IguKA86jqxNA"/>
    <s v="UC07-dOwgza1IguKA86jqxNA"/>
    <s v="Red"/>
    <n v="10"/>
    <m/>
    <n v="15"/>
    <m/>
    <m/>
    <m/>
    <m/>
    <s v="No"/>
    <n v="806"/>
    <m/>
    <m/>
    <s v="Posted Video"/>
    <x v="2"/>
    <m/>
    <m/>
    <m/>
    <m/>
    <m/>
    <s v="1NoK5x9eG_k"/>
    <s v="https://www.youtube.com/watch?v=1NoK5x9eG_k"/>
    <m/>
    <m/>
    <x v="803"/>
    <m/>
    <m/>
    <m/>
    <m/>
    <n v="12"/>
    <s v="5"/>
    <s v="5"/>
    <m/>
    <m/>
    <m/>
    <m/>
    <m/>
    <m/>
    <m/>
    <m/>
    <m/>
  </r>
  <r>
    <s v="UC07-dOwgza1IguKA86jqxNA"/>
    <s v="UC07-dOwgza1IguKA86jqxNA"/>
    <s v="Red"/>
    <n v="10"/>
    <m/>
    <n v="15"/>
    <m/>
    <m/>
    <m/>
    <m/>
    <s v="No"/>
    <n v="807"/>
    <m/>
    <m/>
    <s v="Posted Video"/>
    <x v="2"/>
    <m/>
    <m/>
    <m/>
    <m/>
    <m/>
    <s v="Na5VOjJAjCI"/>
    <s v="https://www.youtube.com/watch?v=Na5VOjJAjCI"/>
    <m/>
    <m/>
    <x v="804"/>
    <m/>
    <m/>
    <m/>
    <m/>
    <n v="12"/>
    <s v="5"/>
    <s v="5"/>
    <m/>
    <m/>
    <m/>
    <m/>
    <m/>
    <m/>
    <m/>
    <m/>
    <m/>
  </r>
  <r>
    <s v="UC07-dOwgza1IguKA86jqxNA"/>
    <s v="UC07-dOwgza1IguKA86jqxNA"/>
    <s v="Red"/>
    <n v="10"/>
    <m/>
    <n v="15"/>
    <m/>
    <m/>
    <m/>
    <m/>
    <s v="No"/>
    <n v="808"/>
    <m/>
    <m/>
    <s v="Posted Video"/>
    <x v="2"/>
    <m/>
    <m/>
    <m/>
    <m/>
    <m/>
    <s v="u6lYsNsor9c"/>
    <s v="https://www.youtube.com/watch?v=u6lYsNsor9c"/>
    <m/>
    <m/>
    <x v="805"/>
    <m/>
    <m/>
    <m/>
    <m/>
    <n v="12"/>
    <s v="5"/>
    <s v="5"/>
    <m/>
    <m/>
    <m/>
    <m/>
    <m/>
    <m/>
    <m/>
    <m/>
    <m/>
  </r>
  <r>
    <s v="UC07-dOwgza1IguKA86jqxNA"/>
    <s v="UC07-dOwgza1IguKA86jqxNA"/>
    <s v="Red"/>
    <n v="10"/>
    <m/>
    <n v="15"/>
    <m/>
    <m/>
    <m/>
    <m/>
    <s v="No"/>
    <n v="809"/>
    <m/>
    <m/>
    <s v="Posted Video"/>
    <x v="2"/>
    <m/>
    <m/>
    <m/>
    <m/>
    <m/>
    <s v="VCfyylZdmG0"/>
    <s v="https://www.youtube.com/watch?v=VCfyylZdmG0"/>
    <m/>
    <m/>
    <x v="806"/>
    <m/>
    <m/>
    <m/>
    <m/>
    <n v="12"/>
    <s v="5"/>
    <s v="5"/>
    <m/>
    <m/>
    <m/>
    <m/>
    <m/>
    <m/>
    <m/>
    <m/>
    <m/>
  </r>
  <r>
    <s v="UC07-dOwgza1IguKA86jqxNA"/>
    <s v="UC07-dOwgza1IguKA86jqxNA"/>
    <s v="Red"/>
    <n v="10"/>
    <m/>
    <n v="15"/>
    <m/>
    <m/>
    <m/>
    <m/>
    <s v="No"/>
    <n v="810"/>
    <m/>
    <m/>
    <s v="Posted Video"/>
    <x v="2"/>
    <m/>
    <m/>
    <m/>
    <m/>
    <m/>
    <s v="AvwX1m4LR4w"/>
    <s v="https://www.youtube.com/watch?v=AvwX1m4LR4w"/>
    <m/>
    <m/>
    <x v="807"/>
    <m/>
    <m/>
    <m/>
    <m/>
    <n v="12"/>
    <s v="5"/>
    <s v="5"/>
    <m/>
    <m/>
    <m/>
    <m/>
    <m/>
    <m/>
    <m/>
    <m/>
    <m/>
  </r>
  <r>
    <s v="UC07-dOwgza1IguKA86jqxNA"/>
    <s v="UC07-dOwgza1IguKA86jqxNA"/>
    <s v="Red"/>
    <n v="10"/>
    <m/>
    <n v="15"/>
    <m/>
    <m/>
    <m/>
    <m/>
    <s v="No"/>
    <n v="811"/>
    <m/>
    <m/>
    <s v="Posted Video"/>
    <x v="2"/>
    <m/>
    <m/>
    <m/>
    <m/>
    <m/>
    <s v="MWk8XJWEiO4"/>
    <s v="https://www.youtube.com/watch?v=MWk8XJWEiO4"/>
    <m/>
    <m/>
    <x v="808"/>
    <m/>
    <m/>
    <m/>
    <m/>
    <n v="12"/>
    <s v="5"/>
    <s v="5"/>
    <m/>
    <m/>
    <m/>
    <m/>
    <m/>
    <m/>
    <m/>
    <m/>
    <m/>
  </r>
  <r>
    <s v="UCpNnv_kL4Jk8YG_VflnZpmg"/>
    <s v="UCpNnv_kL4Jk8YG_VflnZpmg"/>
    <s v="Red"/>
    <n v="10"/>
    <m/>
    <n v="15"/>
    <m/>
    <m/>
    <m/>
    <m/>
    <s v="No"/>
    <n v="812"/>
    <m/>
    <m/>
    <s v="Posted Video"/>
    <x v="2"/>
    <m/>
    <m/>
    <m/>
    <m/>
    <m/>
    <s v="XnLXIPqXV3A"/>
    <s v="https://www.youtube.com/watch?v=XnLXIPqXV3A"/>
    <m/>
    <m/>
    <x v="809"/>
    <m/>
    <m/>
    <m/>
    <m/>
    <n v="2"/>
    <s v="2"/>
    <s v="2"/>
    <m/>
    <m/>
    <m/>
    <m/>
    <m/>
    <m/>
    <m/>
    <m/>
    <m/>
  </r>
  <r>
    <s v="UCpNnv_kL4Jk8YG_VflnZpmg"/>
    <s v="UCpNnv_kL4Jk8YG_VflnZpmg"/>
    <s v="Red"/>
    <n v="10"/>
    <m/>
    <n v="15"/>
    <m/>
    <m/>
    <m/>
    <m/>
    <s v="No"/>
    <n v="813"/>
    <m/>
    <m/>
    <s v="Posted Video"/>
    <x v="2"/>
    <m/>
    <m/>
    <m/>
    <m/>
    <m/>
    <s v="fK1_SH3X2ek"/>
    <s v="https://www.youtube.com/watch?v=fK1_SH3X2ek"/>
    <m/>
    <m/>
    <x v="810"/>
    <m/>
    <m/>
    <m/>
    <m/>
    <n v="2"/>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9"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101" firstHeaderRow="1" firstDataRow="1" firstDataCol="1"/>
  <pivotFields count="43">
    <pivotField showAll="0"/>
    <pivotField showAll="0"/>
    <pivotField showAll="0"/>
    <pivotField showAll="0" numFmtId="164"/>
    <pivotField showAll="0"/>
    <pivotField showAll="0" numFmtId="1"/>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15">
        <item x="0"/>
        <item x="1"/>
        <item x="2"/>
        <item x="3"/>
        <item x="4"/>
        <item x="5"/>
        <item x="6"/>
        <item x="7"/>
        <item x="8"/>
        <item x="9"/>
        <item x="10"/>
        <item x="11"/>
        <item x="12"/>
        <item x="1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6">
        <item x="0"/>
        <item x="1"/>
        <item x="2"/>
        <item x="3"/>
        <item x="4"/>
        <item x="5"/>
        <item x="6"/>
        <item x="7"/>
        <item x="8"/>
        <item x="9"/>
        <item x="10"/>
        <item x="11"/>
        <item x="12"/>
        <item x="13"/>
        <item x="14"/>
        <item t="default"/>
      </items>
    </pivotField>
  </pivotFields>
  <rowFields count="2">
    <field x="42"/>
    <field x="25"/>
  </rowFields>
  <rowItems count="76">
    <i>
      <x v="1"/>
    </i>
    <i r="1">
      <x v="7"/>
    </i>
    <i>
      <x v="3"/>
    </i>
    <i r="1">
      <x v="4"/>
    </i>
    <i r="1">
      <x v="6"/>
    </i>
    <i>
      <x v="4"/>
    </i>
    <i r="1">
      <x v="7"/>
    </i>
    <i>
      <x v="6"/>
    </i>
    <i r="1">
      <x v="7"/>
    </i>
    <i r="1">
      <x v="11"/>
    </i>
    <i>
      <x v="7"/>
    </i>
    <i r="1">
      <x v="2"/>
    </i>
    <i r="1">
      <x v="5"/>
    </i>
    <i r="1">
      <x v="6"/>
    </i>
    <i r="1">
      <x v="10"/>
    </i>
    <i r="1">
      <x v="11"/>
    </i>
    <i>
      <x v="8"/>
    </i>
    <i r="1">
      <x v="1"/>
    </i>
    <i r="1">
      <x v="5"/>
    </i>
    <i r="1">
      <x v="6"/>
    </i>
    <i r="1">
      <x v="10"/>
    </i>
    <i r="1">
      <x v="12"/>
    </i>
    <i>
      <x v="9"/>
    </i>
    <i r="1">
      <x v="1"/>
    </i>
    <i r="1">
      <x v="4"/>
    </i>
    <i r="1">
      <x v="5"/>
    </i>
    <i r="1">
      <x v="8"/>
    </i>
    <i r="1">
      <x v="9"/>
    </i>
    <i r="1">
      <x v="10"/>
    </i>
    <i r="1">
      <x v="11"/>
    </i>
    <i r="1">
      <x v="12"/>
    </i>
    <i>
      <x v="10"/>
    </i>
    <i r="1">
      <x v="1"/>
    </i>
    <i r="1">
      <x v="2"/>
    </i>
    <i r="1">
      <x v="3"/>
    </i>
    <i r="1">
      <x v="4"/>
    </i>
    <i r="1">
      <x v="5"/>
    </i>
    <i r="1">
      <x v="6"/>
    </i>
    <i r="1">
      <x v="7"/>
    </i>
    <i r="1">
      <x v="9"/>
    </i>
    <i r="1">
      <x v="10"/>
    </i>
    <i r="1">
      <x v="11"/>
    </i>
    <i r="1">
      <x v="12"/>
    </i>
    <i>
      <x v="11"/>
    </i>
    <i r="1">
      <x v="1"/>
    </i>
    <i r="1">
      <x v="2"/>
    </i>
    <i r="1">
      <x v="3"/>
    </i>
    <i r="1">
      <x v="4"/>
    </i>
    <i r="1">
      <x v="5"/>
    </i>
    <i r="1">
      <x v="6"/>
    </i>
    <i r="1">
      <x v="8"/>
    </i>
    <i r="1">
      <x v="9"/>
    </i>
    <i r="1">
      <x v="10"/>
    </i>
    <i r="1">
      <x v="11"/>
    </i>
    <i r="1">
      <x v="12"/>
    </i>
    <i>
      <x v="12"/>
    </i>
    <i r="1">
      <x v="1"/>
    </i>
    <i r="1">
      <x v="2"/>
    </i>
    <i r="1">
      <x v="3"/>
    </i>
    <i r="1">
      <x v="4"/>
    </i>
    <i r="1">
      <x v="5"/>
    </i>
    <i r="1">
      <x v="6"/>
    </i>
    <i r="1">
      <x v="7"/>
    </i>
    <i r="1">
      <x v="8"/>
    </i>
    <i r="1">
      <x v="9"/>
    </i>
    <i r="1">
      <x v="10"/>
    </i>
    <i r="1">
      <x v="11"/>
    </i>
    <i r="1">
      <x v="12"/>
    </i>
    <i>
      <x v="13"/>
    </i>
    <i r="1">
      <x v="1"/>
    </i>
    <i r="1">
      <x v="2"/>
    </i>
    <i r="1">
      <x v="3"/>
    </i>
    <i r="1">
      <x v="4"/>
    </i>
    <i r="1">
      <x v="5"/>
    </i>
    <i r="1">
      <x v="6"/>
    </i>
    <i t="grand">
      <x/>
    </i>
  </rowItems>
  <colItems count="1">
    <i/>
  </colItems>
  <dataFields count="1">
    <dataField name="Count of Published At" fld="2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omment_Type" sourceName="Comment Type">
  <pivotTables>
    <pivotTable tabId="15" name="TimeSeries"/>
  </pivotTables>
  <data>
    <tabular pivotCacheId="385231132">
      <items count="3">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mment Type" cache="Slicer_Comment_Type" caption="Comment Type" rowHeight="241300"/>
</slicers>
</file>

<file path=xl/tables/table1.xml><?xml version="1.0" encoding="utf-8"?>
<table xmlns="http://schemas.openxmlformats.org/spreadsheetml/2006/main" id="1" name="Edges" displayName="Edges" ref="A2:AP813" totalsRowShown="0" headerRowDxfId="329" dataDxfId="293">
  <autoFilter ref="A2:AP813"/>
  <tableColumns count="42">
    <tableColumn id="1" name="Vertex 1" dataDxfId="278"/>
    <tableColumn id="2" name="Vertex 2" dataDxfId="276"/>
    <tableColumn id="3" name="Color" dataDxfId="277"/>
    <tableColumn id="4" name="Width" dataDxfId="302"/>
    <tableColumn id="11" name="Style" dataDxfId="301"/>
    <tableColumn id="5" name="Opacity" dataDxfId="300"/>
    <tableColumn id="6" name="Visibility" dataDxfId="299"/>
    <tableColumn id="10" name="Label" dataDxfId="298"/>
    <tableColumn id="12" name="Label Text Color" dataDxfId="297"/>
    <tableColumn id="13" name="Label Font Size" dataDxfId="296"/>
    <tableColumn id="14" name="Reciprocated?" dataDxfId="212"/>
    <tableColumn id="7" name="ID" dataDxfId="295"/>
    <tableColumn id="9" name="Dynamic Filter" dataDxfId="294"/>
    <tableColumn id="8" name="Add Your Own Columns Here" dataDxfId="275"/>
    <tableColumn id="15" name="Relationship" dataDxfId="274"/>
    <tableColumn id="16" name="Comment Type" dataDxfId="273"/>
    <tableColumn id="17" name="Comment" dataDxfId="272"/>
    <tableColumn id="18" name="Author Channel ID" dataDxfId="271"/>
    <tableColumn id="19" name="Author Display Name" dataDxfId="270"/>
    <tableColumn id="20" name="Author Channel URL" dataDxfId="269"/>
    <tableColumn id="21" name="Parent ID" dataDxfId="268"/>
    <tableColumn id="22" name="Video ID" dataDxfId="267"/>
    <tableColumn id="23" name="Video URL" dataDxfId="266"/>
    <tableColumn id="24" name="Viewer Rating" dataDxfId="265"/>
    <tableColumn id="25" name="Like Count" dataDxfId="264"/>
    <tableColumn id="26" name="Published At" dataDxfId="263"/>
    <tableColumn id="27" name="Updated At" dataDxfId="262"/>
    <tableColumn id="28" name="URLs In Comment" dataDxfId="261"/>
    <tableColumn id="29" name="Domains In Comment" dataDxfId="260"/>
    <tableColumn id="30" name="Hashtags In Comment" dataDxfId="259"/>
    <tableColumn id="31" name="Edge Weight"/>
    <tableColumn id="32" name="Vertex 1 Group" dataDxfId="227">
      <calculatedColumnFormula>REPLACE(INDEX(GroupVertices[Group], MATCH(Edges[[#This Row],[Vertex 1]],GroupVertices[Vertex],0)),1,1,"")</calculatedColumnFormula>
    </tableColumn>
    <tableColumn id="33" name="Vertex 2 Group" dataDxfId="188">
      <calculatedColumnFormula>REPLACE(INDEX(GroupVertices[Group], MATCH(Edges[[#This Row],[Vertex 2]],GroupVertices[Vertex],0)),1,1,"")</calculatedColumnFormula>
    </tableColumn>
    <tableColumn id="34" name="Sentiment List #1: List1 Word Count" dataDxfId="187"/>
    <tableColumn id="35" name="Sentiment List #1: List1 Word Percentage (%)" dataDxfId="186"/>
    <tableColumn id="36" name="Sentiment List #2: List2 Word Count" dataDxfId="185"/>
    <tableColumn id="37" name="Sentiment List #2: List2 Word Percentage (%)" dataDxfId="184"/>
    <tableColumn id="38" name="Sentiment List #3: List3 Word Count" dataDxfId="183"/>
    <tableColumn id="39" name="Sentiment List #3: List3 Word Percentage (%)" dataDxfId="182"/>
    <tableColumn id="40" name="Non-categorized Word Count" dataDxfId="181"/>
    <tableColumn id="41" name="Non-categorized Word Percentage (%)" dataDxfId="180"/>
    <tableColumn id="42" name="Edge Content Word Count" dataDxfId="17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81" totalsRowShown="0" headerRowDxfId="211" dataDxfId="210">
  <autoFilter ref="A1:G1281"/>
  <tableColumns count="7">
    <tableColumn id="1" name="Word" dataDxfId="209"/>
    <tableColumn id="2" name="Count" dataDxfId="208"/>
    <tableColumn id="3" name="Salience" dataDxfId="207"/>
    <tableColumn id="4" name="Group" dataDxfId="206"/>
    <tableColumn id="5" name="Word on Sentiment List #1: List1" dataDxfId="205"/>
    <tableColumn id="6" name="Word on Sentiment List #2: List2" dataDxfId="204"/>
    <tableColumn id="7" name="Word on Sentiment List #3: List3" dataDxfId="20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58" totalsRowShown="0" headerRowDxfId="202" dataDxfId="201">
  <autoFilter ref="A1:L358"/>
  <tableColumns count="12">
    <tableColumn id="1" name="Word 1" dataDxfId="200"/>
    <tableColumn id="2" name="Word 2" dataDxfId="199"/>
    <tableColumn id="3" name="Count" dataDxfId="198"/>
    <tableColumn id="4" name="Salience" dataDxfId="197"/>
    <tableColumn id="5" name="Mutual Information" dataDxfId="196"/>
    <tableColumn id="6" name="Group" dataDxfId="195"/>
    <tableColumn id="7" name="Word1 on Sentiment List #1: List1" dataDxfId="194"/>
    <tableColumn id="8" name="Word1 on Sentiment List #2: List2" dataDxfId="193"/>
    <tableColumn id="9" name="Word1 on Sentiment List #3: List3" dataDxfId="192"/>
    <tableColumn id="10" name="Word2 on Sentiment List #1: List1" dataDxfId="191"/>
    <tableColumn id="11" name="Word2 on Sentiment List #2: List2" dataDxfId="190"/>
    <tableColumn id="12" name="Word2 on Sentiment List #3: List3" dataDxfId="189"/>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36" totalsRowShown="0" headerRowDxfId="160" dataDxfId="159">
  <autoFilter ref="A2:C36"/>
  <tableColumns count="3">
    <tableColumn id="1" name="Group 1" dataDxfId="158"/>
    <tableColumn id="2" name="Group 2" dataDxfId="157"/>
    <tableColumn id="3" name="Edges" dataDxfId="156"/>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153" dataDxfId="152">
  <autoFilter ref="A1:B7"/>
  <tableColumns count="2">
    <tableColumn id="1" name="Key" dataDxfId="1"/>
    <tableColumn id="2" name="Value" dataDxfId="0"/>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142" dataDxfId="141">
  <autoFilter ref="A1:B11"/>
  <tableColumns count="2">
    <tableColumn id="1" name="Top 10 Vertices, Ranked by Betweenness Centrality" dataDxfId="140"/>
    <tableColumn id="2" name="Betweenness Centrality" dataDxfId="139"/>
  </tableColumns>
  <tableStyleInfo name="NodeXL Table" showFirstColumn="0" showLastColumn="0" showRowStripes="1" showColumnStripes="0"/>
</table>
</file>

<file path=xl/tables/table16.xml><?xml version="1.0" encoding="utf-8"?>
<table xmlns="http://schemas.openxmlformats.org/spreadsheetml/2006/main" id="16" name="NetworkTopItems_1" displayName="NetworkTopItems_1" ref="A1:V11" totalsRowShown="0" headerRowDxfId="138" dataDxfId="137">
  <autoFilter ref="A1:V11"/>
  <tableColumns count="22">
    <tableColumn id="1" name="Top URLs In Comment in Entire Graph" dataDxfId="136"/>
    <tableColumn id="2" name="Entire Graph Count" dataDxfId="135"/>
    <tableColumn id="3" name="Top URLs In Comment in G1" dataDxfId="134"/>
    <tableColumn id="4" name="G1 Count" dataDxfId="133"/>
    <tableColumn id="5" name="Top URLs In Comment in G2" dataDxfId="132"/>
    <tableColumn id="6" name="G2 Count" dataDxfId="131"/>
    <tableColumn id="7" name="Top URLs In Comment in G3" dataDxfId="130"/>
    <tableColumn id="8" name="G3 Count" dataDxfId="129"/>
    <tableColumn id="9" name="Top URLs In Comment in G4" dataDxfId="128"/>
    <tableColumn id="10" name="G4 Count" dataDxfId="127"/>
    <tableColumn id="11" name="Top URLs In Comment in G5" dataDxfId="126"/>
    <tableColumn id="12" name="G5 Count" dataDxfId="125"/>
    <tableColumn id="13" name="Top URLs In Comment in G6" dataDxfId="124"/>
    <tableColumn id="14" name="G6 Count" dataDxfId="123"/>
    <tableColumn id="15" name="Top URLs In Comment in G7" dataDxfId="122"/>
    <tableColumn id="16" name="G7 Count" dataDxfId="121"/>
    <tableColumn id="17" name="Top URLs In Comment in G8" dataDxfId="120"/>
    <tableColumn id="18" name="G8 Count" dataDxfId="119"/>
    <tableColumn id="19" name="Top URLs In Comment in G9" dataDxfId="118"/>
    <tableColumn id="20" name="G9 Count" dataDxfId="117"/>
    <tableColumn id="21" name="Top URLs In Comment in G10" dataDxfId="116"/>
    <tableColumn id="22" name="G10 Count" dataDxfId="115"/>
  </tableColumns>
  <tableStyleInfo name="NodeXL Table" showFirstColumn="0" showLastColumn="0" showRowStripes="1" showColumnStripes="0"/>
</table>
</file>

<file path=xl/tables/table17.xml><?xml version="1.0" encoding="utf-8"?>
<table xmlns="http://schemas.openxmlformats.org/spreadsheetml/2006/main" id="17" name="NetworkTopItems_2" displayName="NetworkTopItems_2" ref="A14:V24" totalsRowShown="0" headerRowDxfId="113" dataDxfId="112">
  <autoFilter ref="A14:V24"/>
  <tableColumns count="22">
    <tableColumn id="1" name="Top Domains In Comment in Entire Graph" dataDxfId="111"/>
    <tableColumn id="2" name="Entire Graph Count" dataDxfId="110"/>
    <tableColumn id="3" name="Top Domains In Comment in G1" dataDxfId="109"/>
    <tableColumn id="4" name="G1 Count" dataDxfId="108"/>
    <tableColumn id="5" name="Top Domains In Comment in G2" dataDxfId="107"/>
    <tableColumn id="6" name="G2 Count" dataDxfId="106"/>
    <tableColumn id="7" name="Top Domains In Comment in G3" dataDxfId="105"/>
    <tableColumn id="8" name="G3 Count" dataDxfId="104"/>
    <tableColumn id="9" name="Top Domains In Comment in G4" dataDxfId="103"/>
    <tableColumn id="10" name="G4 Count" dataDxfId="102"/>
    <tableColumn id="11" name="Top Domains In Comment in G5" dataDxfId="101"/>
    <tableColumn id="12" name="G5 Count" dataDxfId="100"/>
    <tableColumn id="13" name="Top Domains In Comment in G6" dataDxfId="99"/>
    <tableColumn id="14" name="G6 Count" dataDxfId="98"/>
    <tableColumn id="15" name="Top Domains In Comment in G7" dataDxfId="97"/>
    <tableColumn id="16" name="G7 Count" dataDxfId="96"/>
    <tableColumn id="17" name="Top Domains In Comment in G8" dataDxfId="95"/>
    <tableColumn id="18" name="G8 Count" dataDxfId="94"/>
    <tableColumn id="19" name="Top Domains In Comment in G9" dataDxfId="93"/>
    <tableColumn id="20" name="G9 Count" dataDxfId="92"/>
    <tableColumn id="21" name="Top Domains In Comment in G10" dataDxfId="91"/>
    <tableColumn id="22" name="G10 Count" dataDxfId="90"/>
  </tableColumns>
  <tableStyleInfo name="NodeXL Table" showFirstColumn="0" showLastColumn="0" showRowStripes="1" showColumnStripes="0"/>
</table>
</file>

<file path=xl/tables/table18.xml><?xml version="1.0" encoding="utf-8"?>
<table xmlns="http://schemas.openxmlformats.org/spreadsheetml/2006/main" id="18" name="NetworkTopItems_3" displayName="NetworkTopItems_3" ref="A27:V28" totalsRowShown="0" headerRowDxfId="88" dataDxfId="87">
  <autoFilter ref="A27:V28"/>
  <tableColumns count="22">
    <tableColumn id="1" name="Top Hashtags In Comment in Entire Graph" dataDxfId="86"/>
    <tableColumn id="2" name="Entire Graph Count" dataDxfId="85"/>
    <tableColumn id="3" name="Top Hashtags In Comment in G1" dataDxfId="84"/>
    <tableColumn id="4" name="G1 Count" dataDxfId="83"/>
    <tableColumn id="5" name="Top Hashtags In Comment in G2" dataDxfId="82"/>
    <tableColumn id="6" name="G2 Count" dataDxfId="81"/>
    <tableColumn id="7" name="Top Hashtags In Comment in G3" dataDxfId="80"/>
    <tableColumn id="8" name="G3 Count" dataDxfId="79"/>
    <tableColumn id="9" name="Top Hashtags In Comment in G4" dataDxfId="78"/>
    <tableColumn id="10" name="G4 Count" dataDxfId="77"/>
    <tableColumn id="11" name="Top Hashtags In Comment in G5" dataDxfId="76"/>
    <tableColumn id="12" name="G5 Count" dataDxfId="75"/>
    <tableColumn id="13" name="Top Hashtags In Comment in G6" dataDxfId="74"/>
    <tableColumn id="14" name="G6 Count" dataDxfId="73"/>
    <tableColumn id="15" name="Top Hashtags In Comment in G7" dataDxfId="72"/>
    <tableColumn id="16" name="G7 Count" dataDxfId="71"/>
    <tableColumn id="17" name="Top Hashtags In Comment in G8" dataDxfId="70"/>
    <tableColumn id="18" name="G8 Count" dataDxfId="69"/>
    <tableColumn id="19" name="Top Hashtags In Comment in G9" dataDxfId="68"/>
    <tableColumn id="20" name="G9 Count" dataDxfId="67"/>
    <tableColumn id="21" name="Top Hashtags In Comment in G10" dataDxfId="66"/>
    <tableColumn id="22" name="G10 Count" dataDxfId="65"/>
  </tableColumns>
  <tableStyleInfo name="NodeXL Table" showFirstColumn="0" showLastColumn="0" showRowStripes="1" showColumnStripes="0"/>
</table>
</file>

<file path=xl/tables/table19.xml><?xml version="1.0" encoding="utf-8"?>
<table xmlns="http://schemas.openxmlformats.org/spreadsheetml/2006/main" id="19" name="NetworkTopItems_4" displayName="NetworkTopItems_4" ref="A30:V40" totalsRowShown="0" headerRowDxfId="63" dataDxfId="62">
  <autoFilter ref="A30:V40"/>
  <tableColumns count="22">
    <tableColumn id="1" name="Top Words in Comment in Entire Graph" dataDxfId="61"/>
    <tableColumn id="2" name="Entire Graph Count" dataDxfId="60"/>
    <tableColumn id="3" name="Top Words in Comment in G1" dataDxfId="59"/>
    <tableColumn id="4" name="G1 Count" dataDxfId="58"/>
    <tableColumn id="5" name="Top Words in Comment in G2" dataDxfId="57"/>
    <tableColumn id="6" name="G2 Count" dataDxfId="56"/>
    <tableColumn id="7" name="Top Words in Comment in G3" dataDxfId="55"/>
    <tableColumn id="8" name="G3 Count" dataDxfId="54"/>
    <tableColumn id="9" name="Top Words in Comment in G4" dataDxfId="53"/>
    <tableColumn id="10" name="G4 Count" dataDxfId="52"/>
    <tableColumn id="11" name="Top Words in Comment in G5" dataDxfId="51"/>
    <tableColumn id="12" name="G5 Count" dataDxfId="50"/>
    <tableColumn id="13" name="Top Words in Comment in G6" dataDxfId="49"/>
    <tableColumn id="14" name="G6 Count" dataDxfId="48"/>
    <tableColumn id="15" name="Top Words in Comment in G7" dataDxfId="47"/>
    <tableColumn id="16" name="G7 Count" dataDxfId="46"/>
    <tableColumn id="17" name="Top Words in Comment in G8" dataDxfId="45"/>
    <tableColumn id="18" name="G8 Count" dataDxfId="44"/>
    <tableColumn id="19" name="Top Words in Comment in G9" dataDxfId="43"/>
    <tableColumn id="20" name="G9 Count" dataDxfId="42"/>
    <tableColumn id="21" name="Top Words in Comment in G10" dataDxfId="41"/>
    <tableColumn id="22" name="G10 Count" dataDxfId="4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N633" totalsRowShown="0" headerRowDxfId="328" dataDxfId="279">
  <autoFilter ref="A2:BN633"/>
  <tableColumns count="66">
    <tableColumn id="1" name="Vertex" dataDxfId="292"/>
    <tableColumn id="2" name="Color" dataDxfId="291"/>
    <tableColumn id="5" name="Shape" dataDxfId="290"/>
    <tableColumn id="6" name="Size" dataDxfId="289"/>
    <tableColumn id="4" name="Opacity" dataDxfId="240"/>
    <tableColumn id="7" name="Image File" dataDxfId="238"/>
    <tableColumn id="3" name="Visibility" dataDxfId="239"/>
    <tableColumn id="10" name="Label" dataDxfId="288"/>
    <tableColumn id="16" name="Label Fill Color" dataDxfId="287"/>
    <tableColumn id="9" name="Label Position" dataDxfId="258"/>
    <tableColumn id="8" name="Tooltip" dataDxfId="256"/>
    <tableColumn id="18" name="Layout Order" dataDxfId="257"/>
    <tableColumn id="13" name="X" dataDxfId="286"/>
    <tableColumn id="14" name="Y" dataDxfId="285"/>
    <tableColumn id="12" name="Locked?" dataDxfId="284"/>
    <tableColumn id="19" name="Polar R" dataDxfId="283"/>
    <tableColumn id="20" name="Polar Angle" dataDxfId="282"/>
    <tableColumn id="21" name="Degree" dataDxfId="149"/>
    <tableColumn id="22" name="In-Degree" dataDxfId="148"/>
    <tableColumn id="23" name="Out-Degree" dataDxfId="146"/>
    <tableColumn id="24" name="Betweenness Centrality" dataDxfId="147"/>
    <tableColumn id="25" name="Closeness Centrality" dataDxfId="151"/>
    <tableColumn id="26" name="Eigenvector Centrality" dataDxfId="150"/>
    <tableColumn id="15" name="PageRank" dataDxfId="145"/>
    <tableColumn id="27" name="Clustering Coefficient" dataDxfId="143"/>
    <tableColumn id="29" name="Reciprocated Vertex Pair Ratio" dataDxfId="144"/>
    <tableColumn id="11" name="ID" dataDxfId="281"/>
    <tableColumn id="28" name="Dynamic Filter" dataDxfId="280"/>
    <tableColumn id="17" name="Add Your Own Columns Here" dataDxfId="255"/>
    <tableColumn id="30" name="Title" dataDxfId="254"/>
    <tableColumn id="31" name="Description" dataDxfId="253"/>
    <tableColumn id="32" name="Author Channel ID" dataDxfId="252"/>
    <tableColumn id="33" name="Author Display Name" dataDxfId="251"/>
    <tableColumn id="34" name="Author Channel URL" dataDxfId="250"/>
    <tableColumn id="35" name="Custom URL" dataDxfId="249"/>
    <tableColumn id="36" name="Published At" dataDxfId="248"/>
    <tableColumn id="37" name="Thumbnail" dataDxfId="247"/>
    <tableColumn id="38" name="View Count" dataDxfId="246"/>
    <tableColumn id="39" name="Comment Count" dataDxfId="245"/>
    <tableColumn id="40" name="Subscriber Count" dataDxfId="244"/>
    <tableColumn id="41" name="Hidden Subscriber Count" dataDxfId="243"/>
    <tableColumn id="42" name="Video Count" dataDxfId="242"/>
    <tableColumn id="43" name="Content Owner" dataDxfId="241"/>
    <tableColumn id="44" name="Time Linked" dataDxfId="237"/>
    <tableColumn id="45" name="Custom Menu Item Text" dataDxfId="236"/>
    <tableColumn id="46" name="Custom Menu Item Action" dataDxfId="228"/>
    <tableColumn id="47" name="Vertex Group" dataDxfId="178">
      <calculatedColumnFormula>REPLACE(INDEX(GroupVertices[Group], MATCH(Vertices[[#This Row],[Vertex]],GroupVertices[Vertex],0)),1,1,"")</calculatedColumnFormula>
    </tableColumn>
    <tableColumn id="48" name="Sentiment List #1: List1 Word Count" dataDxfId="177"/>
    <tableColumn id="49" name="Sentiment List #1: List1 Word Percentage (%)" dataDxfId="176"/>
    <tableColumn id="50" name="Sentiment List #2: List2 Word Count" dataDxfId="175"/>
    <tableColumn id="51" name="Sentiment List #2: List2 Word Percentage (%)" dataDxfId="174"/>
    <tableColumn id="52" name="Sentiment List #3: List3 Word Count" dataDxfId="173"/>
    <tableColumn id="53" name="Sentiment List #3: List3 Word Percentage (%)" dataDxfId="172"/>
    <tableColumn id="54" name="Non-categorized Word Count" dataDxfId="171"/>
    <tableColumn id="55" name="Non-categorized Word Percentage (%)" dataDxfId="170"/>
    <tableColumn id="56" name="Vertex Content Word Count" dataDxfId="12"/>
    <tableColumn id="57" name="URLs In Comment by Count" dataDxfId="11"/>
    <tableColumn id="58" name="URLs In Comment by Salience" dataDxfId="10"/>
    <tableColumn id="59" name="Domains In Comment by Count" dataDxfId="9"/>
    <tableColumn id="60" name="Domains In Comment by Salience" dataDxfId="8"/>
    <tableColumn id="61" name="Hashtags In Comment by Count" dataDxfId="7"/>
    <tableColumn id="62" name="Hashtags In Comment by Salience" dataDxfId="6"/>
    <tableColumn id="63" name="Top Words in Comment by Count" dataDxfId="5"/>
    <tableColumn id="64" name="Top Words in Comment by Salience" dataDxfId="4"/>
    <tableColumn id="65" name="Top Word Pairs in Comment by Count" dataDxfId="3"/>
    <tableColumn id="66" name="Top Word Pairs in Comment by Salience" dataDxfId="2"/>
  </tableColumns>
  <tableStyleInfo name="NodeXL Table" showFirstColumn="0" showLastColumn="0" showRowStripes="0" showColumnStripes="0"/>
</table>
</file>

<file path=xl/tables/table20.xml><?xml version="1.0" encoding="utf-8"?>
<table xmlns="http://schemas.openxmlformats.org/spreadsheetml/2006/main" id="20" name="NetworkTopItems_5" displayName="NetworkTopItems_5" ref="A43:V53" totalsRowShown="0" headerRowDxfId="38" dataDxfId="37">
  <autoFilter ref="A43:V53"/>
  <tableColumns count="22">
    <tableColumn id="1" name="Top Word Pairs in Comment in Entire Graph" dataDxfId="36"/>
    <tableColumn id="2" name="Entire Graph Count" dataDxfId="35"/>
    <tableColumn id="3" name="Top Word Pairs in Comment in G1" dataDxfId="34"/>
    <tableColumn id="4" name="G1 Count" dataDxfId="33"/>
    <tableColumn id="5" name="Top Word Pairs in Comment in G2" dataDxfId="32"/>
    <tableColumn id="6" name="G2 Count" dataDxfId="31"/>
    <tableColumn id="7" name="Top Word Pairs in Comment in G3" dataDxfId="30"/>
    <tableColumn id="8" name="G3 Count" dataDxfId="29"/>
    <tableColumn id="9" name="Top Word Pairs in Comment in G4" dataDxfId="28"/>
    <tableColumn id="10" name="G4 Count" dataDxfId="27"/>
    <tableColumn id="11" name="Top Word Pairs in Comment in G5" dataDxfId="26"/>
    <tableColumn id="12" name="G5 Count" dataDxfId="25"/>
    <tableColumn id="13" name="Top Word Pairs in Comment in G6" dataDxfId="24"/>
    <tableColumn id="14" name="G6 Count" dataDxfId="23"/>
    <tableColumn id="15" name="Top Word Pairs in Comment in G7" dataDxfId="22"/>
    <tableColumn id="16" name="G7 Count" dataDxfId="21"/>
    <tableColumn id="17" name="Top Word Pairs in Comment in G8" dataDxfId="20"/>
    <tableColumn id="18" name="G8 Count" dataDxfId="19"/>
    <tableColumn id="19" name="Top Word Pairs in Comment in G9" dataDxfId="18"/>
    <tableColumn id="20" name="G9 Count" dataDxfId="17"/>
    <tableColumn id="21" name="Top Word Pairs in Comment in G10" dataDxfId="16"/>
    <tableColumn id="22" name="G10 Count" dataDxfId="15"/>
  </tableColumns>
  <tableStyleInfo name="NodeXL Table" showFirstColumn="0" showLastColumn="0" showRowStripes="1" showColumnStripes="0"/>
</table>
</file>

<file path=xl/tables/table3.xml><?xml version="1.0" encoding="utf-8"?>
<table xmlns="http://schemas.openxmlformats.org/spreadsheetml/2006/main" id="4" name="Groups" displayName="Groups" ref="A2:AL26" totalsRowShown="0" headerRowDxfId="327">
  <autoFilter ref="A2:AL26"/>
  <tableColumns count="38">
    <tableColumn id="1" name="Group" dataDxfId="235"/>
    <tableColumn id="2" name="Vertex Color" dataDxfId="234"/>
    <tableColumn id="3" name="Vertex Shape" dataDxfId="232"/>
    <tableColumn id="22" name="Visibility" dataDxfId="233"/>
    <tableColumn id="4" name="Collapsed?"/>
    <tableColumn id="18" name="Label" dataDxfId="326"/>
    <tableColumn id="20" name="Collapsed X"/>
    <tableColumn id="21" name="Collapsed Y"/>
    <tableColumn id="6" name="ID" dataDxfId="325"/>
    <tableColumn id="19" name="Collapsed Properties" dataDxfId="226"/>
    <tableColumn id="5" name="Vertices" dataDxfId="225"/>
    <tableColumn id="7" name="Unique Edges" dataDxfId="224"/>
    <tableColumn id="8" name="Edges With Duplicates" dataDxfId="223"/>
    <tableColumn id="9" name="Total Edges" dataDxfId="222"/>
    <tableColumn id="10" name="Self-Loops" dataDxfId="221"/>
    <tableColumn id="24" name="Reciprocated Vertex Pair Ratio" dataDxfId="220"/>
    <tableColumn id="25" name="Reciprocated Edge Ratio" dataDxfId="219"/>
    <tableColumn id="11" name="Connected Components" dataDxfId="218"/>
    <tableColumn id="12" name="Single-Vertex Connected Components" dataDxfId="217"/>
    <tableColumn id="13" name="Maximum Vertices in a Connected Component" dataDxfId="216"/>
    <tableColumn id="14" name="Maximum Edges in a Connected Component" dataDxfId="215"/>
    <tableColumn id="15" name="Maximum Geodesic Distance (Diameter)" dataDxfId="214"/>
    <tableColumn id="16" name="Average Geodesic Distance" dataDxfId="213"/>
    <tableColumn id="17" name="Graph Density" dataDxfId="169"/>
    <tableColumn id="23" name="Sentiment List #1: List1 Word Count" dataDxfId="168"/>
    <tableColumn id="26" name="Sentiment List #1: List1 Word Percentage (%)" dataDxfId="167"/>
    <tableColumn id="27" name="Sentiment List #2: List2 Word Count" dataDxfId="166"/>
    <tableColumn id="28" name="Sentiment List #2: List2 Word Percentage (%)" dataDxfId="165"/>
    <tableColumn id="29" name="Sentiment List #3: List3 Word Count" dataDxfId="164"/>
    <tableColumn id="30" name="Sentiment List #3: List3 Word Percentage (%)" dataDxfId="163"/>
    <tableColumn id="31" name="Non-categorized Word Count" dataDxfId="162"/>
    <tableColumn id="32" name="Non-categorized Word Percentage (%)" dataDxfId="161"/>
    <tableColumn id="33" name="Group Content Word Count" dataDxfId="114"/>
    <tableColumn id="34" name="Top URLs In Comment" dataDxfId="89"/>
    <tableColumn id="35" name="Top Domains In Comment" dataDxfId="64"/>
    <tableColumn id="36" name="Top Hashtags In Comment" dataDxfId="39"/>
    <tableColumn id="37" name="Top Words in Comment" dataDxfId="14"/>
    <tableColumn id="38" name="Top Word Pairs in Comment" dataDxfId="13"/>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32" totalsRowShown="0" headerRowDxfId="324" dataDxfId="323">
  <autoFilter ref="A1:C632"/>
  <tableColumns count="3">
    <tableColumn id="1" name="Group" dataDxfId="231"/>
    <tableColumn id="2" name="Vertex" dataDxfId="230"/>
    <tableColumn id="3" name="Vertex ID" dataDxfId="22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55"/>
    <tableColumn id="2" name="Value" dataDxfId="15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2"/>
    <tableColumn id="2" name="Degree Frequency" dataDxfId="321">
      <calculatedColumnFormula>COUNTIF(Vertices[Degree], "&gt;= " &amp; D2) - COUNTIF(Vertices[Degree], "&gt;=" &amp; D3)</calculatedColumnFormula>
    </tableColumn>
    <tableColumn id="3" name="In-Degree Bin" dataDxfId="320"/>
    <tableColumn id="4" name="In-Degree Frequency" dataDxfId="319">
      <calculatedColumnFormula>COUNTIF(Vertices[In-Degree], "&gt;= " &amp; F2) - COUNTIF(Vertices[In-Degree], "&gt;=" &amp; F3)</calculatedColumnFormula>
    </tableColumn>
    <tableColumn id="5" name="Out-Degree Bin" dataDxfId="318"/>
    <tableColumn id="6" name="Out-Degree Frequency" dataDxfId="317">
      <calculatedColumnFormula>COUNTIF(Vertices[Out-Degree], "&gt;= " &amp; H2) - COUNTIF(Vertices[Out-Degree], "&gt;=" &amp; H3)</calculatedColumnFormula>
    </tableColumn>
    <tableColumn id="7" name="Betweenness Centrality Bin" dataDxfId="316"/>
    <tableColumn id="8" name="Betweenness Centrality Frequency" dataDxfId="315">
      <calculatedColumnFormula>COUNTIF(Vertices[Betweenness Centrality], "&gt;= " &amp; J2) - COUNTIF(Vertices[Betweenness Centrality], "&gt;=" &amp; J3)</calculatedColumnFormula>
    </tableColumn>
    <tableColumn id="9" name="Closeness Centrality Bin" dataDxfId="314"/>
    <tableColumn id="10" name="Closeness Centrality Frequency" dataDxfId="313">
      <calculatedColumnFormula>COUNTIF(Vertices[Closeness Centrality], "&gt;= " &amp; L2) - COUNTIF(Vertices[Closeness Centrality], "&gt;=" &amp; L3)</calculatedColumnFormula>
    </tableColumn>
    <tableColumn id="11" name="Eigenvector Centrality Bin" dataDxfId="312"/>
    <tableColumn id="12" name="Eigenvector Centrality Frequency" dataDxfId="311">
      <calculatedColumnFormula>COUNTIF(Vertices[Eigenvector Centrality], "&gt;= " &amp; N2) - COUNTIF(Vertices[Eigenvector Centrality], "&gt;=" &amp; N3)</calculatedColumnFormula>
    </tableColumn>
    <tableColumn id="18" name="PageRank Bin" dataDxfId="310"/>
    <tableColumn id="17" name="PageRank Frequency" dataDxfId="309">
      <calculatedColumnFormula>COUNTIF(Vertices[Eigenvector Centrality], "&gt;= " &amp; P2) - COUNTIF(Vertices[Eigenvector Centrality], "&gt;=" &amp; P3)</calculatedColumnFormula>
    </tableColumn>
    <tableColumn id="13" name="Clustering Coefficient Bin" dataDxfId="308"/>
    <tableColumn id="14" name="Clustering Coefficient Frequency" dataDxfId="307">
      <calculatedColumnFormula>COUNTIF(Vertices[Clustering Coefficient], "&gt;= " &amp; R2) - COUNTIF(Vertices[Clustering Coefficient], "&gt;=" &amp; R3)</calculatedColumnFormula>
    </tableColumn>
    <tableColumn id="15" name="Dynamic Filter Bin" dataDxfId="306"/>
    <tableColumn id="16" name="Dynamic Filter Frequency" dataDxfId="30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hyperlink" Target="https://gurudeseyesubai.org/hidden-causes-of-disease-3/" TargetMode="External" /><Relationship Id="rId2" Type="http://schemas.openxmlformats.org/officeDocument/2006/relationships/hyperlink" Target="http://gmail.com/" TargetMode="External" /><Relationship Id="rId3" Type="http://schemas.openxmlformats.org/officeDocument/2006/relationships/hyperlink" Target="https://play.google.com/store/apps/details?id=com.wow.studyiq" TargetMode="External" /><Relationship Id="rId4" Type="http://schemas.openxmlformats.org/officeDocument/2006/relationships/hyperlink" Target="https://bit.ly/2xxuT9B" TargetMode="External" /><Relationship Id="rId5" Type="http://schemas.openxmlformats.org/officeDocument/2006/relationships/hyperlink" Target="https://t.me/DrVipanGoyal" TargetMode="External" /><Relationship Id="rId6" Type="http://schemas.openxmlformats.org/officeDocument/2006/relationships/hyperlink" Target="https://bit.ly/2ODgNaf" TargetMode="External" /><Relationship Id="rId7" Type="http://schemas.openxmlformats.org/officeDocument/2006/relationships/hyperlink" Target="https://www.facebook.com/vipangoyal13" TargetMode="External" /><Relationship Id="rId8" Type="http://schemas.openxmlformats.org/officeDocument/2006/relationships/hyperlink" Target="https://youtu.be/sWTtD-aE-q8" TargetMode="External" /><Relationship Id="rId9" Type="http://schemas.openxmlformats.org/officeDocument/2006/relationships/hyperlink" Target="https://www.facebook.com/kclpharmacy/" TargetMode="External" /><Relationship Id="rId10" Type="http://schemas.openxmlformats.org/officeDocument/2006/relationships/hyperlink" Target="https://bit.ly/32j1Zq1" TargetMode="External" /><Relationship Id="rId11" Type="http://schemas.openxmlformats.org/officeDocument/2006/relationships/hyperlink" Target="http://www.youtube.com/results?search_query=%23LastMinuteSquad" TargetMode="External" /><Relationship Id="rId12" Type="http://schemas.openxmlformats.org/officeDocument/2006/relationships/hyperlink" Target="https://www.youtube.com/watch?v=H6DrSG_KQjo&amp;amp;t=3m34s" TargetMode="External" /><Relationship Id="rId13" Type="http://schemas.openxmlformats.org/officeDocument/2006/relationships/hyperlink" Target="https://gurudeseyesubai.org/hidden-causes-of-disease-3/" TargetMode="External" /><Relationship Id="rId14" Type="http://schemas.openxmlformats.org/officeDocument/2006/relationships/hyperlink" Target="http://gmail.com/" TargetMode="External" /><Relationship Id="rId15" Type="http://schemas.openxmlformats.org/officeDocument/2006/relationships/hyperlink" Target="https://www.youtube.com/watch?v=fK1_SH3X2ek&amp;amp;t=2m13s" TargetMode="External" /><Relationship Id="rId16" Type="http://schemas.openxmlformats.org/officeDocument/2006/relationships/hyperlink" Target="http://paho.org/" TargetMode="External" /><Relationship Id="rId17" Type="http://schemas.openxmlformats.org/officeDocument/2006/relationships/hyperlink" Target="http://www.paho.org/nmh" TargetMode="External" /><Relationship Id="rId18" Type="http://schemas.openxmlformats.org/officeDocument/2006/relationships/hyperlink" Target="http://gmail.com/" TargetMode="External" /><Relationship Id="rId19" Type="http://schemas.openxmlformats.org/officeDocument/2006/relationships/hyperlink" Target="https://m.facebook.com/Dr-Ehimare-486420321924941" TargetMode="External" /><Relationship Id="rId20" Type="http://schemas.openxmlformats.org/officeDocument/2006/relationships/hyperlink" Target="http://solido2.co.za/" TargetMode="External" /><Relationship Id="rId21" Type="http://schemas.openxmlformats.org/officeDocument/2006/relationships/hyperlink" Target="https://www.youtube.com/watch?v=LBkXQ_mBO3Q&amp;amp;t=0m50s" TargetMode="External" /><Relationship Id="rId22" Type="http://schemas.openxmlformats.org/officeDocument/2006/relationships/hyperlink" Target="https://www.youtube.com/watch?v=LBkXQ_mBO3Q&amp;amp;t=1m05s" TargetMode="External" /><Relationship Id="rId23" Type="http://schemas.openxmlformats.org/officeDocument/2006/relationships/hyperlink" Target="https://youtu.be/ar2UyGn27RU" TargetMode="External" /><Relationship Id="rId24" Type="http://schemas.openxmlformats.org/officeDocument/2006/relationships/hyperlink" Target="https://www.youtube.com/watch?v=8nOuAUfXjzQ" TargetMode="External" /><Relationship Id="rId25" Type="http://schemas.openxmlformats.org/officeDocument/2006/relationships/hyperlink" Target="https://www.youtube.com/watch?v=vpEAos0blyw&amp;amp;t=0m16s" TargetMode="External" /><Relationship Id="rId26" Type="http://schemas.openxmlformats.org/officeDocument/2006/relationships/hyperlink" Target="https://www.youtube.com/watch?v=vpEAos0blyw&amp;amp;t=5m24s" TargetMode="External" /><Relationship Id="rId27" Type="http://schemas.openxmlformats.org/officeDocument/2006/relationships/hyperlink" Target="https://www.youtube.com/watch?v=vpEAos0blyw&amp;amp;t=5m18s" TargetMode="External" /><Relationship Id="rId28" Type="http://schemas.openxmlformats.org/officeDocument/2006/relationships/hyperlink" Target="http://gmail.com/" TargetMode="External" /><Relationship Id="rId29" Type="http://schemas.openxmlformats.org/officeDocument/2006/relationships/hyperlink" Target="https://www.youtube.com/watch?v=vpEAos0blyw&amp;amp;t=12m33s" TargetMode="External" /><Relationship Id="rId30" Type="http://schemas.openxmlformats.org/officeDocument/2006/relationships/hyperlink" Target="https://www.youtube.com/watch?v=HeOcduRiqyw&amp;amp;t=12m40s" TargetMode="External" /><Relationship Id="rId31" Type="http://schemas.openxmlformats.org/officeDocument/2006/relationships/hyperlink" Target="https://www.youtube.com/watch?v=ggOqMncgemw&amp;amp;t=13m25s" TargetMode="External" /><Relationship Id="rId32" Type="http://schemas.openxmlformats.org/officeDocument/2006/relationships/hyperlink" Target="https://youtu.be/sWTtD-aE-q8" TargetMode="External" /><Relationship Id="rId33" Type="http://schemas.openxmlformats.org/officeDocument/2006/relationships/hyperlink" Target="https://www.facebook.com/kclpharmacy/" TargetMode="External" /><Relationship Id="rId34" Type="http://schemas.openxmlformats.org/officeDocument/2006/relationships/hyperlink" Target="http://www.kclpharmacy.com/" TargetMode="External" /><Relationship Id="rId35" Type="http://schemas.openxmlformats.org/officeDocument/2006/relationships/hyperlink" Target="http://liulife.org/" TargetMode="External" /><Relationship Id="rId36" Type="http://schemas.openxmlformats.org/officeDocument/2006/relationships/hyperlink" Target="https://www.youtube.com/watch?v=iy-47a68P60&amp;amp;t=2m41s" TargetMode="External" /><Relationship Id="rId37" Type="http://schemas.openxmlformats.org/officeDocument/2006/relationships/hyperlink" Target="https://www.youtube.com/watch?v=iy-47a68P60&amp;amp;t=3m33s" TargetMode="External" /><Relationship Id="rId38" Type="http://schemas.openxmlformats.org/officeDocument/2006/relationships/hyperlink" Target="https://youtu.be/cRB0pNL5Lmk" TargetMode="External" /><Relationship Id="rId39" Type="http://schemas.openxmlformats.org/officeDocument/2006/relationships/table" Target="../tables/table16.xml" /><Relationship Id="rId40" Type="http://schemas.openxmlformats.org/officeDocument/2006/relationships/table" Target="../tables/table17.xml" /><Relationship Id="rId41" Type="http://schemas.openxmlformats.org/officeDocument/2006/relationships/table" Target="../tables/table18.xml" /><Relationship Id="rId42" Type="http://schemas.openxmlformats.org/officeDocument/2006/relationships/table" Target="../tables/table19.xml" /><Relationship Id="rId43" Type="http://schemas.openxmlformats.org/officeDocument/2006/relationships/table" Target="../tables/table20.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81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7" width="12.00390625" style="0" bestFit="1" customWidth="1"/>
    <col min="18" max="18" width="12.8515625" style="0" bestFit="1" customWidth="1"/>
    <col min="19" max="19" width="16.421875" style="0" bestFit="1" customWidth="1"/>
    <col min="20" max="20" width="14.28125" style="0" bestFit="1" customWidth="1"/>
    <col min="21" max="21" width="11.421875" style="0" bestFit="1" customWidth="1"/>
    <col min="22" max="22" width="10.8515625" style="0" bestFit="1" customWidth="1"/>
    <col min="23" max="23" width="8.57421875" style="0" bestFit="1" customWidth="1"/>
    <col min="24" max="24" width="9.7109375" style="0" bestFit="1" customWidth="1"/>
    <col min="25" max="25" width="8.57421875" style="0" bestFit="1" customWidth="1"/>
    <col min="26" max="26" width="12.140625" style="0" bestFit="1" customWidth="1"/>
    <col min="27" max="27" width="10.8515625" style="0" bestFit="1" customWidth="1"/>
    <col min="28" max="28" width="12.00390625" style="0" bestFit="1" customWidth="1"/>
    <col min="29" max="29" width="13.140625" style="0" bestFit="1" customWidth="1"/>
    <col min="30" max="30" width="13.28125" style="0" bestFit="1" customWidth="1"/>
    <col min="31" max="31" width="14.421875" style="0" customWidth="1"/>
    <col min="32" max="33" width="11.140625" style="0" bestFit="1" customWidth="1"/>
    <col min="34" max="34" width="19.7109375" style="0" bestFit="1" customWidth="1"/>
    <col min="35" max="35" width="24.28125" style="0" bestFit="1" customWidth="1"/>
    <col min="36" max="36" width="19.7109375" style="0" bestFit="1" customWidth="1"/>
    <col min="37" max="37" width="24.28125" style="0" bestFit="1" customWidth="1"/>
    <col min="38" max="38" width="19.7109375" style="0" bestFit="1" customWidth="1"/>
    <col min="39" max="39" width="24.28125" style="0" bestFit="1" customWidth="1"/>
    <col min="40" max="40" width="18.57421875" style="0" bestFit="1" customWidth="1"/>
    <col min="41" max="41" width="22.28125" style="0" bestFit="1" customWidth="1"/>
    <col min="42" max="42" width="15.7109375" style="0" bestFit="1" customWidth="1"/>
  </cols>
  <sheetData>
    <row r="1" spans="3:14" ht="15">
      <c r="C1" s="17" t="s">
        <v>39</v>
      </c>
      <c r="D1" s="18"/>
      <c r="E1" s="18"/>
      <c r="F1" s="18"/>
      <c r="G1" s="17"/>
      <c r="H1" s="15" t="s">
        <v>43</v>
      </c>
      <c r="I1" s="52"/>
      <c r="J1" s="52"/>
      <c r="K1" s="34" t="s">
        <v>42</v>
      </c>
      <c r="L1" s="19" t="s">
        <v>40</v>
      </c>
      <c r="M1" s="19"/>
      <c r="N1" s="16" t="s">
        <v>41</v>
      </c>
    </row>
    <row r="2" spans="1:4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197</v>
      </c>
      <c r="P2" s="13" t="s">
        <v>198</v>
      </c>
      <c r="Q2" s="13" t="s">
        <v>199</v>
      </c>
      <c r="R2" s="13" t="s">
        <v>200</v>
      </c>
      <c r="S2" s="13" t="s">
        <v>201</v>
      </c>
      <c r="T2" s="13" t="s">
        <v>202</v>
      </c>
      <c r="U2" s="13" t="s">
        <v>203</v>
      </c>
      <c r="V2" s="13" t="s">
        <v>204</v>
      </c>
      <c r="W2" s="13" t="s">
        <v>205</v>
      </c>
      <c r="X2" s="13" t="s">
        <v>206</v>
      </c>
      <c r="Y2" s="13" t="s">
        <v>207</v>
      </c>
      <c r="Z2" s="13" t="s">
        <v>208</v>
      </c>
      <c r="AA2" s="13" t="s">
        <v>209</v>
      </c>
      <c r="AB2" s="13" t="s">
        <v>210</v>
      </c>
      <c r="AC2" s="13" t="s">
        <v>211</v>
      </c>
      <c r="AD2" s="13" t="s">
        <v>212</v>
      </c>
      <c r="AE2" t="s">
        <v>2666</v>
      </c>
      <c r="AF2" s="13" t="s">
        <v>2704</v>
      </c>
      <c r="AG2" s="13" t="s">
        <v>2705</v>
      </c>
      <c r="AH2" s="54" t="s">
        <v>3375</v>
      </c>
      <c r="AI2" s="54" t="s">
        <v>3376</v>
      </c>
      <c r="AJ2" s="54" t="s">
        <v>3377</v>
      </c>
      <c r="AK2" s="54" t="s">
        <v>3378</v>
      </c>
      <c r="AL2" s="54" t="s">
        <v>3379</v>
      </c>
      <c r="AM2" s="54" t="s">
        <v>3380</v>
      </c>
      <c r="AN2" s="54" t="s">
        <v>3381</v>
      </c>
      <c r="AO2" s="54" t="s">
        <v>3382</v>
      </c>
      <c r="AP2" s="54" t="s">
        <v>3383</v>
      </c>
    </row>
    <row r="3" spans="1:42" ht="15" customHeight="1">
      <c r="A3" s="65" t="s">
        <v>843</v>
      </c>
      <c r="B3" s="65" t="s">
        <v>223</v>
      </c>
      <c r="C3" s="66" t="s">
        <v>4651</v>
      </c>
      <c r="D3" s="67">
        <v>3</v>
      </c>
      <c r="E3" s="68"/>
      <c r="F3" s="69">
        <v>40</v>
      </c>
      <c r="G3" s="66"/>
      <c r="H3" s="70"/>
      <c r="I3" s="71"/>
      <c r="J3" s="71"/>
      <c r="K3" s="35" t="s">
        <v>65</v>
      </c>
      <c r="L3" s="72">
        <v>3</v>
      </c>
      <c r="M3" s="72"/>
      <c r="N3" s="73"/>
      <c r="O3" s="80" t="s">
        <v>844</v>
      </c>
      <c r="P3" s="80" t="s">
        <v>199</v>
      </c>
      <c r="Q3" s="83" t="s">
        <v>1571</v>
      </c>
      <c r="R3" s="80" t="s">
        <v>843</v>
      </c>
      <c r="S3" s="80" t="s">
        <v>2184</v>
      </c>
      <c r="T3" s="85" t="str">
        <f>HYPERLINK("http://www.youtube.com/channel/UC4zL7THUNhJldxCMKv2v4kQ")</f>
        <v>http://www.youtube.com/channel/UC4zL7THUNhJldxCMKv2v4kQ</v>
      </c>
      <c r="U3" s="80"/>
      <c r="V3" s="80" t="s">
        <v>2306</v>
      </c>
      <c r="W3" s="85" t="str">
        <f>HYPERLINK("https://www.youtube.com/watch?v=f5vABZt80AQ")</f>
        <v>https://www.youtube.com/watch?v=f5vABZt80AQ</v>
      </c>
      <c r="X3" s="80" t="s">
        <v>2349</v>
      </c>
      <c r="Y3" s="80">
        <v>1</v>
      </c>
      <c r="Z3" s="87">
        <v>43797.776712962965</v>
      </c>
      <c r="AA3" s="87">
        <v>43797.776712962965</v>
      </c>
      <c r="AB3" s="80"/>
      <c r="AC3" s="80"/>
      <c r="AD3" s="83" t="s">
        <v>2390</v>
      </c>
      <c r="AE3" s="82">
        <v>1</v>
      </c>
      <c r="AF3" s="83" t="str">
        <f>REPLACE(INDEX(GroupVertices[Group],MATCH(Edges[[#This Row],[Vertex 1]],GroupVertices[Vertex],0)),1,1,"")</f>
        <v>9</v>
      </c>
      <c r="AG3" s="83" t="str">
        <f>REPLACE(INDEX(GroupVertices[Group],MATCH(Edges[[#This Row],[Vertex 2]],GroupVertices[Vertex],0)),1,1,"")</f>
        <v>9</v>
      </c>
      <c r="AH3" s="111">
        <v>0</v>
      </c>
      <c r="AI3" s="112">
        <v>0</v>
      </c>
      <c r="AJ3" s="111">
        <v>0</v>
      </c>
      <c r="AK3" s="112">
        <v>0</v>
      </c>
      <c r="AL3" s="111">
        <v>0</v>
      </c>
      <c r="AM3" s="112">
        <v>0</v>
      </c>
      <c r="AN3" s="111">
        <v>11</v>
      </c>
      <c r="AO3" s="112">
        <v>100</v>
      </c>
      <c r="AP3" s="111">
        <v>11</v>
      </c>
    </row>
    <row r="4" spans="1:42" ht="15" customHeight="1">
      <c r="A4" s="65" t="s">
        <v>213</v>
      </c>
      <c r="B4" s="65" t="s">
        <v>223</v>
      </c>
      <c r="C4" s="66" t="s">
        <v>4651</v>
      </c>
      <c r="D4" s="67">
        <v>3</v>
      </c>
      <c r="E4" s="68"/>
      <c r="F4" s="69">
        <v>40</v>
      </c>
      <c r="G4" s="66"/>
      <c r="H4" s="70"/>
      <c r="I4" s="71"/>
      <c r="J4" s="71"/>
      <c r="K4" s="35" t="s">
        <v>65</v>
      </c>
      <c r="L4" s="79">
        <v>4</v>
      </c>
      <c r="M4" s="79"/>
      <c r="N4" s="73"/>
      <c r="O4" s="81" t="s">
        <v>844</v>
      </c>
      <c r="P4" s="81" t="s">
        <v>199</v>
      </c>
      <c r="Q4" s="84" t="s">
        <v>848</v>
      </c>
      <c r="R4" s="81" t="s">
        <v>213</v>
      </c>
      <c r="S4" s="81" t="s">
        <v>1572</v>
      </c>
      <c r="T4" s="86" t="str">
        <f>HYPERLINK("http://www.youtube.com/channel/UChdCBVkVOVEZC1LjXC1bQKA")</f>
        <v>http://www.youtube.com/channel/UChdCBVkVOVEZC1LjXC1bQKA</v>
      </c>
      <c r="U4" s="81"/>
      <c r="V4" s="81" t="s">
        <v>2306</v>
      </c>
      <c r="W4" s="86" t="str">
        <f>HYPERLINK("https://www.youtube.com/watch?v=f5vABZt80AQ")</f>
        <v>https://www.youtube.com/watch?v=f5vABZt80AQ</v>
      </c>
      <c r="X4" s="81" t="s">
        <v>2349</v>
      </c>
      <c r="Y4" s="81">
        <v>1</v>
      </c>
      <c r="Z4" s="88">
        <v>43797.78560185185</v>
      </c>
      <c r="AA4" s="88">
        <v>43797.78560185185</v>
      </c>
      <c r="AB4" s="81"/>
      <c r="AC4" s="81"/>
      <c r="AD4" s="84" t="s">
        <v>2390</v>
      </c>
      <c r="AE4" s="82">
        <v>1</v>
      </c>
      <c r="AF4" s="83" t="str">
        <f>REPLACE(INDEX(GroupVertices[Group],MATCH(Edges[[#This Row],[Vertex 1]],GroupVertices[Vertex],0)),1,1,"")</f>
        <v>9</v>
      </c>
      <c r="AG4" s="83" t="str">
        <f>REPLACE(INDEX(GroupVertices[Group],MATCH(Edges[[#This Row],[Vertex 2]],GroupVertices[Vertex],0)),1,1,"")</f>
        <v>9</v>
      </c>
      <c r="AH4" s="111">
        <v>1</v>
      </c>
      <c r="AI4" s="112">
        <v>14.285714285714286</v>
      </c>
      <c r="AJ4" s="111">
        <v>0</v>
      </c>
      <c r="AK4" s="112">
        <v>0</v>
      </c>
      <c r="AL4" s="111">
        <v>0</v>
      </c>
      <c r="AM4" s="112">
        <v>0</v>
      </c>
      <c r="AN4" s="111">
        <v>6</v>
      </c>
      <c r="AO4" s="112">
        <v>85.71428571428571</v>
      </c>
      <c r="AP4" s="111">
        <v>7</v>
      </c>
    </row>
    <row r="5" spans="1:42" ht="15">
      <c r="A5" s="65" t="s">
        <v>214</v>
      </c>
      <c r="B5" s="65" t="s">
        <v>223</v>
      </c>
      <c r="C5" s="66" t="s">
        <v>4651</v>
      </c>
      <c r="D5" s="67">
        <v>3</v>
      </c>
      <c r="E5" s="68"/>
      <c r="F5" s="69">
        <v>40</v>
      </c>
      <c r="G5" s="66"/>
      <c r="H5" s="70"/>
      <c r="I5" s="71"/>
      <c r="J5" s="71"/>
      <c r="K5" s="35" t="s">
        <v>65</v>
      </c>
      <c r="L5" s="79">
        <v>5</v>
      </c>
      <c r="M5" s="79"/>
      <c r="N5" s="73"/>
      <c r="O5" s="81" t="s">
        <v>844</v>
      </c>
      <c r="P5" s="81" t="s">
        <v>199</v>
      </c>
      <c r="Q5" s="84" t="s">
        <v>849</v>
      </c>
      <c r="R5" s="81" t="s">
        <v>214</v>
      </c>
      <c r="S5" s="81" t="s">
        <v>1573</v>
      </c>
      <c r="T5" s="86" t="str">
        <f>HYPERLINK("http://www.youtube.com/channel/UCg8fNMPdpfyWTaK4RkbHIww")</f>
        <v>http://www.youtube.com/channel/UCg8fNMPdpfyWTaK4RkbHIww</v>
      </c>
      <c r="U5" s="81"/>
      <c r="V5" s="81" t="s">
        <v>2306</v>
      </c>
      <c r="W5" s="86" t="str">
        <f>HYPERLINK("https://www.youtube.com/watch?v=f5vABZt80AQ")</f>
        <v>https://www.youtube.com/watch?v=f5vABZt80AQ</v>
      </c>
      <c r="X5" s="81" t="s">
        <v>2349</v>
      </c>
      <c r="Y5" s="81">
        <v>1</v>
      </c>
      <c r="Z5" s="88">
        <v>43797.79351851852</v>
      </c>
      <c r="AA5" s="88">
        <v>43797.79351851852</v>
      </c>
      <c r="AB5" s="81"/>
      <c r="AC5" s="81"/>
      <c r="AD5" s="84" t="s">
        <v>2390</v>
      </c>
      <c r="AE5" s="82">
        <v>1</v>
      </c>
      <c r="AF5" s="83" t="str">
        <f>REPLACE(INDEX(GroupVertices[Group],MATCH(Edges[[#This Row],[Vertex 1]],GroupVertices[Vertex],0)),1,1,"")</f>
        <v>9</v>
      </c>
      <c r="AG5" s="83" t="str">
        <f>REPLACE(INDEX(GroupVertices[Group],MATCH(Edges[[#This Row],[Vertex 2]],GroupVertices[Vertex],0)),1,1,"")</f>
        <v>9</v>
      </c>
      <c r="AH5" s="111">
        <v>1</v>
      </c>
      <c r="AI5" s="112">
        <v>33.333333333333336</v>
      </c>
      <c r="AJ5" s="111">
        <v>0</v>
      </c>
      <c r="AK5" s="112">
        <v>0</v>
      </c>
      <c r="AL5" s="111">
        <v>0</v>
      </c>
      <c r="AM5" s="112">
        <v>0</v>
      </c>
      <c r="AN5" s="111">
        <v>2</v>
      </c>
      <c r="AO5" s="112">
        <v>66.66666666666667</v>
      </c>
      <c r="AP5" s="111">
        <v>3</v>
      </c>
    </row>
    <row r="6" spans="1:42" ht="15">
      <c r="A6" s="65" t="s">
        <v>215</v>
      </c>
      <c r="B6" s="65" t="s">
        <v>223</v>
      </c>
      <c r="C6" s="66" t="s">
        <v>4651</v>
      </c>
      <c r="D6" s="67">
        <v>3</v>
      </c>
      <c r="E6" s="68"/>
      <c r="F6" s="69">
        <v>40</v>
      </c>
      <c r="G6" s="66"/>
      <c r="H6" s="70"/>
      <c r="I6" s="71"/>
      <c r="J6" s="71"/>
      <c r="K6" s="35" t="s">
        <v>65</v>
      </c>
      <c r="L6" s="79">
        <v>6</v>
      </c>
      <c r="M6" s="79"/>
      <c r="N6" s="73"/>
      <c r="O6" s="81" t="s">
        <v>844</v>
      </c>
      <c r="P6" s="81" t="s">
        <v>199</v>
      </c>
      <c r="Q6" s="84" t="s">
        <v>850</v>
      </c>
      <c r="R6" s="81" t="s">
        <v>215</v>
      </c>
      <c r="S6" s="81" t="s">
        <v>1574</v>
      </c>
      <c r="T6" s="86" t="str">
        <f>HYPERLINK("http://www.youtube.com/channel/UCECxyw41C61CP-yhmtzK02w")</f>
        <v>http://www.youtube.com/channel/UCECxyw41C61CP-yhmtzK02w</v>
      </c>
      <c r="U6" s="81"/>
      <c r="V6" s="81" t="s">
        <v>2306</v>
      </c>
      <c r="W6" s="86" t="str">
        <f>HYPERLINK("https://www.youtube.com/watch?v=f5vABZt80AQ")</f>
        <v>https://www.youtube.com/watch?v=f5vABZt80AQ</v>
      </c>
      <c r="X6" s="81" t="s">
        <v>2349</v>
      </c>
      <c r="Y6" s="81">
        <v>0</v>
      </c>
      <c r="Z6" s="88">
        <v>43798.133055555554</v>
      </c>
      <c r="AA6" s="88">
        <v>43798.133055555554</v>
      </c>
      <c r="AB6" s="81"/>
      <c r="AC6" s="81"/>
      <c r="AD6" s="84" t="s">
        <v>2390</v>
      </c>
      <c r="AE6" s="82">
        <v>1</v>
      </c>
      <c r="AF6" s="83" t="str">
        <f>REPLACE(INDEX(GroupVertices[Group],MATCH(Edges[[#This Row],[Vertex 1]],GroupVertices[Vertex],0)),1,1,"")</f>
        <v>9</v>
      </c>
      <c r="AG6" s="83" t="str">
        <f>REPLACE(INDEX(GroupVertices[Group],MATCH(Edges[[#This Row],[Vertex 2]],GroupVertices[Vertex],0)),1,1,"")</f>
        <v>9</v>
      </c>
      <c r="AH6" s="111">
        <v>0</v>
      </c>
      <c r="AI6" s="112">
        <v>0</v>
      </c>
      <c r="AJ6" s="111">
        <v>0</v>
      </c>
      <c r="AK6" s="112">
        <v>0</v>
      </c>
      <c r="AL6" s="111">
        <v>0</v>
      </c>
      <c r="AM6" s="112">
        <v>0</v>
      </c>
      <c r="AN6" s="111">
        <v>9</v>
      </c>
      <c r="AO6" s="112">
        <v>100</v>
      </c>
      <c r="AP6" s="111">
        <v>9</v>
      </c>
    </row>
    <row r="7" spans="1:42" ht="15">
      <c r="A7" s="65" t="s">
        <v>216</v>
      </c>
      <c r="B7" s="65" t="s">
        <v>223</v>
      </c>
      <c r="C7" s="66" t="s">
        <v>4651</v>
      </c>
      <c r="D7" s="67">
        <v>3</v>
      </c>
      <c r="E7" s="68"/>
      <c r="F7" s="69">
        <v>40</v>
      </c>
      <c r="G7" s="66"/>
      <c r="H7" s="70"/>
      <c r="I7" s="71"/>
      <c r="J7" s="71"/>
      <c r="K7" s="35" t="s">
        <v>65</v>
      </c>
      <c r="L7" s="79">
        <v>7</v>
      </c>
      <c r="M7" s="79"/>
      <c r="N7" s="73"/>
      <c r="O7" s="81" t="s">
        <v>844</v>
      </c>
      <c r="P7" s="81" t="s">
        <v>199</v>
      </c>
      <c r="Q7" s="84" t="s">
        <v>851</v>
      </c>
      <c r="R7" s="81" t="s">
        <v>216</v>
      </c>
      <c r="S7" s="81" t="s">
        <v>1575</v>
      </c>
      <c r="T7" s="86" t="str">
        <f>HYPERLINK("http://www.youtube.com/channel/UCMr9gM8IZN33Dbm1e63m28Q")</f>
        <v>http://www.youtube.com/channel/UCMr9gM8IZN33Dbm1e63m28Q</v>
      </c>
      <c r="U7" s="81"/>
      <c r="V7" s="81" t="s">
        <v>2306</v>
      </c>
      <c r="W7" s="86" t="str">
        <f>HYPERLINK("https://www.youtube.com/watch?v=f5vABZt80AQ")</f>
        <v>https://www.youtube.com/watch?v=f5vABZt80AQ</v>
      </c>
      <c r="X7" s="81" t="s">
        <v>2349</v>
      </c>
      <c r="Y7" s="81">
        <v>2</v>
      </c>
      <c r="Z7" s="88">
        <v>43798.192407407405</v>
      </c>
      <c r="AA7" s="88">
        <v>43798.192407407405</v>
      </c>
      <c r="AB7" s="81"/>
      <c r="AC7" s="81"/>
      <c r="AD7" s="84" t="s">
        <v>2390</v>
      </c>
      <c r="AE7" s="82">
        <v>1</v>
      </c>
      <c r="AF7" s="83" t="str">
        <f>REPLACE(INDEX(GroupVertices[Group],MATCH(Edges[[#This Row],[Vertex 1]],GroupVertices[Vertex],0)),1,1,"")</f>
        <v>9</v>
      </c>
      <c r="AG7" s="83" t="str">
        <f>REPLACE(INDEX(GroupVertices[Group],MATCH(Edges[[#This Row],[Vertex 2]],GroupVertices[Vertex],0)),1,1,"")</f>
        <v>9</v>
      </c>
      <c r="AH7" s="111">
        <v>0</v>
      </c>
      <c r="AI7" s="112">
        <v>0</v>
      </c>
      <c r="AJ7" s="111">
        <v>0</v>
      </c>
      <c r="AK7" s="112">
        <v>0</v>
      </c>
      <c r="AL7" s="111">
        <v>0</v>
      </c>
      <c r="AM7" s="112">
        <v>0</v>
      </c>
      <c r="AN7" s="111">
        <v>2</v>
      </c>
      <c r="AO7" s="112">
        <v>100</v>
      </c>
      <c r="AP7" s="111">
        <v>2</v>
      </c>
    </row>
    <row r="8" spans="1:42" ht="15">
      <c r="A8" s="65" t="s">
        <v>217</v>
      </c>
      <c r="B8" s="65" t="s">
        <v>218</v>
      </c>
      <c r="C8" s="66" t="s">
        <v>4651</v>
      </c>
      <c r="D8" s="67">
        <v>3</v>
      </c>
      <c r="E8" s="68"/>
      <c r="F8" s="69">
        <v>40</v>
      </c>
      <c r="G8" s="66"/>
      <c r="H8" s="70"/>
      <c r="I8" s="71"/>
      <c r="J8" s="71"/>
      <c r="K8" s="35" t="s">
        <v>65</v>
      </c>
      <c r="L8" s="79">
        <v>8</v>
      </c>
      <c r="M8" s="79"/>
      <c r="N8" s="73"/>
      <c r="O8" s="81" t="s">
        <v>845</v>
      </c>
      <c r="P8" s="81" t="s">
        <v>847</v>
      </c>
      <c r="Q8" s="84" t="s">
        <v>852</v>
      </c>
      <c r="R8" s="81" t="s">
        <v>217</v>
      </c>
      <c r="S8" s="81" t="s">
        <v>1576</v>
      </c>
      <c r="T8" s="86" t="str">
        <f>HYPERLINK("http://www.youtube.com/channel/UCPbxTWdxy1z5zqJaBynwR8Q")</f>
        <v>http://www.youtube.com/channel/UCPbxTWdxy1z5zqJaBynwR8Q</v>
      </c>
      <c r="U8" s="81" t="s">
        <v>2185</v>
      </c>
      <c r="V8" s="81" t="s">
        <v>2306</v>
      </c>
      <c r="W8" s="86" t="str">
        <f>HYPERLINK("https://www.youtube.com/watch?v=f5vABZt80AQ")</f>
        <v>https://www.youtube.com/watch?v=f5vABZt80AQ</v>
      </c>
      <c r="X8" s="81" t="s">
        <v>2349</v>
      </c>
      <c r="Y8" s="81">
        <v>1</v>
      </c>
      <c r="Z8" s="88">
        <v>44241.08238425926</v>
      </c>
      <c r="AA8" s="88">
        <v>44241.08238425926</v>
      </c>
      <c r="AB8" s="81"/>
      <c r="AC8" s="81"/>
      <c r="AD8" s="84" t="s">
        <v>2390</v>
      </c>
      <c r="AE8" s="82">
        <v>1</v>
      </c>
      <c r="AF8" s="83" t="str">
        <f>REPLACE(INDEX(GroupVertices[Group],MATCH(Edges[[#This Row],[Vertex 1]],GroupVertices[Vertex],0)),1,1,"")</f>
        <v>9</v>
      </c>
      <c r="AG8" s="83" t="str">
        <f>REPLACE(INDEX(GroupVertices[Group],MATCH(Edges[[#This Row],[Vertex 2]],GroupVertices[Vertex],0)),1,1,"")</f>
        <v>9</v>
      </c>
      <c r="AH8" s="111">
        <v>0</v>
      </c>
      <c r="AI8" s="112">
        <v>0</v>
      </c>
      <c r="AJ8" s="111">
        <v>0</v>
      </c>
      <c r="AK8" s="112">
        <v>0</v>
      </c>
      <c r="AL8" s="111">
        <v>0</v>
      </c>
      <c r="AM8" s="112">
        <v>0</v>
      </c>
      <c r="AN8" s="111">
        <v>1</v>
      </c>
      <c r="AO8" s="112">
        <v>100</v>
      </c>
      <c r="AP8" s="111">
        <v>1</v>
      </c>
    </row>
    <row r="9" spans="1:42" ht="15">
      <c r="A9" s="65" t="s">
        <v>218</v>
      </c>
      <c r="B9" s="65" t="s">
        <v>223</v>
      </c>
      <c r="C9" s="66" t="s">
        <v>4651</v>
      </c>
      <c r="D9" s="67">
        <v>3</v>
      </c>
      <c r="E9" s="68"/>
      <c r="F9" s="69">
        <v>40</v>
      </c>
      <c r="G9" s="66"/>
      <c r="H9" s="70"/>
      <c r="I9" s="71"/>
      <c r="J9" s="71"/>
      <c r="K9" s="35" t="s">
        <v>65</v>
      </c>
      <c r="L9" s="79">
        <v>9</v>
      </c>
      <c r="M9" s="79"/>
      <c r="N9" s="73"/>
      <c r="O9" s="81" t="s">
        <v>844</v>
      </c>
      <c r="P9" s="81" t="s">
        <v>199</v>
      </c>
      <c r="Q9" s="84" t="s">
        <v>853</v>
      </c>
      <c r="R9" s="81" t="s">
        <v>218</v>
      </c>
      <c r="S9" s="81" t="s">
        <v>1577</v>
      </c>
      <c r="T9" s="86" t="str">
        <f>HYPERLINK("http://www.youtube.com/channel/UCmkshF5gRU2SO2Cn41u0wOg")</f>
        <v>http://www.youtube.com/channel/UCmkshF5gRU2SO2Cn41u0wOg</v>
      </c>
      <c r="U9" s="81"/>
      <c r="V9" s="81" t="s">
        <v>2306</v>
      </c>
      <c r="W9" s="86" t="str">
        <f>HYPERLINK("https://www.youtube.com/watch?v=f5vABZt80AQ")</f>
        <v>https://www.youtube.com/watch?v=f5vABZt80AQ</v>
      </c>
      <c r="X9" s="81" t="s">
        <v>2349</v>
      </c>
      <c r="Y9" s="81">
        <v>4</v>
      </c>
      <c r="Z9" s="88">
        <v>43798.30391203704</v>
      </c>
      <c r="AA9" s="88">
        <v>43798.30391203704</v>
      </c>
      <c r="AB9" s="81"/>
      <c r="AC9" s="81"/>
      <c r="AD9" s="84" t="s">
        <v>2390</v>
      </c>
      <c r="AE9" s="82">
        <v>1</v>
      </c>
      <c r="AF9" s="83" t="str">
        <f>REPLACE(INDEX(GroupVertices[Group],MATCH(Edges[[#This Row],[Vertex 1]],GroupVertices[Vertex],0)),1,1,"")</f>
        <v>9</v>
      </c>
      <c r="AG9" s="83" t="str">
        <f>REPLACE(INDEX(GroupVertices[Group],MATCH(Edges[[#This Row],[Vertex 2]],GroupVertices[Vertex],0)),1,1,"")</f>
        <v>9</v>
      </c>
      <c r="AH9" s="111">
        <v>0</v>
      </c>
      <c r="AI9" s="112">
        <v>0</v>
      </c>
      <c r="AJ9" s="111">
        <v>0</v>
      </c>
      <c r="AK9" s="112">
        <v>0</v>
      </c>
      <c r="AL9" s="111">
        <v>0</v>
      </c>
      <c r="AM9" s="112">
        <v>0</v>
      </c>
      <c r="AN9" s="111">
        <v>2</v>
      </c>
      <c r="AO9" s="112">
        <v>100</v>
      </c>
      <c r="AP9" s="111">
        <v>2</v>
      </c>
    </row>
    <row r="10" spans="1:42" ht="15">
      <c r="A10" s="65" t="s">
        <v>219</v>
      </c>
      <c r="B10" s="65" t="s">
        <v>223</v>
      </c>
      <c r="C10" s="66" t="s">
        <v>4651</v>
      </c>
      <c r="D10" s="67">
        <v>3</v>
      </c>
      <c r="E10" s="68"/>
      <c r="F10" s="69">
        <v>40</v>
      </c>
      <c r="G10" s="66"/>
      <c r="H10" s="70"/>
      <c r="I10" s="71"/>
      <c r="J10" s="71"/>
      <c r="K10" s="35" t="s">
        <v>65</v>
      </c>
      <c r="L10" s="79">
        <v>10</v>
      </c>
      <c r="M10" s="79"/>
      <c r="N10" s="73"/>
      <c r="O10" s="81" t="s">
        <v>844</v>
      </c>
      <c r="P10" s="81" t="s">
        <v>199</v>
      </c>
      <c r="Q10" s="84" t="s">
        <v>854</v>
      </c>
      <c r="R10" s="81" t="s">
        <v>219</v>
      </c>
      <c r="S10" s="81" t="s">
        <v>1578</v>
      </c>
      <c r="T10" s="86" t="str">
        <f>HYPERLINK("http://www.youtube.com/channel/UCiv_m513LBuHJXotguB5f2w")</f>
        <v>http://www.youtube.com/channel/UCiv_m513LBuHJXotguB5f2w</v>
      </c>
      <c r="U10" s="81"/>
      <c r="V10" s="81" t="s">
        <v>2306</v>
      </c>
      <c r="W10" s="86" t="str">
        <f>HYPERLINK("https://www.youtube.com/watch?v=f5vABZt80AQ")</f>
        <v>https://www.youtube.com/watch?v=f5vABZt80AQ</v>
      </c>
      <c r="X10" s="81" t="s">
        <v>2349</v>
      </c>
      <c r="Y10" s="81">
        <v>0</v>
      </c>
      <c r="Z10" s="88">
        <v>43798.308842592596</v>
      </c>
      <c r="AA10" s="88">
        <v>43798.308842592596</v>
      </c>
      <c r="AB10" s="81"/>
      <c r="AC10" s="81"/>
      <c r="AD10" s="84" t="s">
        <v>2390</v>
      </c>
      <c r="AE10" s="82">
        <v>1</v>
      </c>
      <c r="AF10" s="83" t="str">
        <f>REPLACE(INDEX(GroupVertices[Group],MATCH(Edges[[#This Row],[Vertex 1]],GroupVertices[Vertex],0)),1,1,"")</f>
        <v>9</v>
      </c>
      <c r="AG10" s="83" t="str">
        <f>REPLACE(INDEX(GroupVertices[Group],MATCH(Edges[[#This Row],[Vertex 2]],GroupVertices[Vertex],0)),1,1,"")</f>
        <v>9</v>
      </c>
      <c r="AH10" s="111">
        <v>0</v>
      </c>
      <c r="AI10" s="112">
        <v>0</v>
      </c>
      <c r="AJ10" s="111">
        <v>0</v>
      </c>
      <c r="AK10" s="112">
        <v>0</v>
      </c>
      <c r="AL10" s="111">
        <v>0</v>
      </c>
      <c r="AM10" s="112">
        <v>0</v>
      </c>
      <c r="AN10" s="111">
        <v>6</v>
      </c>
      <c r="AO10" s="112">
        <v>100</v>
      </c>
      <c r="AP10" s="111">
        <v>6</v>
      </c>
    </row>
    <row r="11" spans="1:42" ht="15">
      <c r="A11" s="65" t="s">
        <v>220</v>
      </c>
      <c r="B11" s="65" t="s">
        <v>223</v>
      </c>
      <c r="C11" s="66" t="s">
        <v>4651</v>
      </c>
      <c r="D11" s="67">
        <v>3</v>
      </c>
      <c r="E11" s="68"/>
      <c r="F11" s="69">
        <v>40</v>
      </c>
      <c r="G11" s="66"/>
      <c r="H11" s="70"/>
      <c r="I11" s="71"/>
      <c r="J11" s="71"/>
      <c r="K11" s="35" t="s">
        <v>65</v>
      </c>
      <c r="L11" s="79">
        <v>11</v>
      </c>
      <c r="M11" s="79"/>
      <c r="N11" s="73"/>
      <c r="O11" s="81" t="s">
        <v>844</v>
      </c>
      <c r="P11" s="81" t="s">
        <v>199</v>
      </c>
      <c r="Q11" s="84" t="s">
        <v>855</v>
      </c>
      <c r="R11" s="81" t="s">
        <v>220</v>
      </c>
      <c r="S11" s="81" t="s">
        <v>1579</v>
      </c>
      <c r="T11" s="86" t="str">
        <f>HYPERLINK("http://www.youtube.com/channel/UCCS5en6PdF5csB6x3zxXVUg")</f>
        <v>http://www.youtube.com/channel/UCCS5en6PdF5csB6x3zxXVUg</v>
      </c>
      <c r="U11" s="81"/>
      <c r="V11" s="81" t="s">
        <v>2306</v>
      </c>
      <c r="W11" s="86" t="str">
        <f>HYPERLINK("https://www.youtube.com/watch?v=f5vABZt80AQ")</f>
        <v>https://www.youtube.com/watch?v=f5vABZt80AQ</v>
      </c>
      <c r="X11" s="81" t="s">
        <v>2349</v>
      </c>
      <c r="Y11" s="81">
        <v>1</v>
      </c>
      <c r="Z11" s="88">
        <v>43798.34150462963</v>
      </c>
      <c r="AA11" s="88">
        <v>43798.34150462963</v>
      </c>
      <c r="AB11" s="81"/>
      <c r="AC11" s="81"/>
      <c r="AD11" s="84" t="s">
        <v>2390</v>
      </c>
      <c r="AE11" s="82">
        <v>1</v>
      </c>
      <c r="AF11" s="83" t="str">
        <f>REPLACE(INDEX(GroupVertices[Group],MATCH(Edges[[#This Row],[Vertex 1]],GroupVertices[Vertex],0)),1,1,"")</f>
        <v>9</v>
      </c>
      <c r="AG11" s="83" t="str">
        <f>REPLACE(INDEX(GroupVertices[Group],MATCH(Edges[[#This Row],[Vertex 2]],GroupVertices[Vertex],0)),1,1,"")</f>
        <v>9</v>
      </c>
      <c r="AH11" s="111">
        <v>0</v>
      </c>
      <c r="AI11" s="112">
        <v>0</v>
      </c>
      <c r="AJ11" s="111">
        <v>0</v>
      </c>
      <c r="AK11" s="112">
        <v>0</v>
      </c>
      <c r="AL11" s="111">
        <v>0</v>
      </c>
      <c r="AM11" s="112">
        <v>0</v>
      </c>
      <c r="AN11" s="111">
        <v>0</v>
      </c>
      <c r="AO11" s="112">
        <v>0</v>
      </c>
      <c r="AP11" s="111">
        <v>0</v>
      </c>
    </row>
    <row r="12" spans="1:42" ht="15">
      <c r="A12" s="65" t="s">
        <v>221</v>
      </c>
      <c r="B12" s="65" t="s">
        <v>223</v>
      </c>
      <c r="C12" s="66" t="s">
        <v>4613</v>
      </c>
      <c r="D12" s="67">
        <v>10</v>
      </c>
      <c r="E12" s="68"/>
      <c r="F12" s="69">
        <v>15</v>
      </c>
      <c r="G12" s="66"/>
      <c r="H12" s="70"/>
      <c r="I12" s="71"/>
      <c r="J12" s="71"/>
      <c r="K12" s="35" t="s">
        <v>65</v>
      </c>
      <c r="L12" s="79">
        <v>12</v>
      </c>
      <c r="M12" s="79"/>
      <c r="N12" s="73"/>
      <c r="O12" s="81" t="s">
        <v>844</v>
      </c>
      <c r="P12" s="81" t="s">
        <v>199</v>
      </c>
      <c r="Q12" s="84" t="s">
        <v>856</v>
      </c>
      <c r="R12" s="81" t="s">
        <v>221</v>
      </c>
      <c r="S12" s="81" t="s">
        <v>1580</v>
      </c>
      <c r="T12" s="86" t="str">
        <f>HYPERLINK("http://www.youtube.com/channel/UCWEIu_CbS5G5PHSBmO-xaqQ")</f>
        <v>http://www.youtube.com/channel/UCWEIu_CbS5G5PHSBmO-xaqQ</v>
      </c>
      <c r="U12" s="81"/>
      <c r="V12" s="81" t="s">
        <v>2306</v>
      </c>
      <c r="W12" s="86" t="str">
        <f>HYPERLINK("https://www.youtube.com/watch?v=f5vABZt80AQ")</f>
        <v>https://www.youtube.com/watch?v=f5vABZt80AQ</v>
      </c>
      <c r="X12" s="81" t="s">
        <v>2349</v>
      </c>
      <c r="Y12" s="81">
        <v>1</v>
      </c>
      <c r="Z12" s="88">
        <v>43798.411412037036</v>
      </c>
      <c r="AA12" s="88">
        <v>43798.411412037036</v>
      </c>
      <c r="AB12" s="81"/>
      <c r="AC12" s="81"/>
      <c r="AD12" s="84" t="s">
        <v>2390</v>
      </c>
      <c r="AE12" s="82">
        <v>4</v>
      </c>
      <c r="AF12" s="83" t="str">
        <f>REPLACE(INDEX(GroupVertices[Group],MATCH(Edges[[#This Row],[Vertex 1]],GroupVertices[Vertex],0)),1,1,"")</f>
        <v>9</v>
      </c>
      <c r="AG12" s="83" t="str">
        <f>REPLACE(INDEX(GroupVertices[Group],MATCH(Edges[[#This Row],[Vertex 2]],GroupVertices[Vertex],0)),1,1,"")</f>
        <v>9</v>
      </c>
      <c r="AH12" s="111">
        <v>0</v>
      </c>
      <c r="AI12" s="112">
        <v>0</v>
      </c>
      <c r="AJ12" s="111">
        <v>0</v>
      </c>
      <c r="AK12" s="112">
        <v>0</v>
      </c>
      <c r="AL12" s="111">
        <v>0</v>
      </c>
      <c r="AM12" s="112">
        <v>0</v>
      </c>
      <c r="AN12" s="111">
        <v>1</v>
      </c>
      <c r="AO12" s="112">
        <v>100</v>
      </c>
      <c r="AP12" s="111">
        <v>1</v>
      </c>
    </row>
    <row r="13" spans="1:42" ht="15">
      <c r="A13" s="65" t="s">
        <v>221</v>
      </c>
      <c r="B13" s="65" t="s">
        <v>223</v>
      </c>
      <c r="C13" s="66" t="s">
        <v>4613</v>
      </c>
      <c r="D13" s="67">
        <v>10</v>
      </c>
      <c r="E13" s="68"/>
      <c r="F13" s="69">
        <v>15</v>
      </c>
      <c r="G13" s="66"/>
      <c r="H13" s="70"/>
      <c r="I13" s="71"/>
      <c r="J13" s="71"/>
      <c r="K13" s="35" t="s">
        <v>65</v>
      </c>
      <c r="L13" s="79">
        <v>13</v>
      </c>
      <c r="M13" s="79"/>
      <c r="N13" s="73"/>
      <c r="O13" s="81" t="s">
        <v>844</v>
      </c>
      <c r="P13" s="81" t="s">
        <v>199</v>
      </c>
      <c r="Q13" s="84" t="s">
        <v>857</v>
      </c>
      <c r="R13" s="81" t="s">
        <v>221</v>
      </c>
      <c r="S13" s="81" t="s">
        <v>1580</v>
      </c>
      <c r="T13" s="86" t="str">
        <f>HYPERLINK("http://www.youtube.com/channel/UCWEIu_CbS5G5PHSBmO-xaqQ")</f>
        <v>http://www.youtube.com/channel/UCWEIu_CbS5G5PHSBmO-xaqQ</v>
      </c>
      <c r="U13" s="81"/>
      <c r="V13" s="81" t="s">
        <v>2306</v>
      </c>
      <c r="W13" s="86" t="str">
        <f>HYPERLINK("https://www.youtube.com/watch?v=f5vABZt80AQ")</f>
        <v>https://www.youtube.com/watch?v=f5vABZt80AQ</v>
      </c>
      <c r="X13" s="81" t="s">
        <v>2349</v>
      </c>
      <c r="Y13" s="81">
        <v>0</v>
      </c>
      <c r="Z13" s="88">
        <v>43798.41180555556</v>
      </c>
      <c r="AA13" s="88">
        <v>43798.41180555556</v>
      </c>
      <c r="AB13" s="81"/>
      <c r="AC13" s="81"/>
      <c r="AD13" s="84" t="s">
        <v>2390</v>
      </c>
      <c r="AE13" s="82">
        <v>4</v>
      </c>
      <c r="AF13" s="83" t="str">
        <f>REPLACE(INDEX(GroupVertices[Group],MATCH(Edges[[#This Row],[Vertex 1]],GroupVertices[Vertex],0)),1,1,"")</f>
        <v>9</v>
      </c>
      <c r="AG13" s="83" t="str">
        <f>REPLACE(INDEX(GroupVertices[Group],MATCH(Edges[[#This Row],[Vertex 2]],GroupVertices[Vertex],0)),1,1,"")</f>
        <v>9</v>
      </c>
      <c r="AH13" s="111">
        <v>0</v>
      </c>
      <c r="AI13" s="112">
        <v>0</v>
      </c>
      <c r="AJ13" s="111">
        <v>0</v>
      </c>
      <c r="AK13" s="112">
        <v>0</v>
      </c>
      <c r="AL13" s="111">
        <v>0</v>
      </c>
      <c r="AM13" s="112">
        <v>0</v>
      </c>
      <c r="AN13" s="111">
        <v>1</v>
      </c>
      <c r="AO13" s="112">
        <v>100</v>
      </c>
      <c r="AP13" s="111">
        <v>1</v>
      </c>
    </row>
    <row r="14" spans="1:42" ht="15">
      <c r="A14" s="65" t="s">
        <v>221</v>
      </c>
      <c r="B14" s="65" t="s">
        <v>223</v>
      </c>
      <c r="C14" s="66" t="s">
        <v>4613</v>
      </c>
      <c r="D14" s="67">
        <v>10</v>
      </c>
      <c r="E14" s="68"/>
      <c r="F14" s="69">
        <v>15</v>
      </c>
      <c r="G14" s="66"/>
      <c r="H14" s="70"/>
      <c r="I14" s="71"/>
      <c r="J14" s="71"/>
      <c r="K14" s="35" t="s">
        <v>65</v>
      </c>
      <c r="L14" s="79">
        <v>14</v>
      </c>
      <c r="M14" s="79"/>
      <c r="N14" s="73"/>
      <c r="O14" s="81" t="s">
        <v>844</v>
      </c>
      <c r="P14" s="81" t="s">
        <v>199</v>
      </c>
      <c r="Q14" s="84" t="s">
        <v>858</v>
      </c>
      <c r="R14" s="81" t="s">
        <v>221</v>
      </c>
      <c r="S14" s="81" t="s">
        <v>1580</v>
      </c>
      <c r="T14" s="86" t="str">
        <f>HYPERLINK("http://www.youtube.com/channel/UCWEIu_CbS5G5PHSBmO-xaqQ")</f>
        <v>http://www.youtube.com/channel/UCWEIu_CbS5G5PHSBmO-xaqQ</v>
      </c>
      <c r="U14" s="81"/>
      <c r="V14" s="81" t="s">
        <v>2306</v>
      </c>
      <c r="W14" s="86" t="str">
        <f>HYPERLINK("https://www.youtube.com/watch?v=f5vABZt80AQ")</f>
        <v>https://www.youtube.com/watch?v=f5vABZt80AQ</v>
      </c>
      <c r="X14" s="81" t="s">
        <v>2349</v>
      </c>
      <c r="Y14" s="81">
        <v>0</v>
      </c>
      <c r="Z14" s="88">
        <v>43798.412511574075</v>
      </c>
      <c r="AA14" s="88">
        <v>43798.412511574075</v>
      </c>
      <c r="AB14" s="81"/>
      <c r="AC14" s="81"/>
      <c r="AD14" s="84" t="s">
        <v>2390</v>
      </c>
      <c r="AE14" s="82">
        <v>4</v>
      </c>
      <c r="AF14" s="83" t="str">
        <f>REPLACE(INDEX(GroupVertices[Group],MATCH(Edges[[#This Row],[Vertex 1]],GroupVertices[Vertex],0)),1,1,"")</f>
        <v>9</v>
      </c>
      <c r="AG14" s="83" t="str">
        <f>REPLACE(INDEX(GroupVertices[Group],MATCH(Edges[[#This Row],[Vertex 2]],GroupVertices[Vertex],0)),1,1,"")</f>
        <v>9</v>
      </c>
      <c r="AH14" s="111">
        <v>0</v>
      </c>
      <c r="AI14" s="112">
        <v>0</v>
      </c>
      <c r="AJ14" s="111">
        <v>0</v>
      </c>
      <c r="AK14" s="112">
        <v>0</v>
      </c>
      <c r="AL14" s="111">
        <v>0</v>
      </c>
      <c r="AM14" s="112">
        <v>0</v>
      </c>
      <c r="AN14" s="111">
        <v>1</v>
      </c>
      <c r="AO14" s="112">
        <v>100</v>
      </c>
      <c r="AP14" s="111">
        <v>1</v>
      </c>
    </row>
    <row r="15" spans="1:42" ht="15">
      <c r="A15" s="65" t="s">
        <v>221</v>
      </c>
      <c r="B15" s="65" t="s">
        <v>223</v>
      </c>
      <c r="C15" s="66" t="s">
        <v>4613</v>
      </c>
      <c r="D15" s="67">
        <v>10</v>
      </c>
      <c r="E15" s="68"/>
      <c r="F15" s="69">
        <v>15</v>
      </c>
      <c r="G15" s="66"/>
      <c r="H15" s="70"/>
      <c r="I15" s="71"/>
      <c r="J15" s="71"/>
      <c r="K15" s="35" t="s">
        <v>65</v>
      </c>
      <c r="L15" s="79">
        <v>15</v>
      </c>
      <c r="M15" s="79"/>
      <c r="N15" s="73"/>
      <c r="O15" s="81" t="s">
        <v>844</v>
      </c>
      <c r="P15" s="81" t="s">
        <v>199</v>
      </c>
      <c r="Q15" s="84" t="s">
        <v>856</v>
      </c>
      <c r="R15" s="81" t="s">
        <v>221</v>
      </c>
      <c r="S15" s="81" t="s">
        <v>1580</v>
      </c>
      <c r="T15" s="86" t="str">
        <f>HYPERLINK("http://www.youtube.com/channel/UCWEIu_CbS5G5PHSBmO-xaqQ")</f>
        <v>http://www.youtube.com/channel/UCWEIu_CbS5G5PHSBmO-xaqQ</v>
      </c>
      <c r="U15" s="81"/>
      <c r="V15" s="81" t="s">
        <v>2306</v>
      </c>
      <c r="W15" s="86" t="str">
        <f>HYPERLINK("https://www.youtube.com/watch?v=f5vABZt80AQ")</f>
        <v>https://www.youtube.com/watch?v=f5vABZt80AQ</v>
      </c>
      <c r="X15" s="81" t="s">
        <v>2349</v>
      </c>
      <c r="Y15" s="81">
        <v>1</v>
      </c>
      <c r="Z15" s="88">
        <v>43798.4128587963</v>
      </c>
      <c r="AA15" s="88">
        <v>43798.4128587963</v>
      </c>
      <c r="AB15" s="81"/>
      <c r="AC15" s="81"/>
      <c r="AD15" s="84" t="s">
        <v>2390</v>
      </c>
      <c r="AE15" s="82">
        <v>4</v>
      </c>
      <c r="AF15" s="83" t="str">
        <f>REPLACE(INDEX(GroupVertices[Group],MATCH(Edges[[#This Row],[Vertex 1]],GroupVertices[Vertex],0)),1,1,"")</f>
        <v>9</v>
      </c>
      <c r="AG15" s="83" t="str">
        <f>REPLACE(INDEX(GroupVertices[Group],MATCH(Edges[[#This Row],[Vertex 2]],GroupVertices[Vertex],0)),1,1,"")</f>
        <v>9</v>
      </c>
      <c r="AH15" s="111">
        <v>0</v>
      </c>
      <c r="AI15" s="112">
        <v>0</v>
      </c>
      <c r="AJ15" s="111">
        <v>0</v>
      </c>
      <c r="AK15" s="112">
        <v>0</v>
      </c>
      <c r="AL15" s="111">
        <v>0</v>
      </c>
      <c r="AM15" s="112">
        <v>0</v>
      </c>
      <c r="AN15" s="111">
        <v>1</v>
      </c>
      <c r="AO15" s="112">
        <v>100</v>
      </c>
      <c r="AP15" s="111">
        <v>1</v>
      </c>
    </row>
    <row r="16" spans="1:42" ht="15">
      <c r="A16" s="65" t="s">
        <v>222</v>
      </c>
      <c r="B16" s="65" t="s">
        <v>223</v>
      </c>
      <c r="C16" s="66" t="s">
        <v>4651</v>
      </c>
      <c r="D16" s="67">
        <v>3</v>
      </c>
      <c r="E16" s="68"/>
      <c r="F16" s="69">
        <v>40</v>
      </c>
      <c r="G16" s="66"/>
      <c r="H16" s="70"/>
      <c r="I16" s="71"/>
      <c r="J16" s="71"/>
      <c r="K16" s="35" t="s">
        <v>65</v>
      </c>
      <c r="L16" s="79">
        <v>16</v>
      </c>
      <c r="M16" s="79"/>
      <c r="N16" s="73"/>
      <c r="O16" s="81" t="s">
        <v>844</v>
      </c>
      <c r="P16" s="81" t="s">
        <v>199</v>
      </c>
      <c r="Q16" s="84" t="s">
        <v>859</v>
      </c>
      <c r="R16" s="81" t="s">
        <v>222</v>
      </c>
      <c r="S16" s="81" t="s">
        <v>1581</v>
      </c>
      <c r="T16" s="86" t="str">
        <f>HYPERLINK("http://www.youtube.com/channel/UCE45HGa3YfE89GC3GI1b_nw")</f>
        <v>http://www.youtube.com/channel/UCE45HGa3YfE89GC3GI1b_nw</v>
      </c>
      <c r="U16" s="81"/>
      <c r="V16" s="81" t="s">
        <v>2306</v>
      </c>
      <c r="W16" s="86" t="str">
        <f>HYPERLINK("https://www.youtube.com/watch?v=f5vABZt80AQ")</f>
        <v>https://www.youtube.com/watch?v=f5vABZt80AQ</v>
      </c>
      <c r="X16" s="81" t="s">
        <v>2349</v>
      </c>
      <c r="Y16" s="81">
        <v>0</v>
      </c>
      <c r="Z16" s="88">
        <v>43798.5940625</v>
      </c>
      <c r="AA16" s="88">
        <v>43798.5940625</v>
      </c>
      <c r="AB16" s="81"/>
      <c r="AC16" s="81"/>
      <c r="AD16" s="84" t="s">
        <v>2390</v>
      </c>
      <c r="AE16" s="82">
        <v>1</v>
      </c>
      <c r="AF16" s="83" t="str">
        <f>REPLACE(INDEX(GroupVertices[Group],MATCH(Edges[[#This Row],[Vertex 1]],GroupVertices[Vertex],0)),1,1,"")</f>
        <v>9</v>
      </c>
      <c r="AG16" s="83" t="str">
        <f>REPLACE(INDEX(GroupVertices[Group],MATCH(Edges[[#This Row],[Vertex 2]],GroupVertices[Vertex],0)),1,1,"")</f>
        <v>9</v>
      </c>
      <c r="AH16" s="111">
        <v>0</v>
      </c>
      <c r="AI16" s="112">
        <v>0</v>
      </c>
      <c r="AJ16" s="111">
        <v>0</v>
      </c>
      <c r="AK16" s="112">
        <v>0</v>
      </c>
      <c r="AL16" s="111">
        <v>0</v>
      </c>
      <c r="AM16" s="112">
        <v>0</v>
      </c>
      <c r="AN16" s="111">
        <v>5</v>
      </c>
      <c r="AO16" s="112">
        <v>100</v>
      </c>
      <c r="AP16" s="111">
        <v>5</v>
      </c>
    </row>
    <row r="17" spans="1:42" ht="15">
      <c r="A17" s="65" t="s">
        <v>223</v>
      </c>
      <c r="B17" s="65" t="s">
        <v>224</v>
      </c>
      <c r="C17" s="66" t="s">
        <v>4651</v>
      </c>
      <c r="D17" s="67">
        <v>3</v>
      </c>
      <c r="E17" s="68"/>
      <c r="F17" s="69">
        <v>40</v>
      </c>
      <c r="G17" s="66"/>
      <c r="H17" s="70"/>
      <c r="I17" s="71"/>
      <c r="J17" s="71"/>
      <c r="K17" s="35" t="s">
        <v>66</v>
      </c>
      <c r="L17" s="79">
        <v>17</v>
      </c>
      <c r="M17" s="79"/>
      <c r="N17" s="73"/>
      <c r="O17" s="81" t="s">
        <v>845</v>
      </c>
      <c r="P17" s="81" t="s">
        <v>847</v>
      </c>
      <c r="Q17" s="84" t="s">
        <v>860</v>
      </c>
      <c r="R17" s="81" t="s">
        <v>223</v>
      </c>
      <c r="S17" s="81" t="s">
        <v>1582</v>
      </c>
      <c r="T17" s="86" t="str">
        <f>HYPERLINK("http://www.youtube.com/channel/UCmmMbh6_u2aj20gWrGceXqg")</f>
        <v>http://www.youtube.com/channel/UCmmMbh6_u2aj20gWrGceXqg</v>
      </c>
      <c r="U17" s="81" t="s">
        <v>2186</v>
      </c>
      <c r="V17" s="81" t="s">
        <v>2306</v>
      </c>
      <c r="W17" s="86" t="str">
        <f>HYPERLINK("https://www.youtube.com/watch?v=f5vABZt80AQ")</f>
        <v>https://www.youtube.com/watch?v=f5vABZt80AQ</v>
      </c>
      <c r="X17" s="81" t="s">
        <v>2349</v>
      </c>
      <c r="Y17" s="81">
        <v>0</v>
      </c>
      <c r="Z17" s="88">
        <v>43798.74512731482</v>
      </c>
      <c r="AA17" s="88">
        <v>43798.74512731482</v>
      </c>
      <c r="AB17" s="81" t="s">
        <v>2350</v>
      </c>
      <c r="AC17" s="81" t="s">
        <v>2378</v>
      </c>
      <c r="AD17" s="84" t="s">
        <v>2390</v>
      </c>
      <c r="AE17" s="82">
        <v>1</v>
      </c>
      <c r="AF17" s="83" t="str">
        <f>REPLACE(INDEX(GroupVertices[Group],MATCH(Edges[[#This Row],[Vertex 1]],GroupVertices[Vertex],0)),1,1,"")</f>
        <v>9</v>
      </c>
      <c r="AG17" s="83" t="str">
        <f>REPLACE(INDEX(GroupVertices[Group],MATCH(Edges[[#This Row],[Vertex 2]],GroupVertices[Vertex],0)),1,1,"")</f>
        <v>9</v>
      </c>
      <c r="AH17" s="111">
        <v>0</v>
      </c>
      <c r="AI17" s="112">
        <v>0</v>
      </c>
      <c r="AJ17" s="111">
        <v>0</v>
      </c>
      <c r="AK17" s="112">
        <v>0</v>
      </c>
      <c r="AL17" s="111">
        <v>0</v>
      </c>
      <c r="AM17" s="112">
        <v>0</v>
      </c>
      <c r="AN17" s="111">
        <v>16</v>
      </c>
      <c r="AO17" s="112">
        <v>100</v>
      </c>
      <c r="AP17" s="111">
        <v>16</v>
      </c>
    </row>
    <row r="18" spans="1:42" ht="15">
      <c r="A18" s="65" t="s">
        <v>224</v>
      </c>
      <c r="B18" s="65" t="s">
        <v>223</v>
      </c>
      <c r="C18" s="66" t="s">
        <v>4651</v>
      </c>
      <c r="D18" s="67">
        <v>3</v>
      </c>
      <c r="E18" s="68"/>
      <c r="F18" s="69">
        <v>40</v>
      </c>
      <c r="G18" s="66"/>
      <c r="H18" s="70"/>
      <c r="I18" s="71"/>
      <c r="J18" s="71"/>
      <c r="K18" s="35" t="s">
        <v>66</v>
      </c>
      <c r="L18" s="79">
        <v>18</v>
      </c>
      <c r="M18" s="79"/>
      <c r="N18" s="73"/>
      <c r="O18" s="81" t="s">
        <v>844</v>
      </c>
      <c r="P18" s="81" t="s">
        <v>199</v>
      </c>
      <c r="Q18" s="84" t="s">
        <v>861</v>
      </c>
      <c r="R18" s="81" t="s">
        <v>224</v>
      </c>
      <c r="S18" s="81" t="s">
        <v>1583</v>
      </c>
      <c r="T18" s="86" t="str">
        <f>HYPERLINK("http://www.youtube.com/channel/UCQKeM6bcY1hvm4pHlUy-qLg")</f>
        <v>http://www.youtube.com/channel/UCQKeM6bcY1hvm4pHlUy-qLg</v>
      </c>
      <c r="U18" s="81"/>
      <c r="V18" s="81" t="s">
        <v>2306</v>
      </c>
      <c r="W18" s="86" t="str">
        <f>HYPERLINK("https://www.youtube.com/watch?v=f5vABZt80AQ")</f>
        <v>https://www.youtube.com/watch?v=f5vABZt80AQ</v>
      </c>
      <c r="X18" s="81" t="s">
        <v>2349</v>
      </c>
      <c r="Y18" s="81">
        <v>0</v>
      </c>
      <c r="Z18" s="88">
        <v>43798.72586805555</v>
      </c>
      <c r="AA18" s="88">
        <v>43798.72623842592</v>
      </c>
      <c r="AB18" s="81"/>
      <c r="AC18" s="81"/>
      <c r="AD18" s="84" t="s">
        <v>2390</v>
      </c>
      <c r="AE18" s="82">
        <v>1</v>
      </c>
      <c r="AF18" s="83" t="str">
        <f>REPLACE(INDEX(GroupVertices[Group],MATCH(Edges[[#This Row],[Vertex 1]],GroupVertices[Vertex],0)),1,1,"")</f>
        <v>9</v>
      </c>
      <c r="AG18" s="83" t="str">
        <f>REPLACE(INDEX(GroupVertices[Group],MATCH(Edges[[#This Row],[Vertex 2]],GroupVertices[Vertex],0)),1,1,"")</f>
        <v>9</v>
      </c>
      <c r="AH18" s="111">
        <v>0</v>
      </c>
      <c r="AI18" s="112">
        <v>0</v>
      </c>
      <c r="AJ18" s="111">
        <v>0</v>
      </c>
      <c r="AK18" s="112">
        <v>0</v>
      </c>
      <c r="AL18" s="111">
        <v>0</v>
      </c>
      <c r="AM18" s="112">
        <v>0</v>
      </c>
      <c r="AN18" s="111">
        <v>7</v>
      </c>
      <c r="AO18" s="112">
        <v>100</v>
      </c>
      <c r="AP18" s="111">
        <v>7</v>
      </c>
    </row>
    <row r="19" spans="1:42" ht="15">
      <c r="A19" s="65" t="s">
        <v>225</v>
      </c>
      <c r="B19" s="65" t="s">
        <v>223</v>
      </c>
      <c r="C19" s="66" t="s">
        <v>4651</v>
      </c>
      <c r="D19" s="67">
        <v>3</v>
      </c>
      <c r="E19" s="68"/>
      <c r="F19" s="69">
        <v>40</v>
      </c>
      <c r="G19" s="66"/>
      <c r="H19" s="70"/>
      <c r="I19" s="71"/>
      <c r="J19" s="71"/>
      <c r="K19" s="35" t="s">
        <v>65</v>
      </c>
      <c r="L19" s="79">
        <v>19</v>
      </c>
      <c r="M19" s="79"/>
      <c r="N19" s="73"/>
      <c r="O19" s="81" t="s">
        <v>844</v>
      </c>
      <c r="P19" s="81" t="s">
        <v>199</v>
      </c>
      <c r="Q19" s="84" t="s">
        <v>862</v>
      </c>
      <c r="R19" s="81" t="s">
        <v>225</v>
      </c>
      <c r="S19" s="81" t="s">
        <v>1584</v>
      </c>
      <c r="T19" s="86" t="str">
        <f>HYPERLINK("http://www.youtube.com/channel/UC1Jbn83hU4aM3-nm3GGi1wg")</f>
        <v>http://www.youtube.com/channel/UC1Jbn83hU4aM3-nm3GGi1wg</v>
      </c>
      <c r="U19" s="81"/>
      <c r="V19" s="81" t="s">
        <v>2306</v>
      </c>
      <c r="W19" s="86" t="str">
        <f>HYPERLINK("https://www.youtube.com/watch?v=f5vABZt80AQ")</f>
        <v>https://www.youtube.com/watch?v=f5vABZt80AQ</v>
      </c>
      <c r="X19" s="81" t="s">
        <v>2349</v>
      </c>
      <c r="Y19" s="81">
        <v>2</v>
      </c>
      <c r="Z19" s="88">
        <v>43799.79954861111</v>
      </c>
      <c r="AA19" s="88">
        <v>43799.79954861111</v>
      </c>
      <c r="AB19" s="81"/>
      <c r="AC19" s="81"/>
      <c r="AD19" s="84" t="s">
        <v>2390</v>
      </c>
      <c r="AE19" s="82">
        <v>1</v>
      </c>
      <c r="AF19" s="83" t="str">
        <f>REPLACE(INDEX(GroupVertices[Group],MATCH(Edges[[#This Row],[Vertex 1]],GroupVertices[Vertex],0)),1,1,"")</f>
        <v>9</v>
      </c>
      <c r="AG19" s="83" t="str">
        <f>REPLACE(INDEX(GroupVertices[Group],MATCH(Edges[[#This Row],[Vertex 2]],GroupVertices[Vertex],0)),1,1,"")</f>
        <v>9</v>
      </c>
      <c r="AH19" s="111">
        <v>0</v>
      </c>
      <c r="AI19" s="112">
        <v>0</v>
      </c>
      <c r="AJ19" s="111">
        <v>0</v>
      </c>
      <c r="AK19" s="112">
        <v>0</v>
      </c>
      <c r="AL19" s="111">
        <v>0</v>
      </c>
      <c r="AM19" s="112">
        <v>0</v>
      </c>
      <c r="AN19" s="111">
        <v>21</v>
      </c>
      <c r="AO19" s="112">
        <v>100</v>
      </c>
      <c r="AP19" s="111">
        <v>21</v>
      </c>
    </row>
    <row r="20" spans="1:42" ht="15">
      <c r="A20" s="65" t="s">
        <v>226</v>
      </c>
      <c r="B20" s="65" t="s">
        <v>223</v>
      </c>
      <c r="C20" s="66" t="s">
        <v>4651</v>
      </c>
      <c r="D20" s="67">
        <v>3</v>
      </c>
      <c r="E20" s="68"/>
      <c r="F20" s="69">
        <v>40</v>
      </c>
      <c r="G20" s="66"/>
      <c r="H20" s="70"/>
      <c r="I20" s="71"/>
      <c r="J20" s="71"/>
      <c r="K20" s="35" t="s">
        <v>65</v>
      </c>
      <c r="L20" s="79">
        <v>20</v>
      </c>
      <c r="M20" s="79"/>
      <c r="N20" s="73"/>
      <c r="O20" s="81" t="s">
        <v>844</v>
      </c>
      <c r="P20" s="81" t="s">
        <v>199</v>
      </c>
      <c r="Q20" s="84" t="s">
        <v>863</v>
      </c>
      <c r="R20" s="81" t="s">
        <v>226</v>
      </c>
      <c r="S20" s="81" t="s">
        <v>1585</v>
      </c>
      <c r="T20" s="86" t="str">
        <f>HYPERLINK("http://www.youtube.com/channel/UCSDSr4CmlzQfu2TdvE6CTGg")</f>
        <v>http://www.youtube.com/channel/UCSDSr4CmlzQfu2TdvE6CTGg</v>
      </c>
      <c r="U20" s="81"/>
      <c r="V20" s="81" t="s">
        <v>2306</v>
      </c>
      <c r="W20" s="86" t="str">
        <f>HYPERLINK("https://www.youtube.com/watch?v=f5vABZt80AQ")</f>
        <v>https://www.youtube.com/watch?v=f5vABZt80AQ</v>
      </c>
      <c r="X20" s="81" t="s">
        <v>2349</v>
      </c>
      <c r="Y20" s="81">
        <v>0</v>
      </c>
      <c r="Z20" s="88">
        <v>43801.82533564815</v>
      </c>
      <c r="AA20" s="88">
        <v>43801.82533564815</v>
      </c>
      <c r="AB20" s="81"/>
      <c r="AC20" s="81"/>
      <c r="AD20" s="84" t="s">
        <v>2390</v>
      </c>
      <c r="AE20" s="82">
        <v>1</v>
      </c>
      <c r="AF20" s="83" t="str">
        <f>REPLACE(INDEX(GroupVertices[Group],MATCH(Edges[[#This Row],[Vertex 1]],GroupVertices[Vertex],0)),1,1,"")</f>
        <v>9</v>
      </c>
      <c r="AG20" s="83" t="str">
        <f>REPLACE(INDEX(GroupVertices[Group],MATCH(Edges[[#This Row],[Vertex 2]],GroupVertices[Vertex],0)),1,1,"")</f>
        <v>9</v>
      </c>
      <c r="AH20" s="111">
        <v>0</v>
      </c>
      <c r="AI20" s="112">
        <v>0</v>
      </c>
      <c r="AJ20" s="111">
        <v>0</v>
      </c>
      <c r="AK20" s="112">
        <v>0</v>
      </c>
      <c r="AL20" s="111">
        <v>0</v>
      </c>
      <c r="AM20" s="112">
        <v>0</v>
      </c>
      <c r="AN20" s="111">
        <v>2</v>
      </c>
      <c r="AO20" s="112">
        <v>100</v>
      </c>
      <c r="AP20" s="111">
        <v>2</v>
      </c>
    </row>
    <row r="21" spans="1:42" ht="15">
      <c r="A21" s="65" t="s">
        <v>227</v>
      </c>
      <c r="B21" s="65" t="s">
        <v>223</v>
      </c>
      <c r="C21" s="66" t="s">
        <v>4613</v>
      </c>
      <c r="D21" s="67">
        <v>10</v>
      </c>
      <c r="E21" s="68"/>
      <c r="F21" s="69">
        <v>15</v>
      </c>
      <c r="G21" s="66"/>
      <c r="H21" s="70"/>
      <c r="I21" s="71"/>
      <c r="J21" s="71"/>
      <c r="K21" s="35" t="s">
        <v>65</v>
      </c>
      <c r="L21" s="79">
        <v>21</v>
      </c>
      <c r="M21" s="79"/>
      <c r="N21" s="73"/>
      <c r="O21" s="81" t="s">
        <v>844</v>
      </c>
      <c r="P21" s="81" t="s">
        <v>199</v>
      </c>
      <c r="Q21" s="84" t="s">
        <v>864</v>
      </c>
      <c r="R21" s="81" t="s">
        <v>227</v>
      </c>
      <c r="S21" s="81" t="s">
        <v>1586</v>
      </c>
      <c r="T21" s="86" t="str">
        <f>HYPERLINK("http://www.youtube.com/channel/UCF2F1awR25IW11NKzyqDLug")</f>
        <v>http://www.youtube.com/channel/UCF2F1awR25IW11NKzyqDLug</v>
      </c>
      <c r="U21" s="81"/>
      <c r="V21" s="81" t="s">
        <v>2306</v>
      </c>
      <c r="W21" s="86" t="str">
        <f>HYPERLINK("https://www.youtube.com/watch?v=f5vABZt80AQ")</f>
        <v>https://www.youtube.com/watch?v=f5vABZt80AQ</v>
      </c>
      <c r="X21" s="81" t="s">
        <v>2349</v>
      </c>
      <c r="Y21" s="81">
        <v>0</v>
      </c>
      <c r="Z21" s="88">
        <v>43803.88271990741</v>
      </c>
      <c r="AA21" s="88">
        <v>43803.88271990741</v>
      </c>
      <c r="AB21" s="81"/>
      <c r="AC21" s="81"/>
      <c r="AD21" s="84" t="s">
        <v>2390</v>
      </c>
      <c r="AE21" s="82">
        <v>2</v>
      </c>
      <c r="AF21" s="83" t="str">
        <f>REPLACE(INDEX(GroupVertices[Group],MATCH(Edges[[#This Row],[Vertex 1]],GroupVertices[Vertex],0)),1,1,"")</f>
        <v>9</v>
      </c>
      <c r="AG21" s="83" t="str">
        <f>REPLACE(INDEX(GroupVertices[Group],MATCH(Edges[[#This Row],[Vertex 2]],GroupVertices[Vertex],0)),1,1,"")</f>
        <v>9</v>
      </c>
      <c r="AH21" s="111">
        <v>0</v>
      </c>
      <c r="AI21" s="112">
        <v>0</v>
      </c>
      <c r="AJ21" s="111">
        <v>0</v>
      </c>
      <c r="AK21" s="112">
        <v>0</v>
      </c>
      <c r="AL21" s="111">
        <v>0</v>
      </c>
      <c r="AM21" s="112">
        <v>0</v>
      </c>
      <c r="AN21" s="111">
        <v>1</v>
      </c>
      <c r="AO21" s="112">
        <v>100</v>
      </c>
      <c r="AP21" s="111">
        <v>1</v>
      </c>
    </row>
    <row r="22" spans="1:42" ht="15">
      <c r="A22" s="65" t="s">
        <v>227</v>
      </c>
      <c r="B22" s="65" t="s">
        <v>223</v>
      </c>
      <c r="C22" s="66" t="s">
        <v>4613</v>
      </c>
      <c r="D22" s="67">
        <v>10</v>
      </c>
      <c r="E22" s="68"/>
      <c r="F22" s="69">
        <v>15</v>
      </c>
      <c r="G22" s="66"/>
      <c r="H22" s="70"/>
      <c r="I22" s="71"/>
      <c r="J22" s="71"/>
      <c r="K22" s="35" t="s">
        <v>65</v>
      </c>
      <c r="L22" s="79">
        <v>22</v>
      </c>
      <c r="M22" s="79"/>
      <c r="N22" s="73"/>
      <c r="O22" s="81" t="s">
        <v>844</v>
      </c>
      <c r="P22" s="81" t="s">
        <v>199</v>
      </c>
      <c r="Q22" s="84" t="s">
        <v>865</v>
      </c>
      <c r="R22" s="81" t="s">
        <v>227</v>
      </c>
      <c r="S22" s="81" t="s">
        <v>1586</v>
      </c>
      <c r="T22" s="86" t="str">
        <f>HYPERLINK("http://www.youtube.com/channel/UCF2F1awR25IW11NKzyqDLug")</f>
        <v>http://www.youtube.com/channel/UCF2F1awR25IW11NKzyqDLug</v>
      </c>
      <c r="U22" s="81"/>
      <c r="V22" s="81" t="s">
        <v>2306</v>
      </c>
      <c r="W22" s="86" t="str">
        <f>HYPERLINK("https://www.youtube.com/watch?v=f5vABZt80AQ")</f>
        <v>https://www.youtube.com/watch?v=f5vABZt80AQ</v>
      </c>
      <c r="X22" s="81" t="s">
        <v>2349</v>
      </c>
      <c r="Y22" s="81">
        <v>1</v>
      </c>
      <c r="Z22" s="88">
        <v>43803.88458333333</v>
      </c>
      <c r="AA22" s="88">
        <v>43803.88458333333</v>
      </c>
      <c r="AB22" s="81"/>
      <c r="AC22" s="81"/>
      <c r="AD22" s="84" t="s">
        <v>2390</v>
      </c>
      <c r="AE22" s="82">
        <v>2</v>
      </c>
      <c r="AF22" s="83" t="str">
        <f>REPLACE(INDEX(GroupVertices[Group],MATCH(Edges[[#This Row],[Vertex 1]],GroupVertices[Vertex],0)),1,1,"")</f>
        <v>9</v>
      </c>
      <c r="AG22" s="83" t="str">
        <f>REPLACE(INDEX(GroupVertices[Group],MATCH(Edges[[#This Row],[Vertex 2]],GroupVertices[Vertex],0)),1,1,"")</f>
        <v>9</v>
      </c>
      <c r="AH22" s="111">
        <v>0</v>
      </c>
      <c r="AI22" s="112">
        <v>0</v>
      </c>
      <c r="AJ22" s="111">
        <v>0</v>
      </c>
      <c r="AK22" s="112">
        <v>0</v>
      </c>
      <c r="AL22" s="111">
        <v>0</v>
      </c>
      <c r="AM22" s="112">
        <v>0</v>
      </c>
      <c r="AN22" s="111">
        <v>13</v>
      </c>
      <c r="AO22" s="112">
        <v>100</v>
      </c>
      <c r="AP22" s="111">
        <v>13</v>
      </c>
    </row>
    <row r="23" spans="1:42" ht="15">
      <c r="A23" s="65" t="s">
        <v>228</v>
      </c>
      <c r="B23" s="65" t="s">
        <v>223</v>
      </c>
      <c r="C23" s="66" t="s">
        <v>4651</v>
      </c>
      <c r="D23" s="67">
        <v>3</v>
      </c>
      <c r="E23" s="68"/>
      <c r="F23" s="69">
        <v>40</v>
      </c>
      <c r="G23" s="66"/>
      <c r="H23" s="70"/>
      <c r="I23" s="71"/>
      <c r="J23" s="71"/>
      <c r="K23" s="35" t="s">
        <v>65</v>
      </c>
      <c r="L23" s="79">
        <v>23</v>
      </c>
      <c r="M23" s="79"/>
      <c r="N23" s="73"/>
      <c r="O23" s="81" t="s">
        <v>844</v>
      </c>
      <c r="P23" s="81" t="s">
        <v>199</v>
      </c>
      <c r="Q23" s="84" t="s">
        <v>866</v>
      </c>
      <c r="R23" s="81" t="s">
        <v>228</v>
      </c>
      <c r="S23" s="81" t="s">
        <v>1587</v>
      </c>
      <c r="T23" s="86" t="str">
        <f>HYPERLINK("http://www.youtube.com/channel/UCs_6FjyM2UKFf8Ec6JvMhQg")</f>
        <v>http://www.youtube.com/channel/UCs_6FjyM2UKFf8Ec6JvMhQg</v>
      </c>
      <c r="U23" s="81"/>
      <c r="V23" s="81" t="s">
        <v>2306</v>
      </c>
      <c r="W23" s="86" t="str">
        <f>HYPERLINK("https://www.youtube.com/watch?v=f5vABZt80AQ")</f>
        <v>https://www.youtube.com/watch?v=f5vABZt80AQ</v>
      </c>
      <c r="X23" s="81" t="s">
        <v>2349</v>
      </c>
      <c r="Y23" s="81">
        <v>0</v>
      </c>
      <c r="Z23" s="88">
        <v>43807.35097222222</v>
      </c>
      <c r="AA23" s="88">
        <v>43807.35097222222</v>
      </c>
      <c r="AB23" s="81"/>
      <c r="AC23" s="81"/>
      <c r="AD23" s="84" t="s">
        <v>2390</v>
      </c>
      <c r="AE23" s="82">
        <v>1</v>
      </c>
      <c r="AF23" s="83" t="str">
        <f>REPLACE(INDEX(GroupVertices[Group],MATCH(Edges[[#This Row],[Vertex 1]],GroupVertices[Vertex],0)),1,1,"")</f>
        <v>9</v>
      </c>
      <c r="AG23" s="83" t="str">
        <f>REPLACE(INDEX(GroupVertices[Group],MATCH(Edges[[#This Row],[Vertex 2]],GroupVertices[Vertex],0)),1,1,"")</f>
        <v>9</v>
      </c>
      <c r="AH23" s="111">
        <v>0</v>
      </c>
      <c r="AI23" s="112">
        <v>0</v>
      </c>
      <c r="AJ23" s="111">
        <v>0</v>
      </c>
      <c r="AK23" s="112">
        <v>0</v>
      </c>
      <c r="AL23" s="111">
        <v>0</v>
      </c>
      <c r="AM23" s="112">
        <v>0</v>
      </c>
      <c r="AN23" s="111">
        <v>4</v>
      </c>
      <c r="AO23" s="112">
        <v>100</v>
      </c>
      <c r="AP23" s="111">
        <v>4</v>
      </c>
    </row>
    <row r="24" spans="1:42" ht="15">
      <c r="A24" s="65" t="s">
        <v>229</v>
      </c>
      <c r="B24" s="65" t="s">
        <v>223</v>
      </c>
      <c r="C24" s="66" t="s">
        <v>4651</v>
      </c>
      <c r="D24" s="67">
        <v>3</v>
      </c>
      <c r="E24" s="68"/>
      <c r="F24" s="69">
        <v>40</v>
      </c>
      <c r="G24" s="66"/>
      <c r="H24" s="70"/>
      <c r="I24" s="71"/>
      <c r="J24" s="71"/>
      <c r="K24" s="35" t="s">
        <v>65</v>
      </c>
      <c r="L24" s="79">
        <v>24</v>
      </c>
      <c r="M24" s="79"/>
      <c r="N24" s="73"/>
      <c r="O24" s="81" t="s">
        <v>844</v>
      </c>
      <c r="P24" s="81" t="s">
        <v>199</v>
      </c>
      <c r="Q24" s="84" t="s">
        <v>867</v>
      </c>
      <c r="R24" s="81" t="s">
        <v>229</v>
      </c>
      <c r="S24" s="81" t="s">
        <v>1588</v>
      </c>
      <c r="T24" s="86" t="str">
        <f>HYPERLINK("http://www.youtube.com/channel/UCDiv9tp_msbtpaIhI1uBh1A")</f>
        <v>http://www.youtube.com/channel/UCDiv9tp_msbtpaIhI1uBh1A</v>
      </c>
      <c r="U24" s="81"/>
      <c r="V24" s="81" t="s">
        <v>2306</v>
      </c>
      <c r="W24" s="86" t="str">
        <f>HYPERLINK("https://www.youtube.com/watch?v=f5vABZt80AQ")</f>
        <v>https://www.youtube.com/watch?v=f5vABZt80AQ</v>
      </c>
      <c r="X24" s="81" t="s">
        <v>2349</v>
      </c>
      <c r="Y24" s="81">
        <v>2</v>
      </c>
      <c r="Z24" s="88">
        <v>43809.20736111111</v>
      </c>
      <c r="AA24" s="88">
        <v>43809.20736111111</v>
      </c>
      <c r="AB24" s="81"/>
      <c r="AC24" s="81"/>
      <c r="AD24" s="84" t="s">
        <v>2390</v>
      </c>
      <c r="AE24" s="82">
        <v>1</v>
      </c>
      <c r="AF24" s="83" t="str">
        <f>REPLACE(INDEX(GroupVertices[Group],MATCH(Edges[[#This Row],[Vertex 1]],GroupVertices[Vertex],0)),1,1,"")</f>
        <v>9</v>
      </c>
      <c r="AG24" s="83" t="str">
        <f>REPLACE(INDEX(GroupVertices[Group],MATCH(Edges[[#This Row],[Vertex 2]],GroupVertices[Vertex],0)),1,1,"")</f>
        <v>9</v>
      </c>
      <c r="AH24" s="111">
        <v>0</v>
      </c>
      <c r="AI24" s="112">
        <v>0</v>
      </c>
      <c r="AJ24" s="111">
        <v>0</v>
      </c>
      <c r="AK24" s="112">
        <v>0</v>
      </c>
      <c r="AL24" s="111">
        <v>0</v>
      </c>
      <c r="AM24" s="112">
        <v>0</v>
      </c>
      <c r="AN24" s="111">
        <v>10</v>
      </c>
      <c r="AO24" s="112">
        <v>100</v>
      </c>
      <c r="AP24" s="111">
        <v>10</v>
      </c>
    </row>
    <row r="25" spans="1:42" ht="15">
      <c r="A25" s="65" t="s">
        <v>230</v>
      </c>
      <c r="B25" s="65" t="s">
        <v>223</v>
      </c>
      <c r="C25" s="66" t="s">
        <v>4651</v>
      </c>
      <c r="D25" s="67">
        <v>3</v>
      </c>
      <c r="E25" s="68"/>
      <c r="F25" s="69">
        <v>40</v>
      </c>
      <c r="G25" s="66"/>
      <c r="H25" s="70"/>
      <c r="I25" s="71"/>
      <c r="J25" s="71"/>
      <c r="K25" s="35" t="s">
        <v>65</v>
      </c>
      <c r="L25" s="79">
        <v>25</v>
      </c>
      <c r="M25" s="79"/>
      <c r="N25" s="73"/>
      <c r="O25" s="81" t="s">
        <v>844</v>
      </c>
      <c r="P25" s="81" t="s">
        <v>199</v>
      </c>
      <c r="Q25" s="84" t="s">
        <v>868</v>
      </c>
      <c r="R25" s="81" t="s">
        <v>230</v>
      </c>
      <c r="S25" s="81" t="s">
        <v>1589</v>
      </c>
      <c r="T25" s="86" t="str">
        <f>HYPERLINK("http://www.youtube.com/channel/UC9ZkNLtd_4RHPtMK3tmZpyA")</f>
        <v>http://www.youtube.com/channel/UC9ZkNLtd_4RHPtMK3tmZpyA</v>
      </c>
      <c r="U25" s="81"/>
      <c r="V25" s="81" t="s">
        <v>2306</v>
      </c>
      <c r="W25" s="86" t="str">
        <f>HYPERLINK("https://www.youtube.com/watch?v=f5vABZt80AQ")</f>
        <v>https://www.youtube.com/watch?v=f5vABZt80AQ</v>
      </c>
      <c r="X25" s="81" t="s">
        <v>2349</v>
      </c>
      <c r="Y25" s="81">
        <v>0</v>
      </c>
      <c r="Z25" s="88">
        <v>43826.349224537036</v>
      </c>
      <c r="AA25" s="88">
        <v>43826.349224537036</v>
      </c>
      <c r="AB25" s="81"/>
      <c r="AC25" s="81"/>
      <c r="AD25" s="84" t="s">
        <v>2390</v>
      </c>
      <c r="AE25" s="82">
        <v>1</v>
      </c>
      <c r="AF25" s="83" t="str">
        <f>REPLACE(INDEX(GroupVertices[Group],MATCH(Edges[[#This Row],[Vertex 1]],GroupVertices[Vertex],0)),1,1,"")</f>
        <v>9</v>
      </c>
      <c r="AG25" s="83" t="str">
        <f>REPLACE(INDEX(GroupVertices[Group],MATCH(Edges[[#This Row],[Vertex 2]],GroupVertices[Vertex],0)),1,1,"")</f>
        <v>9</v>
      </c>
      <c r="AH25" s="111">
        <v>0</v>
      </c>
      <c r="AI25" s="112">
        <v>0</v>
      </c>
      <c r="AJ25" s="111">
        <v>0</v>
      </c>
      <c r="AK25" s="112">
        <v>0</v>
      </c>
      <c r="AL25" s="111">
        <v>0</v>
      </c>
      <c r="AM25" s="112">
        <v>0</v>
      </c>
      <c r="AN25" s="111">
        <v>2</v>
      </c>
      <c r="AO25" s="112">
        <v>100</v>
      </c>
      <c r="AP25" s="111">
        <v>2</v>
      </c>
    </row>
    <row r="26" spans="1:42" ht="15">
      <c r="A26" s="65" t="s">
        <v>231</v>
      </c>
      <c r="B26" s="65" t="s">
        <v>223</v>
      </c>
      <c r="C26" s="66" t="s">
        <v>4651</v>
      </c>
      <c r="D26" s="67">
        <v>3</v>
      </c>
      <c r="E26" s="68"/>
      <c r="F26" s="69">
        <v>40</v>
      </c>
      <c r="G26" s="66"/>
      <c r="H26" s="70"/>
      <c r="I26" s="71"/>
      <c r="J26" s="71"/>
      <c r="K26" s="35" t="s">
        <v>65</v>
      </c>
      <c r="L26" s="79">
        <v>26</v>
      </c>
      <c r="M26" s="79"/>
      <c r="N26" s="73"/>
      <c r="O26" s="81" t="s">
        <v>844</v>
      </c>
      <c r="P26" s="81" t="s">
        <v>199</v>
      </c>
      <c r="Q26" s="84" t="s">
        <v>869</v>
      </c>
      <c r="R26" s="81" t="s">
        <v>231</v>
      </c>
      <c r="S26" s="81" t="s">
        <v>1590</v>
      </c>
      <c r="T26" s="86" t="str">
        <f>HYPERLINK("http://www.youtube.com/channel/UCYw80g2XXMm9nxC55wwfVqQ")</f>
        <v>http://www.youtube.com/channel/UCYw80g2XXMm9nxC55wwfVqQ</v>
      </c>
      <c r="U26" s="81"/>
      <c r="V26" s="81" t="s">
        <v>2306</v>
      </c>
      <c r="W26" s="86" t="str">
        <f>HYPERLINK("https://www.youtube.com/watch?v=f5vABZt80AQ")</f>
        <v>https://www.youtube.com/watch?v=f5vABZt80AQ</v>
      </c>
      <c r="X26" s="81" t="s">
        <v>2349</v>
      </c>
      <c r="Y26" s="81">
        <v>0</v>
      </c>
      <c r="Z26" s="88">
        <v>43836.766226851854</v>
      </c>
      <c r="AA26" s="88">
        <v>43836.766226851854</v>
      </c>
      <c r="AB26" s="81"/>
      <c r="AC26" s="81"/>
      <c r="AD26" s="84" t="s">
        <v>2390</v>
      </c>
      <c r="AE26" s="82">
        <v>1</v>
      </c>
      <c r="AF26" s="83" t="str">
        <f>REPLACE(INDEX(GroupVertices[Group],MATCH(Edges[[#This Row],[Vertex 1]],GroupVertices[Vertex],0)),1,1,"")</f>
        <v>9</v>
      </c>
      <c r="AG26" s="83" t="str">
        <f>REPLACE(INDEX(GroupVertices[Group],MATCH(Edges[[#This Row],[Vertex 2]],GroupVertices[Vertex],0)),1,1,"")</f>
        <v>9</v>
      </c>
      <c r="AH26" s="111">
        <v>0</v>
      </c>
      <c r="AI26" s="112">
        <v>0</v>
      </c>
      <c r="AJ26" s="111">
        <v>0</v>
      </c>
      <c r="AK26" s="112">
        <v>0</v>
      </c>
      <c r="AL26" s="111">
        <v>0</v>
      </c>
      <c r="AM26" s="112">
        <v>0</v>
      </c>
      <c r="AN26" s="111">
        <v>6</v>
      </c>
      <c r="AO26" s="112">
        <v>100</v>
      </c>
      <c r="AP26" s="111">
        <v>6</v>
      </c>
    </row>
    <row r="27" spans="1:42" ht="15">
      <c r="A27" s="65" t="s">
        <v>232</v>
      </c>
      <c r="B27" s="65" t="s">
        <v>223</v>
      </c>
      <c r="C27" s="66" t="s">
        <v>4651</v>
      </c>
      <c r="D27" s="67">
        <v>3</v>
      </c>
      <c r="E27" s="68"/>
      <c r="F27" s="69">
        <v>40</v>
      </c>
      <c r="G27" s="66"/>
      <c r="H27" s="70"/>
      <c r="I27" s="71"/>
      <c r="J27" s="71"/>
      <c r="K27" s="35" t="s">
        <v>65</v>
      </c>
      <c r="L27" s="79">
        <v>27</v>
      </c>
      <c r="M27" s="79"/>
      <c r="N27" s="73"/>
      <c r="O27" s="81" t="s">
        <v>844</v>
      </c>
      <c r="P27" s="81" t="s">
        <v>199</v>
      </c>
      <c r="Q27" s="84" t="s">
        <v>870</v>
      </c>
      <c r="R27" s="81" t="s">
        <v>232</v>
      </c>
      <c r="S27" s="81" t="s">
        <v>1591</v>
      </c>
      <c r="T27" s="86" t="str">
        <f>HYPERLINK("http://www.youtube.com/channel/UCqhOxD6789KcGJ6lSk-aovQ")</f>
        <v>http://www.youtube.com/channel/UCqhOxD6789KcGJ6lSk-aovQ</v>
      </c>
      <c r="U27" s="81"/>
      <c r="V27" s="81" t="s">
        <v>2306</v>
      </c>
      <c r="W27" s="86" t="str">
        <f>HYPERLINK("https://www.youtube.com/watch?v=f5vABZt80AQ")</f>
        <v>https://www.youtube.com/watch?v=f5vABZt80AQ</v>
      </c>
      <c r="X27" s="81" t="s">
        <v>2349</v>
      </c>
      <c r="Y27" s="81">
        <v>0</v>
      </c>
      <c r="Z27" s="88">
        <v>43857.647731481484</v>
      </c>
      <c r="AA27" s="88">
        <v>43857.647731481484</v>
      </c>
      <c r="AB27" s="81"/>
      <c r="AC27" s="81"/>
      <c r="AD27" s="84" t="s">
        <v>2390</v>
      </c>
      <c r="AE27" s="82">
        <v>1</v>
      </c>
      <c r="AF27" s="83" t="str">
        <f>REPLACE(INDEX(GroupVertices[Group],MATCH(Edges[[#This Row],[Vertex 1]],GroupVertices[Vertex],0)),1,1,"")</f>
        <v>9</v>
      </c>
      <c r="AG27" s="83" t="str">
        <f>REPLACE(INDEX(GroupVertices[Group],MATCH(Edges[[#This Row],[Vertex 2]],GroupVertices[Vertex],0)),1,1,"")</f>
        <v>9</v>
      </c>
      <c r="AH27" s="111">
        <v>1</v>
      </c>
      <c r="AI27" s="112">
        <v>100</v>
      </c>
      <c r="AJ27" s="111">
        <v>0</v>
      </c>
      <c r="AK27" s="112">
        <v>0</v>
      </c>
      <c r="AL27" s="111">
        <v>0</v>
      </c>
      <c r="AM27" s="112">
        <v>0</v>
      </c>
      <c r="AN27" s="111">
        <v>0</v>
      </c>
      <c r="AO27" s="112">
        <v>0</v>
      </c>
      <c r="AP27" s="111">
        <v>1</v>
      </c>
    </row>
    <row r="28" spans="1:42" ht="15">
      <c r="A28" s="65" t="s">
        <v>233</v>
      </c>
      <c r="B28" s="65" t="s">
        <v>223</v>
      </c>
      <c r="C28" s="66" t="s">
        <v>4651</v>
      </c>
      <c r="D28" s="67">
        <v>3</v>
      </c>
      <c r="E28" s="68"/>
      <c r="F28" s="69">
        <v>40</v>
      </c>
      <c r="G28" s="66"/>
      <c r="H28" s="70"/>
      <c r="I28" s="71"/>
      <c r="J28" s="71"/>
      <c r="K28" s="35" t="s">
        <v>65</v>
      </c>
      <c r="L28" s="79">
        <v>28</v>
      </c>
      <c r="M28" s="79"/>
      <c r="N28" s="73"/>
      <c r="O28" s="81" t="s">
        <v>844</v>
      </c>
      <c r="P28" s="81" t="s">
        <v>199</v>
      </c>
      <c r="Q28" s="84" t="s">
        <v>871</v>
      </c>
      <c r="R28" s="81" t="s">
        <v>233</v>
      </c>
      <c r="S28" s="81" t="s">
        <v>1592</v>
      </c>
      <c r="T28" s="86" t="str">
        <f>HYPERLINK("http://www.youtube.com/channel/UCSdmsFGa3ZNWmfpASt-hRng")</f>
        <v>http://www.youtube.com/channel/UCSdmsFGa3ZNWmfpASt-hRng</v>
      </c>
      <c r="U28" s="81"/>
      <c r="V28" s="81" t="s">
        <v>2306</v>
      </c>
      <c r="W28" s="86" t="str">
        <f>HYPERLINK("https://www.youtube.com/watch?v=f5vABZt80AQ")</f>
        <v>https://www.youtube.com/watch?v=f5vABZt80AQ</v>
      </c>
      <c r="X28" s="81" t="s">
        <v>2349</v>
      </c>
      <c r="Y28" s="81">
        <v>0</v>
      </c>
      <c r="Z28" s="88">
        <v>44012.2000462963</v>
      </c>
      <c r="AA28" s="88">
        <v>44012.2000462963</v>
      </c>
      <c r="AB28" s="81"/>
      <c r="AC28" s="81"/>
      <c r="AD28" s="84" t="s">
        <v>2390</v>
      </c>
      <c r="AE28" s="82">
        <v>1</v>
      </c>
      <c r="AF28" s="83" t="str">
        <f>REPLACE(INDEX(GroupVertices[Group],MATCH(Edges[[#This Row],[Vertex 1]],GroupVertices[Vertex],0)),1,1,"")</f>
        <v>9</v>
      </c>
      <c r="AG28" s="83" t="str">
        <f>REPLACE(INDEX(GroupVertices[Group],MATCH(Edges[[#This Row],[Vertex 2]],GroupVertices[Vertex],0)),1,1,"")</f>
        <v>9</v>
      </c>
      <c r="AH28" s="111">
        <v>0</v>
      </c>
      <c r="AI28" s="112">
        <v>0</v>
      </c>
      <c r="AJ28" s="111">
        <v>0</v>
      </c>
      <c r="AK28" s="112">
        <v>0</v>
      </c>
      <c r="AL28" s="111">
        <v>0</v>
      </c>
      <c r="AM28" s="112">
        <v>0</v>
      </c>
      <c r="AN28" s="111">
        <v>2</v>
      </c>
      <c r="AO28" s="112">
        <v>100</v>
      </c>
      <c r="AP28" s="111">
        <v>2</v>
      </c>
    </row>
    <row r="29" spans="1:42" ht="15">
      <c r="A29" s="65" t="s">
        <v>234</v>
      </c>
      <c r="B29" s="65" t="s">
        <v>223</v>
      </c>
      <c r="C29" s="66" t="s">
        <v>4651</v>
      </c>
      <c r="D29" s="67">
        <v>3</v>
      </c>
      <c r="E29" s="68"/>
      <c r="F29" s="69">
        <v>40</v>
      </c>
      <c r="G29" s="66"/>
      <c r="H29" s="70"/>
      <c r="I29" s="71"/>
      <c r="J29" s="71"/>
      <c r="K29" s="35" t="s">
        <v>65</v>
      </c>
      <c r="L29" s="79">
        <v>29</v>
      </c>
      <c r="M29" s="79"/>
      <c r="N29" s="73"/>
      <c r="O29" s="81" t="s">
        <v>844</v>
      </c>
      <c r="P29" s="81" t="s">
        <v>199</v>
      </c>
      <c r="Q29" s="84" t="s">
        <v>872</v>
      </c>
      <c r="R29" s="81" t="s">
        <v>234</v>
      </c>
      <c r="S29" s="81" t="s">
        <v>1593</v>
      </c>
      <c r="T29" s="86" t="str">
        <f>HYPERLINK("http://www.youtube.com/channel/UCL1VTD4cUl2vAw1cvOOO5iw")</f>
        <v>http://www.youtube.com/channel/UCL1VTD4cUl2vAw1cvOOO5iw</v>
      </c>
      <c r="U29" s="81"/>
      <c r="V29" s="81" t="s">
        <v>2306</v>
      </c>
      <c r="W29" s="86" t="str">
        <f>HYPERLINK("https://www.youtube.com/watch?v=f5vABZt80AQ")</f>
        <v>https://www.youtube.com/watch?v=f5vABZt80AQ</v>
      </c>
      <c r="X29" s="81" t="s">
        <v>2349</v>
      </c>
      <c r="Y29" s="81">
        <v>0</v>
      </c>
      <c r="Z29" s="88">
        <v>44098.598020833335</v>
      </c>
      <c r="AA29" s="88">
        <v>44098.598020833335</v>
      </c>
      <c r="AB29" s="81"/>
      <c r="AC29" s="81"/>
      <c r="AD29" s="84" t="s">
        <v>2390</v>
      </c>
      <c r="AE29" s="82">
        <v>1</v>
      </c>
      <c r="AF29" s="83" t="str">
        <f>REPLACE(INDEX(GroupVertices[Group],MATCH(Edges[[#This Row],[Vertex 1]],GroupVertices[Vertex],0)),1,1,"")</f>
        <v>9</v>
      </c>
      <c r="AG29" s="83" t="str">
        <f>REPLACE(INDEX(GroupVertices[Group],MATCH(Edges[[#This Row],[Vertex 2]],GroupVertices[Vertex],0)),1,1,"")</f>
        <v>9</v>
      </c>
      <c r="AH29" s="111">
        <v>0</v>
      </c>
      <c r="AI29" s="112">
        <v>0</v>
      </c>
      <c r="AJ29" s="111">
        <v>0</v>
      </c>
      <c r="AK29" s="112">
        <v>0</v>
      </c>
      <c r="AL29" s="111">
        <v>0</v>
      </c>
      <c r="AM29" s="112">
        <v>0</v>
      </c>
      <c r="AN29" s="111">
        <v>4</v>
      </c>
      <c r="AO29" s="112">
        <v>100</v>
      </c>
      <c r="AP29" s="111">
        <v>4</v>
      </c>
    </row>
    <row r="30" spans="1:42" ht="15">
      <c r="A30" s="65" t="s">
        <v>235</v>
      </c>
      <c r="B30" s="65" t="s">
        <v>223</v>
      </c>
      <c r="C30" s="66" t="s">
        <v>4651</v>
      </c>
      <c r="D30" s="67">
        <v>3</v>
      </c>
      <c r="E30" s="68"/>
      <c r="F30" s="69">
        <v>40</v>
      </c>
      <c r="G30" s="66"/>
      <c r="H30" s="70"/>
      <c r="I30" s="71"/>
      <c r="J30" s="71"/>
      <c r="K30" s="35" t="s">
        <v>65</v>
      </c>
      <c r="L30" s="79">
        <v>30</v>
      </c>
      <c r="M30" s="79"/>
      <c r="N30" s="73"/>
      <c r="O30" s="81" t="s">
        <v>844</v>
      </c>
      <c r="P30" s="81" t="s">
        <v>199</v>
      </c>
      <c r="Q30" s="84" t="s">
        <v>873</v>
      </c>
      <c r="R30" s="81" t="s">
        <v>235</v>
      </c>
      <c r="S30" s="81" t="s">
        <v>1594</v>
      </c>
      <c r="T30" s="86" t="str">
        <f>HYPERLINK("http://www.youtube.com/channel/UCp9Jrlj2dgFXMyo5xMA3QQA")</f>
        <v>http://www.youtube.com/channel/UCp9Jrlj2dgFXMyo5xMA3QQA</v>
      </c>
      <c r="U30" s="81"/>
      <c r="V30" s="81" t="s">
        <v>2306</v>
      </c>
      <c r="W30" s="86" t="str">
        <f>HYPERLINK("https://www.youtube.com/watch?v=f5vABZt80AQ")</f>
        <v>https://www.youtube.com/watch?v=f5vABZt80AQ</v>
      </c>
      <c r="X30" s="81" t="s">
        <v>2349</v>
      </c>
      <c r="Y30" s="81">
        <v>0</v>
      </c>
      <c r="Z30" s="88">
        <v>44101.8515162037</v>
      </c>
      <c r="AA30" s="88">
        <v>44101.8515162037</v>
      </c>
      <c r="AB30" s="81"/>
      <c r="AC30" s="81"/>
      <c r="AD30" s="84" t="s">
        <v>2390</v>
      </c>
      <c r="AE30" s="82">
        <v>1</v>
      </c>
      <c r="AF30" s="83" t="str">
        <f>REPLACE(INDEX(GroupVertices[Group],MATCH(Edges[[#This Row],[Vertex 1]],GroupVertices[Vertex],0)),1,1,"")</f>
        <v>9</v>
      </c>
      <c r="AG30" s="83" t="str">
        <f>REPLACE(INDEX(GroupVertices[Group],MATCH(Edges[[#This Row],[Vertex 2]],GroupVertices[Vertex],0)),1,1,"")</f>
        <v>9</v>
      </c>
      <c r="AH30" s="111">
        <v>2</v>
      </c>
      <c r="AI30" s="112">
        <v>40</v>
      </c>
      <c r="AJ30" s="111">
        <v>0</v>
      </c>
      <c r="AK30" s="112">
        <v>0</v>
      </c>
      <c r="AL30" s="111">
        <v>0</v>
      </c>
      <c r="AM30" s="112">
        <v>0</v>
      </c>
      <c r="AN30" s="111">
        <v>3</v>
      </c>
      <c r="AO30" s="112">
        <v>60</v>
      </c>
      <c r="AP30" s="111">
        <v>5</v>
      </c>
    </row>
    <row r="31" spans="1:42" ht="15">
      <c r="A31" s="65" t="s">
        <v>236</v>
      </c>
      <c r="B31" s="65" t="s">
        <v>223</v>
      </c>
      <c r="C31" s="66" t="s">
        <v>4651</v>
      </c>
      <c r="D31" s="67">
        <v>3</v>
      </c>
      <c r="E31" s="68"/>
      <c r="F31" s="69">
        <v>40</v>
      </c>
      <c r="G31" s="66"/>
      <c r="H31" s="70"/>
      <c r="I31" s="71"/>
      <c r="J31" s="71"/>
      <c r="K31" s="35" t="s">
        <v>65</v>
      </c>
      <c r="L31" s="79">
        <v>31</v>
      </c>
      <c r="M31" s="79"/>
      <c r="N31" s="73"/>
      <c r="O31" s="81" t="s">
        <v>844</v>
      </c>
      <c r="P31" s="81" t="s">
        <v>199</v>
      </c>
      <c r="Q31" s="84" t="s">
        <v>874</v>
      </c>
      <c r="R31" s="81" t="s">
        <v>236</v>
      </c>
      <c r="S31" s="81" t="s">
        <v>1595</v>
      </c>
      <c r="T31" s="86" t="str">
        <f>HYPERLINK("http://www.youtube.com/channel/UC8o2WZrbBgyYAKQCgfEzF_w")</f>
        <v>http://www.youtube.com/channel/UC8o2WZrbBgyYAKQCgfEzF_w</v>
      </c>
      <c r="U31" s="81"/>
      <c r="V31" s="81" t="s">
        <v>2306</v>
      </c>
      <c r="W31" s="86" t="str">
        <f>HYPERLINK("https://www.youtube.com/watch?v=f5vABZt80AQ")</f>
        <v>https://www.youtube.com/watch?v=f5vABZt80AQ</v>
      </c>
      <c r="X31" s="81" t="s">
        <v>2349</v>
      </c>
      <c r="Y31" s="81">
        <v>0</v>
      </c>
      <c r="Z31" s="88">
        <v>44114.60513888889</v>
      </c>
      <c r="AA31" s="88">
        <v>44114.60513888889</v>
      </c>
      <c r="AB31" s="81"/>
      <c r="AC31" s="81"/>
      <c r="AD31" s="84" t="s">
        <v>2390</v>
      </c>
      <c r="AE31" s="82">
        <v>1</v>
      </c>
      <c r="AF31" s="83" t="str">
        <f>REPLACE(INDEX(GroupVertices[Group],MATCH(Edges[[#This Row],[Vertex 1]],GroupVertices[Vertex],0)),1,1,"")</f>
        <v>9</v>
      </c>
      <c r="AG31" s="83" t="str">
        <f>REPLACE(INDEX(GroupVertices[Group],MATCH(Edges[[#This Row],[Vertex 2]],GroupVertices[Vertex],0)),1,1,"")</f>
        <v>9</v>
      </c>
      <c r="AH31" s="111">
        <v>1</v>
      </c>
      <c r="AI31" s="112">
        <v>33.333333333333336</v>
      </c>
      <c r="AJ31" s="111">
        <v>0</v>
      </c>
      <c r="AK31" s="112">
        <v>0</v>
      </c>
      <c r="AL31" s="111">
        <v>0</v>
      </c>
      <c r="AM31" s="112">
        <v>0</v>
      </c>
      <c r="AN31" s="111">
        <v>2</v>
      </c>
      <c r="AO31" s="112">
        <v>66.66666666666667</v>
      </c>
      <c r="AP31" s="111">
        <v>3</v>
      </c>
    </row>
    <row r="32" spans="1:42" ht="15">
      <c r="A32" s="65" t="s">
        <v>237</v>
      </c>
      <c r="B32" s="65" t="s">
        <v>223</v>
      </c>
      <c r="C32" s="66" t="s">
        <v>4651</v>
      </c>
      <c r="D32" s="67">
        <v>3</v>
      </c>
      <c r="E32" s="68"/>
      <c r="F32" s="69">
        <v>40</v>
      </c>
      <c r="G32" s="66"/>
      <c r="H32" s="70"/>
      <c r="I32" s="71"/>
      <c r="J32" s="71"/>
      <c r="K32" s="35" t="s">
        <v>65</v>
      </c>
      <c r="L32" s="79">
        <v>32</v>
      </c>
      <c r="M32" s="79"/>
      <c r="N32" s="73"/>
      <c r="O32" s="81" t="s">
        <v>844</v>
      </c>
      <c r="P32" s="81" t="s">
        <v>199</v>
      </c>
      <c r="Q32" s="84" t="s">
        <v>875</v>
      </c>
      <c r="R32" s="81" t="s">
        <v>237</v>
      </c>
      <c r="S32" s="81" t="s">
        <v>1596</v>
      </c>
      <c r="T32" s="86" t="str">
        <f>HYPERLINK("http://www.youtube.com/channel/UCuTYjCMs0KegX5xrv-0tjJQ")</f>
        <v>http://www.youtube.com/channel/UCuTYjCMs0KegX5xrv-0tjJQ</v>
      </c>
      <c r="U32" s="81"/>
      <c r="V32" s="81" t="s">
        <v>2306</v>
      </c>
      <c r="W32" s="86" t="str">
        <f>HYPERLINK("https://www.youtube.com/watch?v=f5vABZt80AQ")</f>
        <v>https://www.youtube.com/watch?v=f5vABZt80AQ</v>
      </c>
      <c r="X32" s="81" t="s">
        <v>2349</v>
      </c>
      <c r="Y32" s="81">
        <v>0</v>
      </c>
      <c r="Z32" s="88">
        <v>44354.70431712963</v>
      </c>
      <c r="AA32" s="88">
        <v>44354.70431712963</v>
      </c>
      <c r="AB32" s="81"/>
      <c r="AC32" s="81"/>
      <c r="AD32" s="84" t="s">
        <v>2390</v>
      </c>
      <c r="AE32" s="82">
        <v>1</v>
      </c>
      <c r="AF32" s="83" t="str">
        <f>REPLACE(INDEX(GroupVertices[Group],MATCH(Edges[[#This Row],[Vertex 1]],GroupVertices[Vertex],0)),1,1,"")</f>
        <v>9</v>
      </c>
      <c r="AG32" s="83" t="str">
        <f>REPLACE(INDEX(GroupVertices[Group],MATCH(Edges[[#This Row],[Vertex 2]],GroupVertices[Vertex],0)),1,1,"")</f>
        <v>9</v>
      </c>
      <c r="AH32" s="111">
        <v>0</v>
      </c>
      <c r="AI32" s="112">
        <v>0</v>
      </c>
      <c r="AJ32" s="111">
        <v>0</v>
      </c>
      <c r="AK32" s="112">
        <v>0</v>
      </c>
      <c r="AL32" s="111">
        <v>0</v>
      </c>
      <c r="AM32" s="112">
        <v>0</v>
      </c>
      <c r="AN32" s="111">
        <v>2</v>
      </c>
      <c r="AO32" s="112">
        <v>100</v>
      </c>
      <c r="AP32" s="111">
        <v>2</v>
      </c>
    </row>
    <row r="33" spans="1:42" ht="15">
      <c r="A33" s="65" t="s">
        <v>238</v>
      </c>
      <c r="B33" s="65" t="s">
        <v>825</v>
      </c>
      <c r="C33" s="66" t="s">
        <v>4651</v>
      </c>
      <c r="D33" s="67">
        <v>3</v>
      </c>
      <c r="E33" s="68"/>
      <c r="F33" s="69">
        <v>40</v>
      </c>
      <c r="G33" s="66"/>
      <c r="H33" s="70"/>
      <c r="I33" s="71"/>
      <c r="J33" s="71"/>
      <c r="K33" s="35" t="s">
        <v>65</v>
      </c>
      <c r="L33" s="79">
        <v>33</v>
      </c>
      <c r="M33" s="79"/>
      <c r="N33" s="73"/>
      <c r="O33" s="81" t="s">
        <v>844</v>
      </c>
      <c r="P33" s="81" t="s">
        <v>199</v>
      </c>
      <c r="Q33" s="84" t="s">
        <v>876</v>
      </c>
      <c r="R33" s="81" t="s">
        <v>238</v>
      </c>
      <c r="S33" s="81" t="s">
        <v>1597</v>
      </c>
      <c r="T33" s="86" t="str">
        <f>HYPERLINK("http://www.youtube.com/channel/UCq9sUq7pKOLECILFy7pFbuw")</f>
        <v>http://www.youtube.com/channel/UCq9sUq7pKOLECILFy7pFbuw</v>
      </c>
      <c r="U33" s="81"/>
      <c r="V33" s="81" t="s">
        <v>2307</v>
      </c>
      <c r="W33" s="86" t="str">
        <f>HYPERLINK("https://www.youtube.com/watch?v=A1MrJb2pXgA")</f>
        <v>https://www.youtube.com/watch?v=A1MrJb2pXgA</v>
      </c>
      <c r="X33" s="81" t="s">
        <v>2349</v>
      </c>
      <c r="Y33" s="81">
        <v>3</v>
      </c>
      <c r="Z33" s="88">
        <v>43236.89776620371</v>
      </c>
      <c r="AA33" s="88">
        <v>43236.89776620371</v>
      </c>
      <c r="AB33" s="81"/>
      <c r="AC33" s="81"/>
      <c r="AD33" s="84" t="s">
        <v>2390</v>
      </c>
      <c r="AE33" s="82">
        <v>1</v>
      </c>
      <c r="AF33" s="83" t="str">
        <f>REPLACE(INDEX(GroupVertices[Group],MATCH(Edges[[#This Row],[Vertex 1]],GroupVertices[Vertex],0)),1,1,"")</f>
        <v>24</v>
      </c>
      <c r="AG33" s="83" t="str">
        <f>REPLACE(INDEX(GroupVertices[Group],MATCH(Edges[[#This Row],[Vertex 2]],GroupVertices[Vertex],0)),1,1,"")</f>
        <v>24</v>
      </c>
      <c r="AH33" s="111">
        <v>4</v>
      </c>
      <c r="AI33" s="112">
        <v>23.529411764705884</v>
      </c>
      <c r="AJ33" s="111">
        <v>0</v>
      </c>
      <c r="AK33" s="112">
        <v>0</v>
      </c>
      <c r="AL33" s="111">
        <v>0</v>
      </c>
      <c r="AM33" s="112">
        <v>0</v>
      </c>
      <c r="AN33" s="111">
        <v>13</v>
      </c>
      <c r="AO33" s="112">
        <v>76.47058823529412</v>
      </c>
      <c r="AP33" s="111">
        <v>17</v>
      </c>
    </row>
    <row r="34" spans="1:42" ht="15">
      <c r="A34" s="65" t="s">
        <v>239</v>
      </c>
      <c r="B34" s="65" t="s">
        <v>826</v>
      </c>
      <c r="C34" s="66" t="s">
        <v>4651</v>
      </c>
      <c r="D34" s="67">
        <v>3</v>
      </c>
      <c r="E34" s="68"/>
      <c r="F34" s="69">
        <v>40</v>
      </c>
      <c r="G34" s="66"/>
      <c r="H34" s="70"/>
      <c r="I34" s="71"/>
      <c r="J34" s="71"/>
      <c r="K34" s="35" t="s">
        <v>65</v>
      </c>
      <c r="L34" s="79">
        <v>34</v>
      </c>
      <c r="M34" s="79"/>
      <c r="N34" s="73"/>
      <c r="O34" s="81" t="s">
        <v>844</v>
      </c>
      <c r="P34" s="81" t="s">
        <v>199</v>
      </c>
      <c r="Q34" s="84" t="s">
        <v>877</v>
      </c>
      <c r="R34" s="81" t="s">
        <v>239</v>
      </c>
      <c r="S34" s="81" t="s">
        <v>1598</v>
      </c>
      <c r="T34" s="86" t="str">
        <f>HYPERLINK("http://www.youtube.com/channel/UCYF_cZa5umMhfurNbMM-1eA")</f>
        <v>http://www.youtube.com/channel/UCYF_cZa5umMhfurNbMM-1eA</v>
      </c>
      <c r="U34" s="81"/>
      <c r="V34" s="81" t="s">
        <v>2308</v>
      </c>
      <c r="W34" s="86" t="str">
        <f>HYPERLINK("https://www.youtube.com/watch?v=ggOqMncgemw")</f>
        <v>https://www.youtube.com/watch?v=ggOqMncgemw</v>
      </c>
      <c r="X34" s="81" t="s">
        <v>2349</v>
      </c>
      <c r="Y34" s="81">
        <v>1</v>
      </c>
      <c r="Z34" s="88">
        <v>43719.381585648145</v>
      </c>
      <c r="AA34" s="88">
        <v>43719.381585648145</v>
      </c>
      <c r="AB34" s="81"/>
      <c r="AC34" s="81"/>
      <c r="AD34" s="84" t="s">
        <v>2390</v>
      </c>
      <c r="AE34" s="82">
        <v>1</v>
      </c>
      <c r="AF34" s="83" t="str">
        <f>REPLACE(INDEX(GroupVertices[Group],MATCH(Edges[[#This Row],[Vertex 1]],GroupVertices[Vertex],0)),1,1,"")</f>
        <v>6</v>
      </c>
      <c r="AG34" s="83" t="str">
        <f>REPLACE(INDEX(GroupVertices[Group],MATCH(Edges[[#This Row],[Vertex 2]],GroupVertices[Vertex],0)),1,1,"")</f>
        <v>6</v>
      </c>
      <c r="AH34" s="111">
        <v>0</v>
      </c>
      <c r="AI34" s="112">
        <v>0</v>
      </c>
      <c r="AJ34" s="111">
        <v>0</v>
      </c>
      <c r="AK34" s="112">
        <v>0</v>
      </c>
      <c r="AL34" s="111">
        <v>0</v>
      </c>
      <c r="AM34" s="112">
        <v>0</v>
      </c>
      <c r="AN34" s="111">
        <v>2</v>
      </c>
      <c r="AO34" s="112">
        <v>100</v>
      </c>
      <c r="AP34" s="111">
        <v>2</v>
      </c>
    </row>
    <row r="35" spans="1:42" ht="15">
      <c r="A35" s="65" t="s">
        <v>240</v>
      </c>
      <c r="B35" s="65" t="s">
        <v>826</v>
      </c>
      <c r="C35" s="66" t="s">
        <v>4651</v>
      </c>
      <c r="D35" s="67">
        <v>3</v>
      </c>
      <c r="E35" s="68"/>
      <c r="F35" s="69">
        <v>40</v>
      </c>
      <c r="G35" s="66"/>
      <c r="H35" s="70"/>
      <c r="I35" s="71"/>
      <c r="J35" s="71"/>
      <c r="K35" s="35" t="s">
        <v>65</v>
      </c>
      <c r="L35" s="79">
        <v>35</v>
      </c>
      <c r="M35" s="79"/>
      <c r="N35" s="73"/>
      <c r="O35" s="81" t="s">
        <v>844</v>
      </c>
      <c r="P35" s="81" t="s">
        <v>199</v>
      </c>
      <c r="Q35" s="84" t="s">
        <v>878</v>
      </c>
      <c r="R35" s="81" t="s">
        <v>240</v>
      </c>
      <c r="S35" s="81" t="s">
        <v>1599</v>
      </c>
      <c r="T35" s="86" t="str">
        <f>HYPERLINK("http://www.youtube.com/channel/UCGImaUpKw6xjuB_WhtzsEWQ")</f>
        <v>http://www.youtube.com/channel/UCGImaUpKw6xjuB_WhtzsEWQ</v>
      </c>
      <c r="U35" s="81"/>
      <c r="V35" s="81" t="s">
        <v>2308</v>
      </c>
      <c r="W35" s="86" t="str">
        <f>HYPERLINK("https://www.youtube.com/watch?v=ggOqMncgemw")</f>
        <v>https://www.youtube.com/watch?v=ggOqMncgemw</v>
      </c>
      <c r="X35" s="81" t="s">
        <v>2349</v>
      </c>
      <c r="Y35" s="81">
        <v>2</v>
      </c>
      <c r="Z35" s="88">
        <v>43858.75951388889</v>
      </c>
      <c r="AA35" s="88">
        <v>43858.75951388889</v>
      </c>
      <c r="AB35" s="81"/>
      <c r="AC35" s="81"/>
      <c r="AD35" s="84" t="s">
        <v>2390</v>
      </c>
      <c r="AE35" s="82">
        <v>1</v>
      </c>
      <c r="AF35" s="83" t="str">
        <f>REPLACE(INDEX(GroupVertices[Group],MATCH(Edges[[#This Row],[Vertex 1]],GroupVertices[Vertex],0)),1,1,"")</f>
        <v>6</v>
      </c>
      <c r="AG35" s="83" t="str">
        <f>REPLACE(INDEX(GroupVertices[Group],MATCH(Edges[[#This Row],[Vertex 2]],GroupVertices[Vertex],0)),1,1,"")</f>
        <v>6</v>
      </c>
      <c r="AH35" s="111">
        <v>0</v>
      </c>
      <c r="AI35" s="112">
        <v>0</v>
      </c>
      <c r="AJ35" s="111">
        <v>0</v>
      </c>
      <c r="AK35" s="112">
        <v>0</v>
      </c>
      <c r="AL35" s="111">
        <v>0</v>
      </c>
      <c r="AM35" s="112">
        <v>0</v>
      </c>
      <c r="AN35" s="111">
        <v>0</v>
      </c>
      <c r="AO35" s="112">
        <v>0</v>
      </c>
      <c r="AP35" s="111">
        <v>0</v>
      </c>
    </row>
    <row r="36" spans="1:42" ht="15">
      <c r="A36" s="65" t="s">
        <v>241</v>
      </c>
      <c r="B36" s="65" t="s">
        <v>826</v>
      </c>
      <c r="C36" s="66" t="s">
        <v>4651</v>
      </c>
      <c r="D36" s="67">
        <v>3</v>
      </c>
      <c r="E36" s="68"/>
      <c r="F36" s="69">
        <v>40</v>
      </c>
      <c r="G36" s="66"/>
      <c r="H36" s="70"/>
      <c r="I36" s="71"/>
      <c r="J36" s="71"/>
      <c r="K36" s="35" t="s">
        <v>65</v>
      </c>
      <c r="L36" s="79">
        <v>36</v>
      </c>
      <c r="M36" s="79"/>
      <c r="N36" s="73"/>
      <c r="O36" s="81" t="s">
        <v>844</v>
      </c>
      <c r="P36" s="81" t="s">
        <v>199</v>
      </c>
      <c r="Q36" s="84" t="s">
        <v>879</v>
      </c>
      <c r="R36" s="81" t="s">
        <v>241</v>
      </c>
      <c r="S36" s="81" t="s">
        <v>1600</v>
      </c>
      <c r="T36" s="86" t="str">
        <f>HYPERLINK("http://www.youtube.com/channel/UCyQj-gFcpG1NwOPoHvg1Big")</f>
        <v>http://www.youtube.com/channel/UCyQj-gFcpG1NwOPoHvg1Big</v>
      </c>
      <c r="U36" s="81"/>
      <c r="V36" s="81" t="s">
        <v>2308</v>
      </c>
      <c r="W36" s="86" t="str">
        <f>HYPERLINK("https://www.youtube.com/watch?v=ggOqMncgemw")</f>
        <v>https://www.youtube.com/watch?v=ggOqMncgemw</v>
      </c>
      <c r="X36" s="81" t="s">
        <v>2349</v>
      </c>
      <c r="Y36" s="81">
        <v>1</v>
      </c>
      <c r="Z36" s="88">
        <v>43877.17391203704</v>
      </c>
      <c r="AA36" s="88">
        <v>43877.17391203704</v>
      </c>
      <c r="AB36" s="81"/>
      <c r="AC36" s="81"/>
      <c r="AD36" s="84" t="s">
        <v>2390</v>
      </c>
      <c r="AE36" s="82">
        <v>1</v>
      </c>
      <c r="AF36" s="83" t="str">
        <f>REPLACE(INDEX(GroupVertices[Group],MATCH(Edges[[#This Row],[Vertex 1]],GroupVertices[Vertex],0)),1,1,"")</f>
        <v>6</v>
      </c>
      <c r="AG36" s="83" t="str">
        <f>REPLACE(INDEX(GroupVertices[Group],MATCH(Edges[[#This Row],[Vertex 2]],GroupVertices[Vertex],0)),1,1,"")</f>
        <v>6</v>
      </c>
      <c r="AH36" s="111">
        <v>0</v>
      </c>
      <c r="AI36" s="112">
        <v>0</v>
      </c>
      <c r="AJ36" s="111">
        <v>0</v>
      </c>
      <c r="AK36" s="112">
        <v>0</v>
      </c>
      <c r="AL36" s="111">
        <v>0</v>
      </c>
      <c r="AM36" s="112">
        <v>0</v>
      </c>
      <c r="AN36" s="111">
        <v>2</v>
      </c>
      <c r="AO36" s="112">
        <v>100</v>
      </c>
      <c r="AP36" s="111">
        <v>2</v>
      </c>
    </row>
    <row r="37" spans="1:42" ht="15">
      <c r="A37" s="65" t="s">
        <v>242</v>
      </c>
      <c r="B37" s="65" t="s">
        <v>826</v>
      </c>
      <c r="C37" s="66" t="s">
        <v>4651</v>
      </c>
      <c r="D37" s="67">
        <v>3</v>
      </c>
      <c r="E37" s="68"/>
      <c r="F37" s="69">
        <v>40</v>
      </c>
      <c r="G37" s="66"/>
      <c r="H37" s="70"/>
      <c r="I37" s="71"/>
      <c r="J37" s="71"/>
      <c r="K37" s="35" t="s">
        <v>65</v>
      </c>
      <c r="L37" s="79">
        <v>37</v>
      </c>
      <c r="M37" s="79"/>
      <c r="N37" s="73"/>
      <c r="O37" s="81" t="s">
        <v>844</v>
      </c>
      <c r="P37" s="81" t="s">
        <v>199</v>
      </c>
      <c r="Q37" s="84" t="s">
        <v>880</v>
      </c>
      <c r="R37" s="81" t="s">
        <v>242</v>
      </c>
      <c r="S37" s="81" t="s">
        <v>1601</v>
      </c>
      <c r="T37" s="86" t="str">
        <f>HYPERLINK("http://www.youtube.com/channel/UCSmTWaprDRVLkw6btjGCe_Q")</f>
        <v>http://www.youtube.com/channel/UCSmTWaprDRVLkw6btjGCe_Q</v>
      </c>
      <c r="U37" s="81"/>
      <c r="V37" s="81" t="s">
        <v>2308</v>
      </c>
      <c r="W37" s="86" t="str">
        <f>HYPERLINK("https://www.youtube.com/watch?v=ggOqMncgemw")</f>
        <v>https://www.youtube.com/watch?v=ggOqMncgemw</v>
      </c>
      <c r="X37" s="81" t="s">
        <v>2349</v>
      </c>
      <c r="Y37" s="81">
        <v>2</v>
      </c>
      <c r="Z37" s="88">
        <v>43912.35680555556</v>
      </c>
      <c r="AA37" s="88">
        <v>43912.35680555556</v>
      </c>
      <c r="AB37" s="81"/>
      <c r="AC37" s="81"/>
      <c r="AD37" s="84" t="s">
        <v>2390</v>
      </c>
      <c r="AE37" s="82">
        <v>1</v>
      </c>
      <c r="AF37" s="83" t="str">
        <f>REPLACE(INDEX(GroupVertices[Group],MATCH(Edges[[#This Row],[Vertex 1]],GroupVertices[Vertex],0)),1,1,"")</f>
        <v>6</v>
      </c>
      <c r="AG37" s="83" t="str">
        <f>REPLACE(INDEX(GroupVertices[Group],MATCH(Edges[[#This Row],[Vertex 2]],GroupVertices[Vertex],0)),1,1,"")</f>
        <v>6</v>
      </c>
      <c r="AH37" s="111">
        <v>1</v>
      </c>
      <c r="AI37" s="112">
        <v>11.11111111111111</v>
      </c>
      <c r="AJ37" s="111">
        <v>0</v>
      </c>
      <c r="AK37" s="112">
        <v>0</v>
      </c>
      <c r="AL37" s="111">
        <v>0</v>
      </c>
      <c r="AM37" s="112">
        <v>0</v>
      </c>
      <c r="AN37" s="111">
        <v>8</v>
      </c>
      <c r="AO37" s="112">
        <v>88.88888888888889</v>
      </c>
      <c r="AP37" s="111">
        <v>9</v>
      </c>
    </row>
    <row r="38" spans="1:42" ht="15">
      <c r="A38" s="65" t="s">
        <v>243</v>
      </c>
      <c r="B38" s="65" t="s">
        <v>826</v>
      </c>
      <c r="C38" s="66" t="s">
        <v>4651</v>
      </c>
      <c r="D38" s="67">
        <v>3</v>
      </c>
      <c r="E38" s="68"/>
      <c r="F38" s="69">
        <v>40</v>
      </c>
      <c r="G38" s="66"/>
      <c r="H38" s="70"/>
      <c r="I38" s="71"/>
      <c r="J38" s="71"/>
      <c r="K38" s="35" t="s">
        <v>65</v>
      </c>
      <c r="L38" s="79">
        <v>38</v>
      </c>
      <c r="M38" s="79"/>
      <c r="N38" s="73"/>
      <c r="O38" s="81" t="s">
        <v>844</v>
      </c>
      <c r="P38" s="81" t="s">
        <v>199</v>
      </c>
      <c r="Q38" s="84" t="s">
        <v>881</v>
      </c>
      <c r="R38" s="81" t="s">
        <v>243</v>
      </c>
      <c r="S38" s="81" t="s">
        <v>1602</v>
      </c>
      <c r="T38" s="86" t="str">
        <f>HYPERLINK("http://www.youtube.com/channel/UCCupaZozpHYhmG8HZ31dxag")</f>
        <v>http://www.youtube.com/channel/UCCupaZozpHYhmG8HZ31dxag</v>
      </c>
      <c r="U38" s="81"/>
      <c r="V38" s="81" t="s">
        <v>2308</v>
      </c>
      <c r="W38" s="86" t="str">
        <f>HYPERLINK("https://www.youtube.com/watch?v=ggOqMncgemw")</f>
        <v>https://www.youtube.com/watch?v=ggOqMncgemw</v>
      </c>
      <c r="X38" s="81" t="s">
        <v>2349</v>
      </c>
      <c r="Y38" s="81">
        <v>1</v>
      </c>
      <c r="Z38" s="88">
        <v>43962.83148148148</v>
      </c>
      <c r="AA38" s="88">
        <v>43962.83148148148</v>
      </c>
      <c r="AB38" s="81"/>
      <c r="AC38" s="81"/>
      <c r="AD38" s="84" t="s">
        <v>2390</v>
      </c>
      <c r="AE38" s="82">
        <v>1</v>
      </c>
      <c r="AF38" s="83" t="str">
        <f>REPLACE(INDEX(GroupVertices[Group],MATCH(Edges[[#This Row],[Vertex 1]],GroupVertices[Vertex],0)),1,1,"")</f>
        <v>6</v>
      </c>
      <c r="AG38" s="83" t="str">
        <f>REPLACE(INDEX(GroupVertices[Group],MATCH(Edges[[#This Row],[Vertex 2]],GroupVertices[Vertex],0)),1,1,"")</f>
        <v>6</v>
      </c>
      <c r="AH38" s="111">
        <v>1</v>
      </c>
      <c r="AI38" s="112">
        <v>11.11111111111111</v>
      </c>
      <c r="AJ38" s="111">
        <v>0</v>
      </c>
      <c r="AK38" s="112">
        <v>0</v>
      </c>
      <c r="AL38" s="111">
        <v>0</v>
      </c>
      <c r="AM38" s="112">
        <v>0</v>
      </c>
      <c r="AN38" s="111">
        <v>8</v>
      </c>
      <c r="AO38" s="112">
        <v>88.88888888888889</v>
      </c>
      <c r="AP38" s="111">
        <v>9</v>
      </c>
    </row>
    <row r="39" spans="1:42" ht="15">
      <c r="A39" s="65" t="s">
        <v>244</v>
      </c>
      <c r="B39" s="65" t="s">
        <v>826</v>
      </c>
      <c r="C39" s="66" t="s">
        <v>4651</v>
      </c>
      <c r="D39" s="67">
        <v>3</v>
      </c>
      <c r="E39" s="68"/>
      <c r="F39" s="69">
        <v>40</v>
      </c>
      <c r="G39" s="66"/>
      <c r="H39" s="70"/>
      <c r="I39" s="71"/>
      <c r="J39" s="71"/>
      <c r="K39" s="35" t="s">
        <v>65</v>
      </c>
      <c r="L39" s="79">
        <v>39</v>
      </c>
      <c r="M39" s="79"/>
      <c r="N39" s="73"/>
      <c r="O39" s="81" t="s">
        <v>844</v>
      </c>
      <c r="P39" s="81" t="s">
        <v>199</v>
      </c>
      <c r="Q39" s="84" t="s">
        <v>882</v>
      </c>
      <c r="R39" s="81" t="s">
        <v>244</v>
      </c>
      <c r="S39" s="81" t="s">
        <v>1603</v>
      </c>
      <c r="T39" s="86" t="str">
        <f>HYPERLINK("http://www.youtube.com/channel/UCq0RNNBZe955RDZ807o4TFA")</f>
        <v>http://www.youtube.com/channel/UCq0RNNBZe955RDZ807o4TFA</v>
      </c>
      <c r="U39" s="81"/>
      <c r="V39" s="81" t="s">
        <v>2308</v>
      </c>
      <c r="W39" s="86" t="str">
        <f>HYPERLINK("https://www.youtube.com/watch?v=ggOqMncgemw")</f>
        <v>https://www.youtube.com/watch?v=ggOqMncgemw</v>
      </c>
      <c r="X39" s="81" t="s">
        <v>2349</v>
      </c>
      <c r="Y39" s="81">
        <v>1</v>
      </c>
      <c r="Z39" s="88">
        <v>44011.71157407408</v>
      </c>
      <c r="AA39" s="88">
        <v>44011.71157407408</v>
      </c>
      <c r="AB39" s="81"/>
      <c r="AC39" s="81"/>
      <c r="AD39" s="84" t="s">
        <v>2390</v>
      </c>
      <c r="AE39" s="82">
        <v>1</v>
      </c>
      <c r="AF39" s="83" t="str">
        <f>REPLACE(INDEX(GroupVertices[Group],MATCH(Edges[[#This Row],[Vertex 1]],GroupVertices[Vertex],0)),1,1,"")</f>
        <v>6</v>
      </c>
      <c r="AG39" s="83" t="str">
        <f>REPLACE(INDEX(GroupVertices[Group],MATCH(Edges[[#This Row],[Vertex 2]],GroupVertices[Vertex],0)),1,1,"")</f>
        <v>6</v>
      </c>
      <c r="AH39" s="111">
        <v>0</v>
      </c>
      <c r="AI39" s="112">
        <v>0</v>
      </c>
      <c r="AJ39" s="111">
        <v>0</v>
      </c>
      <c r="AK39" s="112">
        <v>0</v>
      </c>
      <c r="AL39" s="111">
        <v>0</v>
      </c>
      <c r="AM39" s="112">
        <v>0</v>
      </c>
      <c r="AN39" s="111">
        <v>2</v>
      </c>
      <c r="AO39" s="112">
        <v>100</v>
      </c>
      <c r="AP39" s="111">
        <v>2</v>
      </c>
    </row>
    <row r="40" spans="1:42" ht="15">
      <c r="A40" s="65" t="s">
        <v>245</v>
      </c>
      <c r="B40" s="65" t="s">
        <v>246</v>
      </c>
      <c r="C40" s="66" t="s">
        <v>4651</v>
      </c>
      <c r="D40" s="67">
        <v>3</v>
      </c>
      <c r="E40" s="68"/>
      <c r="F40" s="69">
        <v>40</v>
      </c>
      <c r="G40" s="66"/>
      <c r="H40" s="70"/>
      <c r="I40" s="71"/>
      <c r="J40" s="71"/>
      <c r="K40" s="35" t="s">
        <v>65</v>
      </c>
      <c r="L40" s="79">
        <v>40</v>
      </c>
      <c r="M40" s="79"/>
      <c r="N40" s="73"/>
      <c r="O40" s="81" t="s">
        <v>845</v>
      </c>
      <c r="P40" s="81" t="s">
        <v>847</v>
      </c>
      <c r="Q40" s="84" t="s">
        <v>883</v>
      </c>
      <c r="R40" s="81" t="s">
        <v>245</v>
      </c>
      <c r="S40" s="81" t="s">
        <v>1604</v>
      </c>
      <c r="T40" s="86" t="str">
        <f>HYPERLINK("http://www.youtube.com/channel/UCo-OrwyKkRJYqX44Ep2s9Tg")</f>
        <v>http://www.youtube.com/channel/UCo-OrwyKkRJYqX44Ep2s9Tg</v>
      </c>
      <c r="U40" s="81" t="s">
        <v>2187</v>
      </c>
      <c r="V40" s="81" t="s">
        <v>2308</v>
      </c>
      <c r="W40" s="86" t="str">
        <f>HYPERLINK("https://www.youtube.com/watch?v=ggOqMncgemw")</f>
        <v>https://www.youtube.com/watch?v=ggOqMncgemw</v>
      </c>
      <c r="X40" s="81" t="s">
        <v>2349</v>
      </c>
      <c r="Y40" s="81">
        <v>1</v>
      </c>
      <c r="Z40" s="88">
        <v>44199.41633101852</v>
      </c>
      <c r="AA40" s="88">
        <v>44199.41633101852</v>
      </c>
      <c r="AB40" s="81"/>
      <c r="AC40" s="81"/>
      <c r="AD40" s="84" t="s">
        <v>2390</v>
      </c>
      <c r="AE40" s="82">
        <v>1</v>
      </c>
      <c r="AF40" s="83" t="str">
        <f>REPLACE(INDEX(GroupVertices[Group],MATCH(Edges[[#This Row],[Vertex 1]],GroupVertices[Vertex],0)),1,1,"")</f>
        <v>6</v>
      </c>
      <c r="AG40" s="83" t="str">
        <f>REPLACE(INDEX(GroupVertices[Group],MATCH(Edges[[#This Row],[Vertex 2]],GroupVertices[Vertex],0)),1,1,"")</f>
        <v>6</v>
      </c>
      <c r="AH40" s="111">
        <v>0</v>
      </c>
      <c r="AI40" s="112">
        <v>0</v>
      </c>
      <c r="AJ40" s="111">
        <v>0</v>
      </c>
      <c r="AK40" s="112">
        <v>0</v>
      </c>
      <c r="AL40" s="111">
        <v>0</v>
      </c>
      <c r="AM40" s="112">
        <v>0</v>
      </c>
      <c r="AN40" s="111">
        <v>7</v>
      </c>
      <c r="AO40" s="112">
        <v>100</v>
      </c>
      <c r="AP40" s="111">
        <v>7</v>
      </c>
    </row>
    <row r="41" spans="1:42" ht="15">
      <c r="A41" s="65" t="s">
        <v>246</v>
      </c>
      <c r="B41" s="65" t="s">
        <v>826</v>
      </c>
      <c r="C41" s="66" t="s">
        <v>4651</v>
      </c>
      <c r="D41" s="67">
        <v>3</v>
      </c>
      <c r="E41" s="68"/>
      <c r="F41" s="69">
        <v>40</v>
      </c>
      <c r="G41" s="66"/>
      <c r="H41" s="70"/>
      <c r="I41" s="71"/>
      <c r="J41" s="71"/>
      <c r="K41" s="35" t="s">
        <v>65</v>
      </c>
      <c r="L41" s="79">
        <v>41</v>
      </c>
      <c r="M41" s="79"/>
      <c r="N41" s="73"/>
      <c r="O41" s="81" t="s">
        <v>844</v>
      </c>
      <c r="P41" s="81" t="s">
        <v>199</v>
      </c>
      <c r="Q41" s="84" t="s">
        <v>884</v>
      </c>
      <c r="R41" s="81" t="s">
        <v>246</v>
      </c>
      <c r="S41" s="81" t="s">
        <v>1605</v>
      </c>
      <c r="T41" s="86" t="str">
        <f>HYPERLINK("http://www.youtube.com/channel/UC-vqDFZg2NHjXoMUPH8RM0g")</f>
        <v>http://www.youtube.com/channel/UC-vqDFZg2NHjXoMUPH8RM0g</v>
      </c>
      <c r="U41" s="81"/>
      <c r="V41" s="81" t="s">
        <v>2308</v>
      </c>
      <c r="W41" s="86" t="str">
        <f>HYPERLINK("https://www.youtube.com/watch?v=ggOqMncgemw")</f>
        <v>https://www.youtube.com/watch?v=ggOqMncgemw</v>
      </c>
      <c r="X41" s="81" t="s">
        <v>2349</v>
      </c>
      <c r="Y41" s="81">
        <v>1</v>
      </c>
      <c r="Z41" s="88">
        <v>44032.33863425926</v>
      </c>
      <c r="AA41" s="88">
        <v>44032.33863425926</v>
      </c>
      <c r="AB41" s="81"/>
      <c r="AC41" s="81"/>
      <c r="AD41" s="84" t="s">
        <v>2390</v>
      </c>
      <c r="AE41" s="82">
        <v>1</v>
      </c>
      <c r="AF41" s="83" t="str">
        <f>REPLACE(INDEX(GroupVertices[Group],MATCH(Edges[[#This Row],[Vertex 1]],GroupVertices[Vertex],0)),1,1,"")</f>
        <v>6</v>
      </c>
      <c r="AG41" s="83" t="str">
        <f>REPLACE(INDEX(GroupVertices[Group],MATCH(Edges[[#This Row],[Vertex 2]],GroupVertices[Vertex],0)),1,1,"")</f>
        <v>6</v>
      </c>
      <c r="AH41" s="111">
        <v>0</v>
      </c>
      <c r="AI41" s="112">
        <v>0</v>
      </c>
      <c r="AJ41" s="111">
        <v>0</v>
      </c>
      <c r="AK41" s="112">
        <v>0</v>
      </c>
      <c r="AL41" s="111">
        <v>0</v>
      </c>
      <c r="AM41" s="112">
        <v>0</v>
      </c>
      <c r="AN41" s="111">
        <v>15</v>
      </c>
      <c r="AO41" s="112">
        <v>100</v>
      </c>
      <c r="AP41" s="111">
        <v>15</v>
      </c>
    </row>
    <row r="42" spans="1:42" ht="15">
      <c r="A42" s="65" t="s">
        <v>247</v>
      </c>
      <c r="B42" s="65" t="s">
        <v>826</v>
      </c>
      <c r="C42" s="66" t="s">
        <v>4651</v>
      </c>
      <c r="D42" s="67">
        <v>3</v>
      </c>
      <c r="E42" s="68"/>
      <c r="F42" s="69">
        <v>40</v>
      </c>
      <c r="G42" s="66"/>
      <c r="H42" s="70"/>
      <c r="I42" s="71"/>
      <c r="J42" s="71"/>
      <c r="K42" s="35" t="s">
        <v>65</v>
      </c>
      <c r="L42" s="79">
        <v>42</v>
      </c>
      <c r="M42" s="79"/>
      <c r="N42" s="73"/>
      <c r="O42" s="81" t="s">
        <v>844</v>
      </c>
      <c r="P42" s="81" t="s">
        <v>199</v>
      </c>
      <c r="Q42" s="84" t="s">
        <v>885</v>
      </c>
      <c r="R42" s="81" t="s">
        <v>247</v>
      </c>
      <c r="S42" s="81" t="s">
        <v>1606</v>
      </c>
      <c r="T42" s="86" t="str">
        <f>HYPERLINK("http://www.youtube.com/channel/UC5hQmzesQ1Fv6y9dtc3cR2Q")</f>
        <v>http://www.youtube.com/channel/UC5hQmzesQ1Fv6y9dtc3cR2Q</v>
      </c>
      <c r="U42" s="81"/>
      <c r="V42" s="81" t="s">
        <v>2308</v>
      </c>
      <c r="W42" s="86" t="str">
        <f>HYPERLINK("https://www.youtube.com/watch?v=ggOqMncgemw")</f>
        <v>https://www.youtube.com/watch?v=ggOqMncgemw</v>
      </c>
      <c r="X42" s="81" t="s">
        <v>2349</v>
      </c>
      <c r="Y42" s="81">
        <v>0</v>
      </c>
      <c r="Z42" s="88">
        <v>44035.63690972222</v>
      </c>
      <c r="AA42" s="88">
        <v>44035.63690972222</v>
      </c>
      <c r="AB42" s="81"/>
      <c r="AC42" s="81"/>
      <c r="AD42" s="84" t="s">
        <v>2390</v>
      </c>
      <c r="AE42" s="82">
        <v>1</v>
      </c>
      <c r="AF42" s="83" t="str">
        <f>REPLACE(INDEX(GroupVertices[Group],MATCH(Edges[[#This Row],[Vertex 1]],GroupVertices[Vertex],0)),1,1,"")</f>
        <v>6</v>
      </c>
      <c r="AG42" s="83" t="str">
        <f>REPLACE(INDEX(GroupVertices[Group],MATCH(Edges[[#This Row],[Vertex 2]],GroupVertices[Vertex],0)),1,1,"")</f>
        <v>6</v>
      </c>
      <c r="AH42" s="111">
        <v>0</v>
      </c>
      <c r="AI42" s="112">
        <v>0</v>
      </c>
      <c r="AJ42" s="111">
        <v>0</v>
      </c>
      <c r="AK42" s="112">
        <v>0</v>
      </c>
      <c r="AL42" s="111">
        <v>0</v>
      </c>
      <c r="AM42" s="112">
        <v>0</v>
      </c>
      <c r="AN42" s="111">
        <v>23</v>
      </c>
      <c r="AO42" s="112">
        <v>100</v>
      </c>
      <c r="AP42" s="111">
        <v>23</v>
      </c>
    </row>
    <row r="43" spans="1:42" ht="15">
      <c r="A43" s="65" t="s">
        <v>248</v>
      </c>
      <c r="B43" s="65" t="s">
        <v>826</v>
      </c>
      <c r="C43" s="66" t="s">
        <v>4651</v>
      </c>
      <c r="D43" s="67">
        <v>3</v>
      </c>
      <c r="E43" s="68"/>
      <c r="F43" s="69">
        <v>40</v>
      </c>
      <c r="G43" s="66"/>
      <c r="H43" s="70"/>
      <c r="I43" s="71"/>
      <c r="J43" s="71"/>
      <c r="K43" s="35" t="s">
        <v>65</v>
      </c>
      <c r="L43" s="79">
        <v>43</v>
      </c>
      <c r="M43" s="79"/>
      <c r="N43" s="73"/>
      <c r="O43" s="81" t="s">
        <v>844</v>
      </c>
      <c r="P43" s="81" t="s">
        <v>199</v>
      </c>
      <c r="Q43" s="84" t="s">
        <v>886</v>
      </c>
      <c r="R43" s="81" t="s">
        <v>248</v>
      </c>
      <c r="S43" s="81" t="s">
        <v>1607</v>
      </c>
      <c r="T43" s="86" t="str">
        <f>HYPERLINK("http://www.youtube.com/channel/UC7mSYrGLJ10bGDewX51CMNQ")</f>
        <v>http://www.youtube.com/channel/UC7mSYrGLJ10bGDewX51CMNQ</v>
      </c>
      <c r="U43" s="81"/>
      <c r="V43" s="81" t="s">
        <v>2308</v>
      </c>
      <c r="W43" s="86" t="str">
        <f>HYPERLINK("https://www.youtube.com/watch?v=ggOqMncgemw")</f>
        <v>https://www.youtube.com/watch?v=ggOqMncgemw</v>
      </c>
      <c r="X43" s="81" t="s">
        <v>2349</v>
      </c>
      <c r="Y43" s="81">
        <v>1</v>
      </c>
      <c r="Z43" s="88">
        <v>44055.78965277778</v>
      </c>
      <c r="AA43" s="88">
        <v>44055.78965277778</v>
      </c>
      <c r="AB43" s="81"/>
      <c r="AC43" s="81"/>
      <c r="AD43" s="84" t="s">
        <v>2390</v>
      </c>
      <c r="AE43" s="82">
        <v>1</v>
      </c>
      <c r="AF43" s="83" t="str">
        <f>REPLACE(INDEX(GroupVertices[Group],MATCH(Edges[[#This Row],[Vertex 1]],GroupVertices[Vertex],0)),1,1,"")</f>
        <v>6</v>
      </c>
      <c r="AG43" s="83" t="str">
        <f>REPLACE(INDEX(GroupVertices[Group],MATCH(Edges[[#This Row],[Vertex 2]],GroupVertices[Vertex],0)),1,1,"")</f>
        <v>6</v>
      </c>
      <c r="AH43" s="111">
        <v>0</v>
      </c>
      <c r="AI43" s="112">
        <v>0</v>
      </c>
      <c r="AJ43" s="111">
        <v>0</v>
      </c>
      <c r="AK43" s="112">
        <v>0</v>
      </c>
      <c r="AL43" s="111">
        <v>0</v>
      </c>
      <c r="AM43" s="112">
        <v>0</v>
      </c>
      <c r="AN43" s="111">
        <v>7</v>
      </c>
      <c r="AO43" s="112">
        <v>100</v>
      </c>
      <c r="AP43" s="111">
        <v>7</v>
      </c>
    </row>
    <row r="44" spans="1:42" ht="15">
      <c r="A44" s="65" t="s">
        <v>249</v>
      </c>
      <c r="B44" s="65" t="s">
        <v>826</v>
      </c>
      <c r="C44" s="66" t="s">
        <v>4651</v>
      </c>
      <c r="D44" s="67">
        <v>3</v>
      </c>
      <c r="E44" s="68"/>
      <c r="F44" s="69">
        <v>40</v>
      </c>
      <c r="G44" s="66"/>
      <c r="H44" s="70"/>
      <c r="I44" s="71"/>
      <c r="J44" s="71"/>
      <c r="K44" s="35" t="s">
        <v>65</v>
      </c>
      <c r="L44" s="79">
        <v>44</v>
      </c>
      <c r="M44" s="79"/>
      <c r="N44" s="73"/>
      <c r="O44" s="81" t="s">
        <v>844</v>
      </c>
      <c r="P44" s="81" t="s">
        <v>199</v>
      </c>
      <c r="Q44" s="84" t="s">
        <v>887</v>
      </c>
      <c r="R44" s="81" t="s">
        <v>249</v>
      </c>
      <c r="S44" s="81" t="s">
        <v>1608</v>
      </c>
      <c r="T44" s="86" t="str">
        <f>HYPERLINK("http://www.youtube.com/channel/UCV9zUot2FXwMhXpf_mCXfLA")</f>
        <v>http://www.youtube.com/channel/UCV9zUot2FXwMhXpf_mCXfLA</v>
      </c>
      <c r="U44" s="81"/>
      <c r="V44" s="81" t="s">
        <v>2308</v>
      </c>
      <c r="W44" s="86" t="str">
        <f>HYPERLINK("https://www.youtube.com/watch?v=ggOqMncgemw")</f>
        <v>https://www.youtube.com/watch?v=ggOqMncgemw</v>
      </c>
      <c r="X44" s="81" t="s">
        <v>2349</v>
      </c>
      <c r="Y44" s="81">
        <v>1</v>
      </c>
      <c r="Z44" s="88">
        <v>44062.30075231481</v>
      </c>
      <c r="AA44" s="88">
        <v>44062.30075231481</v>
      </c>
      <c r="AB44" s="81"/>
      <c r="AC44" s="81"/>
      <c r="AD44" s="84" t="s">
        <v>2390</v>
      </c>
      <c r="AE44" s="82">
        <v>1</v>
      </c>
      <c r="AF44" s="83" t="str">
        <f>REPLACE(INDEX(GroupVertices[Group],MATCH(Edges[[#This Row],[Vertex 1]],GroupVertices[Vertex],0)),1,1,"")</f>
        <v>6</v>
      </c>
      <c r="AG44" s="83" t="str">
        <f>REPLACE(INDEX(GroupVertices[Group],MATCH(Edges[[#This Row],[Vertex 2]],GroupVertices[Vertex],0)),1,1,"")</f>
        <v>6</v>
      </c>
      <c r="AH44" s="111">
        <v>0</v>
      </c>
      <c r="AI44" s="112">
        <v>0</v>
      </c>
      <c r="AJ44" s="111">
        <v>1</v>
      </c>
      <c r="AK44" s="112">
        <v>10</v>
      </c>
      <c r="AL44" s="111">
        <v>0</v>
      </c>
      <c r="AM44" s="112">
        <v>0</v>
      </c>
      <c r="AN44" s="111">
        <v>9</v>
      </c>
      <c r="AO44" s="112">
        <v>90</v>
      </c>
      <c r="AP44" s="111">
        <v>10</v>
      </c>
    </row>
    <row r="45" spans="1:42" ht="15">
      <c r="A45" s="65" t="s">
        <v>250</v>
      </c>
      <c r="B45" s="65" t="s">
        <v>251</v>
      </c>
      <c r="C45" s="66" t="s">
        <v>4651</v>
      </c>
      <c r="D45" s="67">
        <v>3</v>
      </c>
      <c r="E45" s="68"/>
      <c r="F45" s="69">
        <v>40</v>
      </c>
      <c r="G45" s="66"/>
      <c r="H45" s="70"/>
      <c r="I45" s="71"/>
      <c r="J45" s="71"/>
      <c r="K45" s="35" t="s">
        <v>65</v>
      </c>
      <c r="L45" s="79">
        <v>45</v>
      </c>
      <c r="M45" s="79"/>
      <c r="N45" s="73"/>
      <c r="O45" s="81" t="s">
        <v>845</v>
      </c>
      <c r="P45" s="81" t="s">
        <v>847</v>
      </c>
      <c r="Q45" s="84" t="s">
        <v>888</v>
      </c>
      <c r="R45" s="81" t="s">
        <v>250</v>
      </c>
      <c r="S45" s="81" t="s">
        <v>1609</v>
      </c>
      <c r="T45" s="86" t="str">
        <f>HYPERLINK("http://www.youtube.com/channel/UCrKVp1JUCrPxeErnkBi_gwg")</f>
        <v>http://www.youtube.com/channel/UCrKVp1JUCrPxeErnkBi_gwg</v>
      </c>
      <c r="U45" s="81" t="s">
        <v>2188</v>
      </c>
      <c r="V45" s="81" t="s">
        <v>2308</v>
      </c>
      <c r="W45" s="86" t="str">
        <f>HYPERLINK("https://www.youtube.com/watch?v=ggOqMncgemw")</f>
        <v>https://www.youtube.com/watch?v=ggOqMncgemw</v>
      </c>
      <c r="X45" s="81" t="s">
        <v>2349</v>
      </c>
      <c r="Y45" s="81">
        <v>0</v>
      </c>
      <c r="Z45" s="88">
        <v>44339.513136574074</v>
      </c>
      <c r="AA45" s="88">
        <v>44339.513136574074</v>
      </c>
      <c r="AB45" s="81"/>
      <c r="AC45" s="81"/>
      <c r="AD45" s="84" t="s">
        <v>2390</v>
      </c>
      <c r="AE45" s="82">
        <v>1</v>
      </c>
      <c r="AF45" s="83" t="str">
        <f>REPLACE(INDEX(GroupVertices[Group],MATCH(Edges[[#This Row],[Vertex 1]],GroupVertices[Vertex],0)),1,1,"")</f>
        <v>6</v>
      </c>
      <c r="AG45" s="83" t="str">
        <f>REPLACE(INDEX(GroupVertices[Group],MATCH(Edges[[#This Row],[Vertex 2]],GroupVertices[Vertex],0)),1,1,"")</f>
        <v>6</v>
      </c>
      <c r="AH45" s="111">
        <v>0</v>
      </c>
      <c r="AI45" s="112">
        <v>0</v>
      </c>
      <c r="AJ45" s="111">
        <v>0</v>
      </c>
      <c r="AK45" s="112">
        <v>0</v>
      </c>
      <c r="AL45" s="111">
        <v>0</v>
      </c>
      <c r="AM45" s="112">
        <v>0</v>
      </c>
      <c r="AN45" s="111">
        <v>1</v>
      </c>
      <c r="AO45" s="112">
        <v>100</v>
      </c>
      <c r="AP45" s="111">
        <v>1</v>
      </c>
    </row>
    <row r="46" spans="1:42" ht="15">
      <c r="A46" s="65" t="s">
        <v>251</v>
      </c>
      <c r="B46" s="65" t="s">
        <v>826</v>
      </c>
      <c r="C46" s="66" t="s">
        <v>4651</v>
      </c>
      <c r="D46" s="67">
        <v>3</v>
      </c>
      <c r="E46" s="68"/>
      <c r="F46" s="69">
        <v>40</v>
      </c>
      <c r="G46" s="66"/>
      <c r="H46" s="70"/>
      <c r="I46" s="71"/>
      <c r="J46" s="71"/>
      <c r="K46" s="35" t="s">
        <v>65</v>
      </c>
      <c r="L46" s="79">
        <v>46</v>
      </c>
      <c r="M46" s="79"/>
      <c r="N46" s="73"/>
      <c r="O46" s="81" t="s">
        <v>844</v>
      </c>
      <c r="P46" s="81" t="s">
        <v>199</v>
      </c>
      <c r="Q46" s="84" t="s">
        <v>889</v>
      </c>
      <c r="R46" s="81" t="s">
        <v>251</v>
      </c>
      <c r="S46" s="81" t="s">
        <v>1610</v>
      </c>
      <c r="T46" s="86" t="str">
        <f>HYPERLINK("http://www.youtube.com/channel/UCEnMPIukh-2_fr6WKr-uIEQ")</f>
        <v>http://www.youtube.com/channel/UCEnMPIukh-2_fr6WKr-uIEQ</v>
      </c>
      <c r="U46" s="81"/>
      <c r="V46" s="81" t="s">
        <v>2308</v>
      </c>
      <c r="W46" s="86" t="str">
        <f>HYPERLINK("https://www.youtube.com/watch?v=ggOqMncgemw")</f>
        <v>https://www.youtube.com/watch?v=ggOqMncgemw</v>
      </c>
      <c r="X46" s="81" t="s">
        <v>2349</v>
      </c>
      <c r="Y46" s="81">
        <v>7</v>
      </c>
      <c r="Z46" s="88">
        <v>44063.05540509259</v>
      </c>
      <c r="AA46" s="88">
        <v>44063.05579861111</v>
      </c>
      <c r="AB46" s="81" t="s">
        <v>2351</v>
      </c>
      <c r="AC46" s="81" t="s">
        <v>2379</v>
      </c>
      <c r="AD46" s="84" t="s">
        <v>2390</v>
      </c>
      <c r="AE46" s="82">
        <v>1</v>
      </c>
      <c r="AF46" s="83" t="str">
        <f>REPLACE(INDEX(GroupVertices[Group],MATCH(Edges[[#This Row],[Vertex 1]],GroupVertices[Vertex],0)),1,1,"")</f>
        <v>6</v>
      </c>
      <c r="AG46" s="83" t="str">
        <f>REPLACE(INDEX(GroupVertices[Group],MATCH(Edges[[#This Row],[Vertex 2]],GroupVertices[Vertex],0)),1,1,"")</f>
        <v>6</v>
      </c>
      <c r="AH46" s="111">
        <v>0</v>
      </c>
      <c r="AI46" s="112">
        <v>0</v>
      </c>
      <c r="AJ46" s="111">
        <v>0</v>
      </c>
      <c r="AK46" s="112">
        <v>0</v>
      </c>
      <c r="AL46" s="111">
        <v>0</v>
      </c>
      <c r="AM46" s="112">
        <v>0</v>
      </c>
      <c r="AN46" s="111">
        <v>17</v>
      </c>
      <c r="AO46" s="112">
        <v>100</v>
      </c>
      <c r="AP46" s="111">
        <v>17</v>
      </c>
    </row>
    <row r="47" spans="1:42" ht="15">
      <c r="A47" s="65" t="s">
        <v>252</v>
      </c>
      <c r="B47" s="65" t="s">
        <v>826</v>
      </c>
      <c r="C47" s="66" t="s">
        <v>4651</v>
      </c>
      <c r="D47" s="67">
        <v>3</v>
      </c>
      <c r="E47" s="68"/>
      <c r="F47" s="69">
        <v>40</v>
      </c>
      <c r="G47" s="66"/>
      <c r="H47" s="70"/>
      <c r="I47" s="71"/>
      <c r="J47" s="71"/>
      <c r="K47" s="35" t="s">
        <v>65</v>
      </c>
      <c r="L47" s="79">
        <v>47</v>
      </c>
      <c r="M47" s="79"/>
      <c r="N47" s="73"/>
      <c r="O47" s="81" t="s">
        <v>844</v>
      </c>
      <c r="P47" s="81" t="s">
        <v>199</v>
      </c>
      <c r="Q47" s="84" t="s">
        <v>890</v>
      </c>
      <c r="R47" s="81" t="s">
        <v>252</v>
      </c>
      <c r="S47" s="81" t="s">
        <v>1611</v>
      </c>
      <c r="T47" s="86" t="str">
        <f>HYPERLINK("http://www.youtube.com/channel/UCzE45SQ5TZPTsrUDeAO3-uA")</f>
        <v>http://www.youtube.com/channel/UCzE45SQ5TZPTsrUDeAO3-uA</v>
      </c>
      <c r="U47" s="81"/>
      <c r="V47" s="81" t="s">
        <v>2308</v>
      </c>
      <c r="W47" s="86" t="str">
        <f>HYPERLINK("https://www.youtube.com/watch?v=ggOqMncgemw")</f>
        <v>https://www.youtube.com/watch?v=ggOqMncgemw</v>
      </c>
      <c r="X47" s="81" t="s">
        <v>2349</v>
      </c>
      <c r="Y47" s="81">
        <v>0</v>
      </c>
      <c r="Z47" s="88">
        <v>44085.925520833334</v>
      </c>
      <c r="AA47" s="88">
        <v>44085.925520833334</v>
      </c>
      <c r="AB47" s="81"/>
      <c r="AC47" s="81"/>
      <c r="AD47" s="84" t="s">
        <v>2390</v>
      </c>
      <c r="AE47" s="82">
        <v>1</v>
      </c>
      <c r="AF47" s="83" t="str">
        <f>REPLACE(INDEX(GroupVertices[Group],MATCH(Edges[[#This Row],[Vertex 1]],GroupVertices[Vertex],0)),1,1,"")</f>
        <v>6</v>
      </c>
      <c r="AG47" s="83" t="str">
        <f>REPLACE(INDEX(GroupVertices[Group],MATCH(Edges[[#This Row],[Vertex 2]],GroupVertices[Vertex],0)),1,1,"")</f>
        <v>6</v>
      </c>
      <c r="AH47" s="111">
        <v>1</v>
      </c>
      <c r="AI47" s="112">
        <v>4.166666666666667</v>
      </c>
      <c r="AJ47" s="111">
        <v>1</v>
      </c>
      <c r="AK47" s="112">
        <v>4.166666666666667</v>
      </c>
      <c r="AL47" s="111">
        <v>0</v>
      </c>
      <c r="AM47" s="112">
        <v>0</v>
      </c>
      <c r="AN47" s="111">
        <v>22</v>
      </c>
      <c r="AO47" s="112">
        <v>91.66666666666667</v>
      </c>
      <c r="AP47" s="111">
        <v>24</v>
      </c>
    </row>
    <row r="48" spans="1:42" ht="15">
      <c r="A48" s="65" t="s">
        <v>253</v>
      </c>
      <c r="B48" s="65" t="s">
        <v>826</v>
      </c>
      <c r="C48" s="66" t="s">
        <v>4651</v>
      </c>
      <c r="D48" s="67">
        <v>3</v>
      </c>
      <c r="E48" s="68"/>
      <c r="F48" s="69">
        <v>40</v>
      </c>
      <c r="G48" s="66"/>
      <c r="H48" s="70"/>
      <c r="I48" s="71"/>
      <c r="J48" s="71"/>
      <c r="K48" s="35" t="s">
        <v>65</v>
      </c>
      <c r="L48" s="79">
        <v>48</v>
      </c>
      <c r="M48" s="79"/>
      <c r="N48" s="73"/>
      <c r="O48" s="81" t="s">
        <v>844</v>
      </c>
      <c r="P48" s="81" t="s">
        <v>199</v>
      </c>
      <c r="Q48" s="84" t="s">
        <v>891</v>
      </c>
      <c r="R48" s="81" t="s">
        <v>253</v>
      </c>
      <c r="S48" s="81" t="s">
        <v>1612</v>
      </c>
      <c r="T48" s="86" t="str">
        <f>HYPERLINK("http://www.youtube.com/channel/UC5W6WNCv9bCcVuPxP9Pi5eA")</f>
        <v>http://www.youtube.com/channel/UC5W6WNCv9bCcVuPxP9Pi5eA</v>
      </c>
      <c r="U48" s="81"/>
      <c r="V48" s="81" t="s">
        <v>2308</v>
      </c>
      <c r="W48" s="86" t="str">
        <f>HYPERLINK("https://www.youtube.com/watch?v=ggOqMncgemw")</f>
        <v>https://www.youtube.com/watch?v=ggOqMncgemw</v>
      </c>
      <c r="X48" s="81" t="s">
        <v>2349</v>
      </c>
      <c r="Y48" s="81">
        <v>1</v>
      </c>
      <c r="Z48" s="88">
        <v>44112.355208333334</v>
      </c>
      <c r="AA48" s="88">
        <v>44112.355208333334</v>
      </c>
      <c r="AB48" s="81"/>
      <c r="AC48" s="81"/>
      <c r="AD48" s="84" t="s">
        <v>2390</v>
      </c>
      <c r="AE48" s="82">
        <v>1</v>
      </c>
      <c r="AF48" s="83" t="str">
        <f>REPLACE(INDEX(GroupVertices[Group],MATCH(Edges[[#This Row],[Vertex 1]],GroupVertices[Vertex],0)),1,1,"")</f>
        <v>6</v>
      </c>
      <c r="AG48" s="83" t="str">
        <f>REPLACE(INDEX(GroupVertices[Group],MATCH(Edges[[#This Row],[Vertex 2]],GroupVertices[Vertex],0)),1,1,"")</f>
        <v>6</v>
      </c>
      <c r="AH48" s="111">
        <v>1</v>
      </c>
      <c r="AI48" s="112">
        <v>50</v>
      </c>
      <c r="AJ48" s="111">
        <v>0</v>
      </c>
      <c r="AK48" s="112">
        <v>0</v>
      </c>
      <c r="AL48" s="111">
        <v>0</v>
      </c>
      <c r="AM48" s="112">
        <v>0</v>
      </c>
      <c r="AN48" s="111">
        <v>1</v>
      </c>
      <c r="AO48" s="112">
        <v>50</v>
      </c>
      <c r="AP48" s="111">
        <v>2</v>
      </c>
    </row>
    <row r="49" spans="1:42" ht="15">
      <c r="A49" s="65" t="s">
        <v>254</v>
      </c>
      <c r="B49" s="65" t="s">
        <v>826</v>
      </c>
      <c r="C49" s="66" t="s">
        <v>4651</v>
      </c>
      <c r="D49" s="67">
        <v>3</v>
      </c>
      <c r="E49" s="68"/>
      <c r="F49" s="69">
        <v>40</v>
      </c>
      <c r="G49" s="66"/>
      <c r="H49" s="70"/>
      <c r="I49" s="71"/>
      <c r="J49" s="71"/>
      <c r="K49" s="35" t="s">
        <v>65</v>
      </c>
      <c r="L49" s="79">
        <v>49</v>
      </c>
      <c r="M49" s="79"/>
      <c r="N49" s="73"/>
      <c r="O49" s="81" t="s">
        <v>844</v>
      </c>
      <c r="P49" s="81" t="s">
        <v>199</v>
      </c>
      <c r="Q49" s="84" t="s">
        <v>892</v>
      </c>
      <c r="R49" s="81" t="s">
        <v>254</v>
      </c>
      <c r="S49" s="81" t="s">
        <v>1613</v>
      </c>
      <c r="T49" s="86" t="str">
        <f>HYPERLINK("http://www.youtube.com/channel/UCT4BT7IzxI6WhH6ga32D0AA")</f>
        <v>http://www.youtube.com/channel/UCT4BT7IzxI6WhH6ga32D0AA</v>
      </c>
      <c r="U49" s="81"/>
      <c r="V49" s="81" t="s">
        <v>2308</v>
      </c>
      <c r="W49" s="86" t="str">
        <f>HYPERLINK("https://www.youtube.com/watch?v=ggOqMncgemw")</f>
        <v>https://www.youtube.com/watch?v=ggOqMncgemw</v>
      </c>
      <c r="X49" s="81" t="s">
        <v>2349</v>
      </c>
      <c r="Y49" s="81">
        <v>0</v>
      </c>
      <c r="Z49" s="88">
        <v>44146.32439814815</v>
      </c>
      <c r="AA49" s="88">
        <v>44146.32439814815</v>
      </c>
      <c r="AB49" s="81"/>
      <c r="AC49" s="81"/>
      <c r="AD49" s="84" t="s">
        <v>2390</v>
      </c>
      <c r="AE49" s="82">
        <v>1</v>
      </c>
      <c r="AF49" s="83" t="str">
        <f>REPLACE(INDEX(GroupVertices[Group],MATCH(Edges[[#This Row],[Vertex 1]],GroupVertices[Vertex],0)),1,1,"")</f>
        <v>6</v>
      </c>
      <c r="AG49" s="83" t="str">
        <f>REPLACE(INDEX(GroupVertices[Group],MATCH(Edges[[#This Row],[Vertex 2]],GroupVertices[Vertex],0)),1,1,"")</f>
        <v>6</v>
      </c>
      <c r="AH49" s="111">
        <v>0</v>
      </c>
      <c r="AI49" s="112">
        <v>0</v>
      </c>
      <c r="AJ49" s="111">
        <v>0</v>
      </c>
      <c r="AK49" s="112">
        <v>0</v>
      </c>
      <c r="AL49" s="111">
        <v>0</v>
      </c>
      <c r="AM49" s="112">
        <v>0</v>
      </c>
      <c r="AN49" s="111">
        <v>28</v>
      </c>
      <c r="AO49" s="112">
        <v>100</v>
      </c>
      <c r="AP49" s="111">
        <v>28</v>
      </c>
    </row>
    <row r="50" spans="1:42" ht="15">
      <c r="A50" s="65" t="s">
        <v>255</v>
      </c>
      <c r="B50" s="65" t="s">
        <v>826</v>
      </c>
      <c r="C50" s="66" t="s">
        <v>4651</v>
      </c>
      <c r="D50" s="67">
        <v>3</v>
      </c>
      <c r="E50" s="68"/>
      <c r="F50" s="69">
        <v>40</v>
      </c>
      <c r="G50" s="66"/>
      <c r="H50" s="70"/>
      <c r="I50" s="71"/>
      <c r="J50" s="71"/>
      <c r="K50" s="35" t="s">
        <v>65</v>
      </c>
      <c r="L50" s="79">
        <v>50</v>
      </c>
      <c r="M50" s="79"/>
      <c r="N50" s="73"/>
      <c r="O50" s="81" t="s">
        <v>844</v>
      </c>
      <c r="P50" s="81" t="s">
        <v>199</v>
      </c>
      <c r="Q50" s="84" t="s">
        <v>893</v>
      </c>
      <c r="R50" s="81" t="s">
        <v>255</v>
      </c>
      <c r="S50" s="81" t="s">
        <v>1614</v>
      </c>
      <c r="T50" s="86" t="str">
        <f>HYPERLINK("http://www.youtube.com/channel/UCXwH9WULW-ZTkmtuLdSNLiA")</f>
        <v>http://www.youtube.com/channel/UCXwH9WULW-ZTkmtuLdSNLiA</v>
      </c>
      <c r="U50" s="81"/>
      <c r="V50" s="81" t="s">
        <v>2308</v>
      </c>
      <c r="W50" s="86" t="str">
        <f>HYPERLINK("https://www.youtube.com/watch?v=ggOqMncgemw")</f>
        <v>https://www.youtube.com/watch?v=ggOqMncgemw</v>
      </c>
      <c r="X50" s="81" t="s">
        <v>2349</v>
      </c>
      <c r="Y50" s="81">
        <v>1</v>
      </c>
      <c r="Z50" s="88">
        <v>44189.71622685185</v>
      </c>
      <c r="AA50" s="88">
        <v>44189.71622685185</v>
      </c>
      <c r="AB50" s="81"/>
      <c r="AC50" s="81"/>
      <c r="AD50" s="84" t="s">
        <v>2390</v>
      </c>
      <c r="AE50" s="82">
        <v>1</v>
      </c>
      <c r="AF50" s="83" t="str">
        <f>REPLACE(INDEX(GroupVertices[Group],MATCH(Edges[[#This Row],[Vertex 1]],GroupVertices[Vertex],0)),1,1,"")</f>
        <v>6</v>
      </c>
      <c r="AG50" s="83" t="str">
        <f>REPLACE(INDEX(GroupVertices[Group],MATCH(Edges[[#This Row],[Vertex 2]],GroupVertices[Vertex],0)),1,1,"")</f>
        <v>6</v>
      </c>
      <c r="AH50" s="111">
        <v>1</v>
      </c>
      <c r="AI50" s="112">
        <v>50</v>
      </c>
      <c r="AJ50" s="111">
        <v>0</v>
      </c>
      <c r="AK50" s="112">
        <v>0</v>
      </c>
      <c r="AL50" s="111">
        <v>0</v>
      </c>
      <c r="AM50" s="112">
        <v>0</v>
      </c>
      <c r="AN50" s="111">
        <v>1</v>
      </c>
      <c r="AO50" s="112">
        <v>50</v>
      </c>
      <c r="AP50" s="111">
        <v>2</v>
      </c>
    </row>
    <row r="51" spans="1:42" ht="15">
      <c r="A51" s="65" t="s">
        <v>245</v>
      </c>
      <c r="B51" s="65" t="s">
        <v>826</v>
      </c>
      <c r="C51" s="66" t="s">
        <v>4651</v>
      </c>
      <c r="D51" s="67">
        <v>3</v>
      </c>
      <c r="E51" s="68"/>
      <c r="F51" s="69">
        <v>40</v>
      </c>
      <c r="G51" s="66"/>
      <c r="H51" s="70"/>
      <c r="I51" s="71"/>
      <c r="J51" s="71"/>
      <c r="K51" s="35" t="s">
        <v>65</v>
      </c>
      <c r="L51" s="79">
        <v>51</v>
      </c>
      <c r="M51" s="79"/>
      <c r="N51" s="73"/>
      <c r="O51" s="81" t="s">
        <v>844</v>
      </c>
      <c r="P51" s="81" t="s">
        <v>199</v>
      </c>
      <c r="Q51" s="84" t="s">
        <v>894</v>
      </c>
      <c r="R51" s="81" t="s">
        <v>245</v>
      </c>
      <c r="S51" s="81" t="s">
        <v>1604</v>
      </c>
      <c r="T51" s="86" t="str">
        <f>HYPERLINK("http://www.youtube.com/channel/UCo-OrwyKkRJYqX44Ep2s9Tg")</f>
        <v>http://www.youtube.com/channel/UCo-OrwyKkRJYqX44Ep2s9Tg</v>
      </c>
      <c r="U51" s="81"/>
      <c r="V51" s="81" t="s">
        <v>2308</v>
      </c>
      <c r="W51" s="86" t="str">
        <f>HYPERLINK("https://www.youtube.com/watch?v=ggOqMncgemw")</f>
        <v>https://www.youtube.com/watch?v=ggOqMncgemw</v>
      </c>
      <c r="X51" s="81" t="s">
        <v>2349</v>
      </c>
      <c r="Y51" s="81">
        <v>0</v>
      </c>
      <c r="Z51" s="88">
        <v>44199.419756944444</v>
      </c>
      <c r="AA51" s="88">
        <v>44199.419756944444</v>
      </c>
      <c r="AB51" s="81"/>
      <c r="AC51" s="81"/>
      <c r="AD51" s="84" t="s">
        <v>2390</v>
      </c>
      <c r="AE51" s="82">
        <v>1</v>
      </c>
      <c r="AF51" s="83" t="str">
        <f>REPLACE(INDEX(GroupVertices[Group],MATCH(Edges[[#This Row],[Vertex 1]],GroupVertices[Vertex],0)),1,1,"")</f>
        <v>6</v>
      </c>
      <c r="AG51" s="83" t="str">
        <f>REPLACE(INDEX(GroupVertices[Group],MATCH(Edges[[#This Row],[Vertex 2]],GroupVertices[Vertex],0)),1,1,"")</f>
        <v>6</v>
      </c>
      <c r="AH51" s="111">
        <v>1</v>
      </c>
      <c r="AI51" s="112">
        <v>7.142857142857143</v>
      </c>
      <c r="AJ51" s="111">
        <v>0</v>
      </c>
      <c r="AK51" s="112">
        <v>0</v>
      </c>
      <c r="AL51" s="111">
        <v>0</v>
      </c>
      <c r="AM51" s="112">
        <v>0</v>
      </c>
      <c r="AN51" s="111">
        <v>13</v>
      </c>
      <c r="AO51" s="112">
        <v>92.85714285714286</v>
      </c>
      <c r="AP51" s="111">
        <v>14</v>
      </c>
    </row>
    <row r="52" spans="1:42" ht="15">
      <c r="A52" s="65" t="s">
        <v>256</v>
      </c>
      <c r="B52" s="65" t="s">
        <v>826</v>
      </c>
      <c r="C52" s="66" t="s">
        <v>4651</v>
      </c>
      <c r="D52" s="67">
        <v>3</v>
      </c>
      <c r="E52" s="68"/>
      <c r="F52" s="69">
        <v>40</v>
      </c>
      <c r="G52" s="66"/>
      <c r="H52" s="70"/>
      <c r="I52" s="71"/>
      <c r="J52" s="71"/>
      <c r="K52" s="35" t="s">
        <v>65</v>
      </c>
      <c r="L52" s="79">
        <v>52</v>
      </c>
      <c r="M52" s="79"/>
      <c r="N52" s="73"/>
      <c r="O52" s="81" t="s">
        <v>844</v>
      </c>
      <c r="P52" s="81" t="s">
        <v>199</v>
      </c>
      <c r="Q52" s="84" t="s">
        <v>870</v>
      </c>
      <c r="R52" s="81" t="s">
        <v>256</v>
      </c>
      <c r="S52" s="81" t="s">
        <v>1615</v>
      </c>
      <c r="T52" s="86" t="str">
        <f>HYPERLINK("http://www.youtube.com/channel/UCUDSOXPIsHHXL-EEaCIDKBg")</f>
        <v>http://www.youtube.com/channel/UCUDSOXPIsHHXL-EEaCIDKBg</v>
      </c>
      <c r="U52" s="81"/>
      <c r="V52" s="81" t="s">
        <v>2308</v>
      </c>
      <c r="W52" s="86" t="str">
        <f>HYPERLINK("https://www.youtube.com/watch?v=ggOqMncgemw")</f>
        <v>https://www.youtube.com/watch?v=ggOqMncgemw</v>
      </c>
      <c r="X52" s="81" t="s">
        <v>2349</v>
      </c>
      <c r="Y52" s="81">
        <v>0</v>
      </c>
      <c r="Z52" s="88">
        <v>44216.23726851852</v>
      </c>
      <c r="AA52" s="88">
        <v>44216.23726851852</v>
      </c>
      <c r="AB52" s="81"/>
      <c r="AC52" s="81"/>
      <c r="AD52" s="84" t="s">
        <v>2390</v>
      </c>
      <c r="AE52" s="82">
        <v>1</v>
      </c>
      <c r="AF52" s="83" t="str">
        <f>REPLACE(INDEX(GroupVertices[Group],MATCH(Edges[[#This Row],[Vertex 1]],GroupVertices[Vertex],0)),1,1,"")</f>
        <v>6</v>
      </c>
      <c r="AG52" s="83" t="str">
        <f>REPLACE(INDEX(GroupVertices[Group],MATCH(Edges[[#This Row],[Vertex 2]],GroupVertices[Vertex],0)),1,1,"")</f>
        <v>6</v>
      </c>
      <c r="AH52" s="111">
        <v>1</v>
      </c>
      <c r="AI52" s="112">
        <v>100</v>
      </c>
      <c r="AJ52" s="111">
        <v>0</v>
      </c>
      <c r="AK52" s="112">
        <v>0</v>
      </c>
      <c r="AL52" s="111">
        <v>0</v>
      </c>
      <c r="AM52" s="112">
        <v>0</v>
      </c>
      <c r="AN52" s="111">
        <v>0</v>
      </c>
      <c r="AO52" s="112">
        <v>0</v>
      </c>
      <c r="AP52" s="111">
        <v>1</v>
      </c>
    </row>
    <row r="53" spans="1:42" ht="15">
      <c r="A53" s="65" t="s">
        <v>257</v>
      </c>
      <c r="B53" s="65" t="s">
        <v>826</v>
      </c>
      <c r="C53" s="66" t="s">
        <v>4651</v>
      </c>
      <c r="D53" s="67">
        <v>3</v>
      </c>
      <c r="E53" s="68"/>
      <c r="F53" s="69">
        <v>40</v>
      </c>
      <c r="G53" s="66"/>
      <c r="H53" s="70"/>
      <c r="I53" s="71"/>
      <c r="J53" s="71"/>
      <c r="K53" s="35" t="s">
        <v>65</v>
      </c>
      <c r="L53" s="79">
        <v>53</v>
      </c>
      <c r="M53" s="79"/>
      <c r="N53" s="73"/>
      <c r="O53" s="81" t="s">
        <v>844</v>
      </c>
      <c r="P53" s="81" t="s">
        <v>199</v>
      </c>
      <c r="Q53" s="84" t="s">
        <v>895</v>
      </c>
      <c r="R53" s="81" t="s">
        <v>257</v>
      </c>
      <c r="S53" s="81" t="s">
        <v>1616</v>
      </c>
      <c r="T53" s="86" t="str">
        <f>HYPERLINK("http://www.youtube.com/channel/UCAI-AnI40vDGPZubkywkEaQ")</f>
        <v>http://www.youtube.com/channel/UCAI-AnI40vDGPZubkywkEaQ</v>
      </c>
      <c r="U53" s="81"/>
      <c r="V53" s="81" t="s">
        <v>2308</v>
      </c>
      <c r="W53" s="86" t="str">
        <f>HYPERLINK("https://www.youtube.com/watch?v=ggOqMncgemw")</f>
        <v>https://www.youtube.com/watch?v=ggOqMncgemw</v>
      </c>
      <c r="X53" s="81" t="s">
        <v>2349</v>
      </c>
      <c r="Y53" s="81">
        <v>1</v>
      </c>
      <c r="Z53" s="88">
        <v>44225.73931712963</v>
      </c>
      <c r="AA53" s="88">
        <v>44225.74019675926</v>
      </c>
      <c r="AB53" s="81"/>
      <c r="AC53" s="81"/>
      <c r="AD53" s="84" t="s">
        <v>2390</v>
      </c>
      <c r="AE53" s="82">
        <v>1</v>
      </c>
      <c r="AF53" s="83" t="str">
        <f>REPLACE(INDEX(GroupVertices[Group],MATCH(Edges[[#This Row],[Vertex 1]],GroupVertices[Vertex],0)),1,1,"")</f>
        <v>6</v>
      </c>
      <c r="AG53" s="83" t="str">
        <f>REPLACE(INDEX(GroupVertices[Group],MATCH(Edges[[#This Row],[Vertex 2]],GroupVertices[Vertex],0)),1,1,"")</f>
        <v>6</v>
      </c>
      <c r="AH53" s="111">
        <v>0</v>
      </c>
      <c r="AI53" s="112">
        <v>0</v>
      </c>
      <c r="AJ53" s="111">
        <v>0</v>
      </c>
      <c r="AK53" s="112">
        <v>0</v>
      </c>
      <c r="AL53" s="111">
        <v>0</v>
      </c>
      <c r="AM53" s="112">
        <v>0</v>
      </c>
      <c r="AN53" s="111">
        <v>8</v>
      </c>
      <c r="AO53" s="112">
        <v>100</v>
      </c>
      <c r="AP53" s="111">
        <v>8</v>
      </c>
    </row>
    <row r="54" spans="1:42" ht="15">
      <c r="A54" s="65" t="s">
        <v>258</v>
      </c>
      <c r="B54" s="65" t="s">
        <v>826</v>
      </c>
      <c r="C54" s="66" t="s">
        <v>4651</v>
      </c>
      <c r="D54" s="67">
        <v>3</v>
      </c>
      <c r="E54" s="68"/>
      <c r="F54" s="69">
        <v>40</v>
      </c>
      <c r="G54" s="66"/>
      <c r="H54" s="70"/>
      <c r="I54" s="71"/>
      <c r="J54" s="71"/>
      <c r="K54" s="35" t="s">
        <v>65</v>
      </c>
      <c r="L54" s="79">
        <v>54</v>
      </c>
      <c r="M54" s="79"/>
      <c r="N54" s="73"/>
      <c r="O54" s="81" t="s">
        <v>844</v>
      </c>
      <c r="P54" s="81" t="s">
        <v>199</v>
      </c>
      <c r="Q54" s="84" t="s">
        <v>896</v>
      </c>
      <c r="R54" s="81" t="s">
        <v>258</v>
      </c>
      <c r="S54" s="81" t="s">
        <v>1617</v>
      </c>
      <c r="T54" s="86" t="str">
        <f>HYPERLINK("http://www.youtube.com/channel/UCTN22SieDcp5m3-HcQIbHGA")</f>
        <v>http://www.youtube.com/channel/UCTN22SieDcp5m3-HcQIbHGA</v>
      </c>
      <c r="U54" s="81"/>
      <c r="V54" s="81" t="s">
        <v>2308</v>
      </c>
      <c r="W54" s="86" t="str">
        <f>HYPERLINK("https://www.youtube.com/watch?v=ggOqMncgemw")</f>
        <v>https://www.youtube.com/watch?v=ggOqMncgemw</v>
      </c>
      <c r="X54" s="81" t="s">
        <v>2349</v>
      </c>
      <c r="Y54" s="81">
        <v>0</v>
      </c>
      <c r="Z54" s="88">
        <v>44255.744050925925</v>
      </c>
      <c r="AA54" s="88">
        <v>44255.744050925925</v>
      </c>
      <c r="AB54" s="81"/>
      <c r="AC54" s="81"/>
      <c r="AD54" s="84" t="s">
        <v>2390</v>
      </c>
      <c r="AE54" s="82">
        <v>1</v>
      </c>
      <c r="AF54" s="83" t="str">
        <f>REPLACE(INDEX(GroupVertices[Group],MATCH(Edges[[#This Row],[Vertex 1]],GroupVertices[Vertex],0)),1,1,"")</f>
        <v>6</v>
      </c>
      <c r="AG54" s="83" t="str">
        <f>REPLACE(INDEX(GroupVertices[Group],MATCH(Edges[[#This Row],[Vertex 2]],GroupVertices[Vertex],0)),1,1,"")</f>
        <v>6</v>
      </c>
      <c r="AH54" s="111">
        <v>0</v>
      </c>
      <c r="AI54" s="112">
        <v>0</v>
      </c>
      <c r="AJ54" s="111">
        <v>0</v>
      </c>
      <c r="AK54" s="112">
        <v>0</v>
      </c>
      <c r="AL54" s="111">
        <v>0</v>
      </c>
      <c r="AM54" s="112">
        <v>0</v>
      </c>
      <c r="AN54" s="111">
        <v>1</v>
      </c>
      <c r="AO54" s="112">
        <v>100</v>
      </c>
      <c r="AP54" s="111">
        <v>1</v>
      </c>
    </row>
    <row r="55" spans="1:42" ht="15">
      <c r="A55" s="65" t="s">
        <v>259</v>
      </c>
      <c r="B55" s="65" t="s">
        <v>826</v>
      </c>
      <c r="C55" s="66" t="s">
        <v>4651</v>
      </c>
      <c r="D55" s="67">
        <v>3</v>
      </c>
      <c r="E55" s="68"/>
      <c r="F55" s="69">
        <v>40</v>
      </c>
      <c r="G55" s="66"/>
      <c r="H55" s="70"/>
      <c r="I55" s="71"/>
      <c r="J55" s="71"/>
      <c r="K55" s="35" t="s">
        <v>65</v>
      </c>
      <c r="L55" s="79">
        <v>55</v>
      </c>
      <c r="M55" s="79"/>
      <c r="N55" s="73"/>
      <c r="O55" s="81" t="s">
        <v>844</v>
      </c>
      <c r="P55" s="81" t="s">
        <v>199</v>
      </c>
      <c r="Q55" s="84" t="s">
        <v>897</v>
      </c>
      <c r="R55" s="81" t="s">
        <v>259</v>
      </c>
      <c r="S55" s="81" t="s">
        <v>1618</v>
      </c>
      <c r="T55" s="86" t="str">
        <f>HYPERLINK("http://www.youtube.com/channel/UCcd2GcYNu_n7ibQIAdq1ySA")</f>
        <v>http://www.youtube.com/channel/UCcd2GcYNu_n7ibQIAdq1ySA</v>
      </c>
      <c r="U55" s="81"/>
      <c r="V55" s="81" t="s">
        <v>2308</v>
      </c>
      <c r="W55" s="86" t="str">
        <f>HYPERLINK("https://www.youtube.com/watch?v=ggOqMncgemw")</f>
        <v>https://www.youtube.com/watch?v=ggOqMncgemw</v>
      </c>
      <c r="X55" s="81" t="s">
        <v>2349</v>
      </c>
      <c r="Y55" s="81">
        <v>0</v>
      </c>
      <c r="Z55" s="88">
        <v>44294.22592592592</v>
      </c>
      <c r="AA55" s="88">
        <v>44294.22592592592</v>
      </c>
      <c r="AB55" s="81"/>
      <c r="AC55" s="81"/>
      <c r="AD55" s="84" t="s">
        <v>2390</v>
      </c>
      <c r="AE55" s="82">
        <v>1</v>
      </c>
      <c r="AF55" s="83" t="str">
        <f>REPLACE(INDEX(GroupVertices[Group],MATCH(Edges[[#This Row],[Vertex 1]],GroupVertices[Vertex],0)),1,1,"")</f>
        <v>6</v>
      </c>
      <c r="AG55" s="83" t="str">
        <f>REPLACE(INDEX(GroupVertices[Group],MATCH(Edges[[#This Row],[Vertex 2]],GroupVertices[Vertex],0)),1,1,"")</f>
        <v>6</v>
      </c>
      <c r="AH55" s="111">
        <v>0</v>
      </c>
      <c r="AI55" s="112">
        <v>0</v>
      </c>
      <c r="AJ55" s="111">
        <v>0</v>
      </c>
      <c r="AK55" s="112">
        <v>0</v>
      </c>
      <c r="AL55" s="111">
        <v>0</v>
      </c>
      <c r="AM55" s="112">
        <v>0</v>
      </c>
      <c r="AN55" s="111">
        <v>10</v>
      </c>
      <c r="AO55" s="112">
        <v>100</v>
      </c>
      <c r="AP55" s="111">
        <v>10</v>
      </c>
    </row>
    <row r="56" spans="1:42" ht="15">
      <c r="A56" s="65" t="s">
        <v>260</v>
      </c>
      <c r="B56" s="65" t="s">
        <v>826</v>
      </c>
      <c r="C56" s="66" t="s">
        <v>4651</v>
      </c>
      <c r="D56" s="67">
        <v>3</v>
      </c>
      <c r="E56" s="68"/>
      <c r="F56" s="69">
        <v>40</v>
      </c>
      <c r="G56" s="66"/>
      <c r="H56" s="70"/>
      <c r="I56" s="71"/>
      <c r="J56" s="71"/>
      <c r="K56" s="35" t="s">
        <v>65</v>
      </c>
      <c r="L56" s="79">
        <v>56</v>
      </c>
      <c r="M56" s="79"/>
      <c r="N56" s="73"/>
      <c r="O56" s="81" t="s">
        <v>844</v>
      </c>
      <c r="P56" s="81" t="s">
        <v>199</v>
      </c>
      <c r="Q56" s="84" t="s">
        <v>898</v>
      </c>
      <c r="R56" s="81" t="s">
        <v>260</v>
      </c>
      <c r="S56" s="81" t="s">
        <v>1619</v>
      </c>
      <c r="T56" s="86" t="str">
        <f>HYPERLINK("http://www.youtube.com/channel/UCj5snfisk52ZiIiADGqPKWg")</f>
        <v>http://www.youtube.com/channel/UCj5snfisk52ZiIiADGqPKWg</v>
      </c>
      <c r="U56" s="81"/>
      <c r="V56" s="81" t="s">
        <v>2309</v>
      </c>
      <c r="W56" s="86" t="str">
        <f>HYPERLINK("https://www.youtube.com/watch?v=HeOcduRiqyw")</f>
        <v>https://www.youtube.com/watch?v=HeOcduRiqyw</v>
      </c>
      <c r="X56" s="81" t="s">
        <v>2349</v>
      </c>
      <c r="Y56" s="81">
        <v>1</v>
      </c>
      <c r="Z56" s="88">
        <v>43721.5231712963</v>
      </c>
      <c r="AA56" s="88">
        <v>43721.5231712963</v>
      </c>
      <c r="AB56" s="81"/>
      <c r="AC56" s="81"/>
      <c r="AD56" s="84" t="s">
        <v>2390</v>
      </c>
      <c r="AE56" s="82">
        <v>1</v>
      </c>
      <c r="AF56" s="83" t="str">
        <f>REPLACE(INDEX(GroupVertices[Group],MATCH(Edges[[#This Row],[Vertex 1]],GroupVertices[Vertex],0)),1,1,"")</f>
        <v>6</v>
      </c>
      <c r="AG56" s="83" t="str">
        <f>REPLACE(INDEX(GroupVertices[Group],MATCH(Edges[[#This Row],[Vertex 2]],GroupVertices[Vertex],0)),1,1,"")</f>
        <v>6</v>
      </c>
      <c r="AH56" s="111">
        <v>0</v>
      </c>
      <c r="AI56" s="112">
        <v>0</v>
      </c>
      <c r="AJ56" s="111">
        <v>0</v>
      </c>
      <c r="AK56" s="112">
        <v>0</v>
      </c>
      <c r="AL56" s="111">
        <v>0</v>
      </c>
      <c r="AM56" s="112">
        <v>0</v>
      </c>
      <c r="AN56" s="111">
        <v>17</v>
      </c>
      <c r="AO56" s="112">
        <v>100</v>
      </c>
      <c r="AP56" s="111">
        <v>17</v>
      </c>
    </row>
    <row r="57" spans="1:42" ht="15">
      <c r="A57" s="65" t="s">
        <v>261</v>
      </c>
      <c r="B57" s="65" t="s">
        <v>826</v>
      </c>
      <c r="C57" s="66" t="s">
        <v>4651</v>
      </c>
      <c r="D57" s="67">
        <v>3</v>
      </c>
      <c r="E57" s="68"/>
      <c r="F57" s="69">
        <v>40</v>
      </c>
      <c r="G57" s="66"/>
      <c r="H57" s="70"/>
      <c r="I57" s="71"/>
      <c r="J57" s="71"/>
      <c r="K57" s="35" t="s">
        <v>65</v>
      </c>
      <c r="L57" s="79">
        <v>57</v>
      </c>
      <c r="M57" s="79"/>
      <c r="N57" s="73"/>
      <c r="O57" s="81" t="s">
        <v>844</v>
      </c>
      <c r="P57" s="81" t="s">
        <v>199</v>
      </c>
      <c r="Q57" s="84" t="s">
        <v>899</v>
      </c>
      <c r="R57" s="81" t="s">
        <v>261</v>
      </c>
      <c r="S57" s="81" t="s">
        <v>1620</v>
      </c>
      <c r="T57" s="86" t="str">
        <f>HYPERLINK("http://www.youtube.com/channel/UCoFfJgEEMYLWWUkitmc4qWw")</f>
        <v>http://www.youtube.com/channel/UCoFfJgEEMYLWWUkitmc4qWw</v>
      </c>
      <c r="U57" s="81"/>
      <c r="V57" s="81" t="s">
        <v>2309</v>
      </c>
      <c r="W57" s="86" t="str">
        <f>HYPERLINK("https://www.youtube.com/watch?v=HeOcduRiqyw")</f>
        <v>https://www.youtube.com/watch?v=HeOcduRiqyw</v>
      </c>
      <c r="X57" s="81" t="s">
        <v>2349</v>
      </c>
      <c r="Y57" s="81">
        <v>1</v>
      </c>
      <c r="Z57" s="88">
        <v>43721.726018518515</v>
      </c>
      <c r="AA57" s="88">
        <v>43721.726018518515</v>
      </c>
      <c r="AB57" s="81"/>
      <c r="AC57" s="81"/>
      <c r="AD57" s="84" t="s">
        <v>2390</v>
      </c>
      <c r="AE57" s="82">
        <v>1</v>
      </c>
      <c r="AF57" s="83" t="str">
        <f>REPLACE(INDEX(GroupVertices[Group],MATCH(Edges[[#This Row],[Vertex 1]],GroupVertices[Vertex],0)),1,1,"")</f>
        <v>6</v>
      </c>
      <c r="AG57" s="83" t="str">
        <f>REPLACE(INDEX(GroupVertices[Group],MATCH(Edges[[#This Row],[Vertex 2]],GroupVertices[Vertex],0)),1,1,"")</f>
        <v>6</v>
      </c>
      <c r="AH57" s="111">
        <v>1</v>
      </c>
      <c r="AI57" s="112">
        <v>50</v>
      </c>
      <c r="AJ57" s="111">
        <v>0</v>
      </c>
      <c r="AK57" s="112">
        <v>0</v>
      </c>
      <c r="AL57" s="111">
        <v>0</v>
      </c>
      <c r="AM57" s="112">
        <v>0</v>
      </c>
      <c r="AN57" s="111">
        <v>1</v>
      </c>
      <c r="AO57" s="112">
        <v>50</v>
      </c>
      <c r="AP57" s="111">
        <v>2</v>
      </c>
    </row>
    <row r="58" spans="1:42" ht="15">
      <c r="A58" s="65" t="s">
        <v>262</v>
      </c>
      <c r="B58" s="65" t="s">
        <v>826</v>
      </c>
      <c r="C58" s="66" t="s">
        <v>4651</v>
      </c>
      <c r="D58" s="67">
        <v>3</v>
      </c>
      <c r="E58" s="68"/>
      <c r="F58" s="69">
        <v>40</v>
      </c>
      <c r="G58" s="66"/>
      <c r="H58" s="70"/>
      <c r="I58" s="71"/>
      <c r="J58" s="71"/>
      <c r="K58" s="35" t="s">
        <v>65</v>
      </c>
      <c r="L58" s="79">
        <v>58</v>
      </c>
      <c r="M58" s="79"/>
      <c r="N58" s="73"/>
      <c r="O58" s="81" t="s">
        <v>844</v>
      </c>
      <c r="P58" s="81" t="s">
        <v>199</v>
      </c>
      <c r="Q58" s="84" t="s">
        <v>900</v>
      </c>
      <c r="R58" s="81" t="s">
        <v>262</v>
      </c>
      <c r="S58" s="81" t="s">
        <v>1621</v>
      </c>
      <c r="T58" s="86" t="str">
        <f>HYPERLINK("http://www.youtube.com/channel/UCLhVgpWa8lCp2nS3QWg7hUg")</f>
        <v>http://www.youtube.com/channel/UCLhVgpWa8lCp2nS3QWg7hUg</v>
      </c>
      <c r="U58" s="81"/>
      <c r="V58" s="81" t="s">
        <v>2309</v>
      </c>
      <c r="W58" s="86" t="str">
        <f>HYPERLINK("https://www.youtube.com/watch?v=HeOcduRiqyw")</f>
        <v>https://www.youtube.com/watch?v=HeOcduRiqyw</v>
      </c>
      <c r="X58" s="81" t="s">
        <v>2349</v>
      </c>
      <c r="Y58" s="81">
        <v>0</v>
      </c>
      <c r="Z58" s="88">
        <v>43798.45292824074</v>
      </c>
      <c r="AA58" s="88">
        <v>43798.45292824074</v>
      </c>
      <c r="AB58" s="81"/>
      <c r="AC58" s="81"/>
      <c r="AD58" s="84" t="s">
        <v>2390</v>
      </c>
      <c r="AE58" s="82">
        <v>1</v>
      </c>
      <c r="AF58" s="83" t="str">
        <f>REPLACE(INDEX(GroupVertices[Group],MATCH(Edges[[#This Row],[Vertex 1]],GroupVertices[Vertex],0)),1,1,"")</f>
        <v>6</v>
      </c>
      <c r="AG58" s="83" t="str">
        <f>REPLACE(INDEX(GroupVertices[Group],MATCH(Edges[[#This Row],[Vertex 2]],GroupVertices[Vertex],0)),1,1,"")</f>
        <v>6</v>
      </c>
      <c r="AH58" s="111">
        <v>1</v>
      </c>
      <c r="AI58" s="112">
        <v>33.333333333333336</v>
      </c>
      <c r="AJ58" s="111">
        <v>0</v>
      </c>
      <c r="AK58" s="112">
        <v>0</v>
      </c>
      <c r="AL58" s="111">
        <v>0</v>
      </c>
      <c r="AM58" s="112">
        <v>0</v>
      </c>
      <c r="AN58" s="111">
        <v>2</v>
      </c>
      <c r="AO58" s="112">
        <v>66.66666666666667</v>
      </c>
      <c r="AP58" s="111">
        <v>3</v>
      </c>
    </row>
    <row r="59" spans="1:42" ht="15">
      <c r="A59" s="65" t="s">
        <v>263</v>
      </c>
      <c r="B59" s="65" t="s">
        <v>826</v>
      </c>
      <c r="C59" s="66" t="s">
        <v>4651</v>
      </c>
      <c r="D59" s="67">
        <v>3</v>
      </c>
      <c r="E59" s="68"/>
      <c r="F59" s="69">
        <v>40</v>
      </c>
      <c r="G59" s="66"/>
      <c r="H59" s="70"/>
      <c r="I59" s="71"/>
      <c r="J59" s="71"/>
      <c r="K59" s="35" t="s">
        <v>65</v>
      </c>
      <c r="L59" s="79">
        <v>59</v>
      </c>
      <c r="M59" s="79"/>
      <c r="N59" s="73"/>
      <c r="O59" s="81" t="s">
        <v>844</v>
      </c>
      <c r="P59" s="81" t="s">
        <v>199</v>
      </c>
      <c r="Q59" s="84" t="s">
        <v>882</v>
      </c>
      <c r="R59" s="81" t="s">
        <v>263</v>
      </c>
      <c r="S59" s="81" t="s">
        <v>1622</v>
      </c>
      <c r="T59" s="86" t="str">
        <f>HYPERLINK("http://www.youtube.com/channel/UCLDIAVidJKT_P0hmLl_FTjQ")</f>
        <v>http://www.youtube.com/channel/UCLDIAVidJKT_P0hmLl_FTjQ</v>
      </c>
      <c r="U59" s="81"/>
      <c r="V59" s="81" t="s">
        <v>2309</v>
      </c>
      <c r="W59" s="86" t="str">
        <f>HYPERLINK("https://www.youtube.com/watch?v=HeOcduRiqyw")</f>
        <v>https://www.youtube.com/watch?v=HeOcduRiqyw</v>
      </c>
      <c r="X59" s="81" t="s">
        <v>2349</v>
      </c>
      <c r="Y59" s="81">
        <v>0</v>
      </c>
      <c r="Z59" s="88">
        <v>43877.774097222224</v>
      </c>
      <c r="AA59" s="88">
        <v>43877.774097222224</v>
      </c>
      <c r="AB59" s="81"/>
      <c r="AC59" s="81"/>
      <c r="AD59" s="84" t="s">
        <v>2390</v>
      </c>
      <c r="AE59" s="82">
        <v>1</v>
      </c>
      <c r="AF59" s="83" t="str">
        <f>REPLACE(INDEX(GroupVertices[Group],MATCH(Edges[[#This Row],[Vertex 1]],GroupVertices[Vertex],0)),1,1,"")</f>
        <v>6</v>
      </c>
      <c r="AG59" s="83" t="str">
        <f>REPLACE(INDEX(GroupVertices[Group],MATCH(Edges[[#This Row],[Vertex 2]],GroupVertices[Vertex],0)),1,1,"")</f>
        <v>6</v>
      </c>
      <c r="AH59" s="111">
        <v>0</v>
      </c>
      <c r="AI59" s="112">
        <v>0</v>
      </c>
      <c r="AJ59" s="111">
        <v>0</v>
      </c>
      <c r="AK59" s="112">
        <v>0</v>
      </c>
      <c r="AL59" s="111">
        <v>0</v>
      </c>
      <c r="AM59" s="112">
        <v>0</v>
      </c>
      <c r="AN59" s="111">
        <v>2</v>
      </c>
      <c r="AO59" s="112">
        <v>100</v>
      </c>
      <c r="AP59" s="111">
        <v>2</v>
      </c>
    </row>
    <row r="60" spans="1:42" ht="15">
      <c r="A60" s="65" t="s">
        <v>264</v>
      </c>
      <c r="B60" s="65" t="s">
        <v>826</v>
      </c>
      <c r="C60" s="66" t="s">
        <v>4651</v>
      </c>
      <c r="D60" s="67">
        <v>3</v>
      </c>
      <c r="E60" s="68"/>
      <c r="F60" s="69">
        <v>40</v>
      </c>
      <c r="G60" s="66"/>
      <c r="H60" s="70"/>
      <c r="I60" s="71"/>
      <c r="J60" s="71"/>
      <c r="K60" s="35" t="s">
        <v>65</v>
      </c>
      <c r="L60" s="79">
        <v>60</v>
      </c>
      <c r="M60" s="79"/>
      <c r="N60" s="73"/>
      <c r="O60" s="81" t="s">
        <v>844</v>
      </c>
      <c r="P60" s="81" t="s">
        <v>199</v>
      </c>
      <c r="Q60" s="84" t="s">
        <v>901</v>
      </c>
      <c r="R60" s="81" t="s">
        <v>264</v>
      </c>
      <c r="S60" s="81" t="s">
        <v>1623</v>
      </c>
      <c r="T60" s="86" t="str">
        <f>HYPERLINK("http://www.youtube.com/channel/UCDmdHkPKAJXcbU5LHMfGt-w")</f>
        <v>http://www.youtube.com/channel/UCDmdHkPKAJXcbU5LHMfGt-w</v>
      </c>
      <c r="U60" s="81"/>
      <c r="V60" s="81" t="s">
        <v>2309</v>
      </c>
      <c r="W60" s="86" t="str">
        <f>HYPERLINK("https://www.youtube.com/watch?v=HeOcduRiqyw")</f>
        <v>https://www.youtube.com/watch?v=HeOcduRiqyw</v>
      </c>
      <c r="X60" s="81" t="s">
        <v>2349</v>
      </c>
      <c r="Y60" s="81">
        <v>0</v>
      </c>
      <c r="Z60" s="88">
        <v>43900.14517361111</v>
      </c>
      <c r="AA60" s="88">
        <v>43900.14517361111</v>
      </c>
      <c r="AB60" s="81"/>
      <c r="AC60" s="81"/>
      <c r="AD60" s="84" t="s">
        <v>2390</v>
      </c>
      <c r="AE60" s="82">
        <v>1</v>
      </c>
      <c r="AF60" s="83" t="str">
        <f>REPLACE(INDEX(GroupVertices[Group],MATCH(Edges[[#This Row],[Vertex 1]],GroupVertices[Vertex],0)),1,1,"")</f>
        <v>6</v>
      </c>
      <c r="AG60" s="83" t="str">
        <f>REPLACE(INDEX(GroupVertices[Group],MATCH(Edges[[#This Row],[Vertex 2]],GroupVertices[Vertex],0)),1,1,"")</f>
        <v>6</v>
      </c>
      <c r="AH60" s="111">
        <v>0</v>
      </c>
      <c r="AI60" s="112">
        <v>0</v>
      </c>
      <c r="AJ60" s="111">
        <v>0</v>
      </c>
      <c r="AK60" s="112">
        <v>0</v>
      </c>
      <c r="AL60" s="111">
        <v>0</v>
      </c>
      <c r="AM60" s="112">
        <v>0</v>
      </c>
      <c r="AN60" s="111">
        <v>2</v>
      </c>
      <c r="AO60" s="112">
        <v>100</v>
      </c>
      <c r="AP60" s="111">
        <v>2</v>
      </c>
    </row>
    <row r="61" spans="1:42" ht="15">
      <c r="A61" s="65" t="s">
        <v>265</v>
      </c>
      <c r="B61" s="65" t="s">
        <v>826</v>
      </c>
      <c r="C61" s="66" t="s">
        <v>4651</v>
      </c>
      <c r="D61" s="67">
        <v>3</v>
      </c>
      <c r="E61" s="68"/>
      <c r="F61" s="69">
        <v>40</v>
      </c>
      <c r="G61" s="66"/>
      <c r="H61" s="70"/>
      <c r="I61" s="71"/>
      <c r="J61" s="71"/>
      <c r="K61" s="35" t="s">
        <v>65</v>
      </c>
      <c r="L61" s="79">
        <v>61</v>
      </c>
      <c r="M61" s="79"/>
      <c r="N61" s="73"/>
      <c r="O61" s="81" t="s">
        <v>844</v>
      </c>
      <c r="P61" s="81" t="s">
        <v>199</v>
      </c>
      <c r="Q61" s="84" t="s">
        <v>902</v>
      </c>
      <c r="R61" s="81" t="s">
        <v>265</v>
      </c>
      <c r="S61" s="81" t="s">
        <v>1624</v>
      </c>
      <c r="T61" s="86" t="str">
        <f>HYPERLINK("http://www.youtube.com/channel/UC6ttFk4vCfkPUbeU2eEjiXg")</f>
        <v>http://www.youtube.com/channel/UC6ttFk4vCfkPUbeU2eEjiXg</v>
      </c>
      <c r="U61" s="81"/>
      <c r="V61" s="81" t="s">
        <v>2309</v>
      </c>
      <c r="W61" s="86" t="str">
        <f>HYPERLINK("https://www.youtube.com/watch?v=HeOcduRiqyw")</f>
        <v>https://www.youtube.com/watch?v=HeOcduRiqyw</v>
      </c>
      <c r="X61" s="81" t="s">
        <v>2349</v>
      </c>
      <c r="Y61" s="81">
        <v>4</v>
      </c>
      <c r="Z61" s="88">
        <v>43927.591631944444</v>
      </c>
      <c r="AA61" s="88">
        <v>43927.591631944444</v>
      </c>
      <c r="AB61" s="81"/>
      <c r="AC61" s="81"/>
      <c r="AD61" s="84" t="s">
        <v>2390</v>
      </c>
      <c r="AE61" s="82">
        <v>1</v>
      </c>
      <c r="AF61" s="83" t="str">
        <f>REPLACE(INDEX(GroupVertices[Group],MATCH(Edges[[#This Row],[Vertex 1]],GroupVertices[Vertex],0)),1,1,"")</f>
        <v>6</v>
      </c>
      <c r="AG61" s="83" t="str">
        <f>REPLACE(INDEX(GroupVertices[Group],MATCH(Edges[[#This Row],[Vertex 2]],GroupVertices[Vertex],0)),1,1,"")</f>
        <v>6</v>
      </c>
      <c r="AH61" s="111">
        <v>0</v>
      </c>
      <c r="AI61" s="112">
        <v>0</v>
      </c>
      <c r="AJ61" s="111">
        <v>0</v>
      </c>
      <c r="AK61" s="112">
        <v>0</v>
      </c>
      <c r="AL61" s="111">
        <v>0</v>
      </c>
      <c r="AM61" s="112">
        <v>0</v>
      </c>
      <c r="AN61" s="111">
        <v>9</v>
      </c>
      <c r="AO61" s="112">
        <v>100</v>
      </c>
      <c r="AP61" s="111">
        <v>9</v>
      </c>
    </row>
    <row r="62" spans="1:42" ht="15">
      <c r="A62" s="65" t="s">
        <v>266</v>
      </c>
      <c r="B62" s="65" t="s">
        <v>826</v>
      </c>
      <c r="C62" s="66" t="s">
        <v>4651</v>
      </c>
      <c r="D62" s="67">
        <v>3</v>
      </c>
      <c r="E62" s="68"/>
      <c r="F62" s="69">
        <v>40</v>
      </c>
      <c r="G62" s="66"/>
      <c r="H62" s="70"/>
      <c r="I62" s="71"/>
      <c r="J62" s="71"/>
      <c r="K62" s="35" t="s">
        <v>65</v>
      </c>
      <c r="L62" s="79">
        <v>62</v>
      </c>
      <c r="M62" s="79"/>
      <c r="N62" s="73"/>
      <c r="O62" s="81" t="s">
        <v>844</v>
      </c>
      <c r="P62" s="81" t="s">
        <v>199</v>
      </c>
      <c r="Q62" s="84" t="s">
        <v>903</v>
      </c>
      <c r="R62" s="81" t="s">
        <v>266</v>
      </c>
      <c r="S62" s="81" t="s">
        <v>1625</v>
      </c>
      <c r="T62" s="86" t="str">
        <f>HYPERLINK("http://www.youtube.com/channel/UC9oS5EybP3wJiFN56fnrJcw")</f>
        <v>http://www.youtube.com/channel/UC9oS5EybP3wJiFN56fnrJcw</v>
      </c>
      <c r="U62" s="81"/>
      <c r="V62" s="81" t="s">
        <v>2309</v>
      </c>
      <c r="W62" s="86" t="str">
        <f>HYPERLINK("https://www.youtube.com/watch?v=HeOcduRiqyw")</f>
        <v>https://www.youtube.com/watch?v=HeOcduRiqyw</v>
      </c>
      <c r="X62" s="81" t="s">
        <v>2349</v>
      </c>
      <c r="Y62" s="81">
        <v>0</v>
      </c>
      <c r="Z62" s="88">
        <v>44017.45112268518</v>
      </c>
      <c r="AA62" s="88">
        <v>44017.45112268518</v>
      </c>
      <c r="AB62" s="81"/>
      <c r="AC62" s="81"/>
      <c r="AD62" s="84" t="s">
        <v>2390</v>
      </c>
      <c r="AE62" s="82">
        <v>1</v>
      </c>
      <c r="AF62" s="83" t="str">
        <f>REPLACE(INDEX(GroupVertices[Group],MATCH(Edges[[#This Row],[Vertex 1]],GroupVertices[Vertex],0)),1,1,"")</f>
        <v>6</v>
      </c>
      <c r="AG62" s="83" t="str">
        <f>REPLACE(INDEX(GroupVertices[Group],MATCH(Edges[[#This Row],[Vertex 2]],GroupVertices[Vertex],0)),1,1,"")</f>
        <v>6</v>
      </c>
      <c r="AH62" s="111">
        <v>2</v>
      </c>
      <c r="AI62" s="112">
        <v>28.571428571428573</v>
      </c>
      <c r="AJ62" s="111">
        <v>0</v>
      </c>
      <c r="AK62" s="112">
        <v>0</v>
      </c>
      <c r="AL62" s="111">
        <v>0</v>
      </c>
      <c r="AM62" s="112">
        <v>0</v>
      </c>
      <c r="AN62" s="111">
        <v>5</v>
      </c>
      <c r="AO62" s="112">
        <v>71.42857142857143</v>
      </c>
      <c r="AP62" s="111">
        <v>7</v>
      </c>
    </row>
    <row r="63" spans="1:42" ht="15">
      <c r="A63" s="65" t="s">
        <v>267</v>
      </c>
      <c r="B63" s="65" t="s">
        <v>826</v>
      </c>
      <c r="C63" s="66" t="s">
        <v>4651</v>
      </c>
      <c r="D63" s="67">
        <v>3</v>
      </c>
      <c r="E63" s="68"/>
      <c r="F63" s="69">
        <v>40</v>
      </c>
      <c r="G63" s="66"/>
      <c r="H63" s="70"/>
      <c r="I63" s="71"/>
      <c r="J63" s="71"/>
      <c r="K63" s="35" t="s">
        <v>65</v>
      </c>
      <c r="L63" s="79">
        <v>63</v>
      </c>
      <c r="M63" s="79"/>
      <c r="N63" s="73"/>
      <c r="O63" s="81" t="s">
        <v>844</v>
      </c>
      <c r="P63" s="81" t="s">
        <v>199</v>
      </c>
      <c r="Q63" s="84" t="s">
        <v>904</v>
      </c>
      <c r="R63" s="81" t="s">
        <v>267</v>
      </c>
      <c r="S63" s="81" t="s">
        <v>1626</v>
      </c>
      <c r="T63" s="86" t="str">
        <f>HYPERLINK("http://www.youtube.com/channel/UCkjCRdjjNJOna_mCd6P7Zpw")</f>
        <v>http://www.youtube.com/channel/UCkjCRdjjNJOna_mCd6P7Zpw</v>
      </c>
      <c r="U63" s="81"/>
      <c r="V63" s="81" t="s">
        <v>2309</v>
      </c>
      <c r="W63" s="86" t="str">
        <f>HYPERLINK("https://www.youtube.com/watch?v=HeOcduRiqyw")</f>
        <v>https://www.youtube.com/watch?v=HeOcduRiqyw</v>
      </c>
      <c r="X63" s="81" t="s">
        <v>2349</v>
      </c>
      <c r="Y63" s="81">
        <v>0</v>
      </c>
      <c r="Z63" s="88">
        <v>44092.33725694445</v>
      </c>
      <c r="AA63" s="88">
        <v>44092.33725694445</v>
      </c>
      <c r="AB63" s="81"/>
      <c r="AC63" s="81"/>
      <c r="AD63" s="84" t="s">
        <v>2390</v>
      </c>
      <c r="AE63" s="82">
        <v>1</v>
      </c>
      <c r="AF63" s="83" t="str">
        <f>REPLACE(INDEX(GroupVertices[Group],MATCH(Edges[[#This Row],[Vertex 1]],GroupVertices[Vertex],0)),1,1,"")</f>
        <v>6</v>
      </c>
      <c r="AG63" s="83" t="str">
        <f>REPLACE(INDEX(GroupVertices[Group],MATCH(Edges[[#This Row],[Vertex 2]],GroupVertices[Vertex],0)),1,1,"")</f>
        <v>6</v>
      </c>
      <c r="AH63" s="111">
        <v>1</v>
      </c>
      <c r="AI63" s="112">
        <v>4</v>
      </c>
      <c r="AJ63" s="111">
        <v>1</v>
      </c>
      <c r="AK63" s="112">
        <v>4</v>
      </c>
      <c r="AL63" s="111">
        <v>0</v>
      </c>
      <c r="AM63" s="112">
        <v>0</v>
      </c>
      <c r="AN63" s="111">
        <v>23</v>
      </c>
      <c r="AO63" s="112">
        <v>92</v>
      </c>
      <c r="AP63" s="111">
        <v>25</v>
      </c>
    </row>
    <row r="64" spans="1:42" ht="15">
      <c r="A64" s="65" t="s">
        <v>268</v>
      </c>
      <c r="B64" s="65" t="s">
        <v>826</v>
      </c>
      <c r="C64" s="66" t="s">
        <v>4651</v>
      </c>
      <c r="D64" s="67">
        <v>3</v>
      </c>
      <c r="E64" s="68"/>
      <c r="F64" s="69">
        <v>40</v>
      </c>
      <c r="G64" s="66"/>
      <c r="H64" s="70"/>
      <c r="I64" s="71"/>
      <c r="J64" s="71"/>
      <c r="K64" s="35" t="s">
        <v>65</v>
      </c>
      <c r="L64" s="79">
        <v>64</v>
      </c>
      <c r="M64" s="79"/>
      <c r="N64" s="73"/>
      <c r="O64" s="81" t="s">
        <v>844</v>
      </c>
      <c r="P64" s="81" t="s">
        <v>199</v>
      </c>
      <c r="Q64" s="84" t="s">
        <v>905</v>
      </c>
      <c r="R64" s="81" t="s">
        <v>268</v>
      </c>
      <c r="S64" s="81" t="s">
        <v>1627</v>
      </c>
      <c r="T64" s="86" t="str">
        <f>HYPERLINK("http://www.youtube.com/channel/UC_Y_86BAtwlLH75k1z7QVmA")</f>
        <v>http://www.youtube.com/channel/UC_Y_86BAtwlLH75k1z7QVmA</v>
      </c>
      <c r="U64" s="81"/>
      <c r="V64" s="81" t="s">
        <v>2309</v>
      </c>
      <c r="W64" s="86" t="str">
        <f>HYPERLINK("https://www.youtube.com/watch?v=HeOcduRiqyw")</f>
        <v>https://www.youtube.com/watch?v=HeOcduRiqyw</v>
      </c>
      <c r="X64" s="81" t="s">
        <v>2349</v>
      </c>
      <c r="Y64" s="81">
        <v>0</v>
      </c>
      <c r="Z64" s="88">
        <v>44112.64496527778</v>
      </c>
      <c r="AA64" s="88">
        <v>44112.64496527778</v>
      </c>
      <c r="AB64" s="81"/>
      <c r="AC64" s="81"/>
      <c r="AD64" s="84" t="s">
        <v>2390</v>
      </c>
      <c r="AE64" s="82">
        <v>1</v>
      </c>
      <c r="AF64" s="83" t="str">
        <f>REPLACE(INDEX(GroupVertices[Group],MATCH(Edges[[#This Row],[Vertex 1]],GroupVertices[Vertex],0)),1,1,"")</f>
        <v>6</v>
      </c>
      <c r="AG64" s="83" t="str">
        <f>REPLACE(INDEX(GroupVertices[Group],MATCH(Edges[[#This Row],[Vertex 2]],GroupVertices[Vertex],0)),1,1,"")</f>
        <v>6</v>
      </c>
      <c r="AH64" s="111">
        <v>0</v>
      </c>
      <c r="AI64" s="112">
        <v>0</v>
      </c>
      <c r="AJ64" s="111">
        <v>0</v>
      </c>
      <c r="AK64" s="112">
        <v>0</v>
      </c>
      <c r="AL64" s="111">
        <v>0</v>
      </c>
      <c r="AM64" s="112">
        <v>0</v>
      </c>
      <c r="AN64" s="111">
        <v>6</v>
      </c>
      <c r="AO64" s="112">
        <v>100</v>
      </c>
      <c r="AP64" s="111">
        <v>6</v>
      </c>
    </row>
    <row r="65" spans="1:42" ht="15">
      <c r="A65" s="65" t="s">
        <v>269</v>
      </c>
      <c r="B65" s="65" t="s">
        <v>826</v>
      </c>
      <c r="C65" s="66" t="s">
        <v>4651</v>
      </c>
      <c r="D65" s="67">
        <v>3</v>
      </c>
      <c r="E65" s="68"/>
      <c r="F65" s="69">
        <v>40</v>
      </c>
      <c r="G65" s="66"/>
      <c r="H65" s="70"/>
      <c r="I65" s="71"/>
      <c r="J65" s="71"/>
      <c r="K65" s="35" t="s">
        <v>65</v>
      </c>
      <c r="L65" s="79">
        <v>65</v>
      </c>
      <c r="M65" s="79"/>
      <c r="N65" s="73"/>
      <c r="O65" s="81" t="s">
        <v>844</v>
      </c>
      <c r="P65" s="81" t="s">
        <v>199</v>
      </c>
      <c r="Q65" s="84" t="s">
        <v>906</v>
      </c>
      <c r="R65" s="81" t="s">
        <v>269</v>
      </c>
      <c r="S65" s="81" t="s">
        <v>1628</v>
      </c>
      <c r="T65" s="86" t="str">
        <f>HYPERLINK("http://www.youtube.com/channel/UCmpeF05gyl2aq-ptkasSa7w")</f>
        <v>http://www.youtube.com/channel/UCmpeF05gyl2aq-ptkasSa7w</v>
      </c>
      <c r="U65" s="81"/>
      <c r="V65" s="81" t="s">
        <v>2309</v>
      </c>
      <c r="W65" s="86" t="str">
        <f>HYPERLINK("https://www.youtube.com/watch?v=HeOcduRiqyw")</f>
        <v>https://www.youtube.com/watch?v=HeOcduRiqyw</v>
      </c>
      <c r="X65" s="81" t="s">
        <v>2349</v>
      </c>
      <c r="Y65" s="81">
        <v>1</v>
      </c>
      <c r="Z65" s="88">
        <v>44115.813101851854</v>
      </c>
      <c r="AA65" s="88">
        <v>44115.813101851854</v>
      </c>
      <c r="AB65" s="81"/>
      <c r="AC65" s="81"/>
      <c r="AD65" s="84" t="s">
        <v>2390</v>
      </c>
      <c r="AE65" s="82">
        <v>1</v>
      </c>
      <c r="AF65" s="83" t="str">
        <f>REPLACE(INDEX(GroupVertices[Group],MATCH(Edges[[#This Row],[Vertex 1]],GroupVertices[Vertex],0)),1,1,"")</f>
        <v>6</v>
      </c>
      <c r="AG65" s="83" t="str">
        <f>REPLACE(INDEX(GroupVertices[Group],MATCH(Edges[[#This Row],[Vertex 2]],GroupVertices[Vertex],0)),1,1,"")</f>
        <v>6</v>
      </c>
      <c r="AH65" s="111">
        <v>0</v>
      </c>
      <c r="AI65" s="112">
        <v>0</v>
      </c>
      <c r="AJ65" s="111">
        <v>0</v>
      </c>
      <c r="AK65" s="112">
        <v>0</v>
      </c>
      <c r="AL65" s="111">
        <v>0</v>
      </c>
      <c r="AM65" s="112">
        <v>0</v>
      </c>
      <c r="AN65" s="111">
        <v>2</v>
      </c>
      <c r="AO65" s="112">
        <v>100</v>
      </c>
      <c r="AP65" s="111">
        <v>2</v>
      </c>
    </row>
    <row r="66" spans="1:42" ht="15">
      <c r="A66" s="65" t="s">
        <v>270</v>
      </c>
      <c r="B66" s="65" t="s">
        <v>826</v>
      </c>
      <c r="C66" s="66" t="s">
        <v>4613</v>
      </c>
      <c r="D66" s="67">
        <v>10</v>
      </c>
      <c r="E66" s="68"/>
      <c r="F66" s="69">
        <v>15</v>
      </c>
      <c r="G66" s="66"/>
      <c r="H66" s="70"/>
      <c r="I66" s="71"/>
      <c r="J66" s="71"/>
      <c r="K66" s="35" t="s">
        <v>65</v>
      </c>
      <c r="L66" s="79">
        <v>66</v>
      </c>
      <c r="M66" s="79"/>
      <c r="N66" s="73"/>
      <c r="O66" s="81" t="s">
        <v>844</v>
      </c>
      <c r="P66" s="81" t="s">
        <v>199</v>
      </c>
      <c r="Q66" s="84" t="s">
        <v>907</v>
      </c>
      <c r="R66" s="81" t="s">
        <v>270</v>
      </c>
      <c r="S66" s="81" t="s">
        <v>1629</v>
      </c>
      <c r="T66" s="86" t="str">
        <f>HYPERLINK("http://www.youtube.com/channel/UCOfVfWf8jMT4ouAJeEJ-K1Q")</f>
        <v>http://www.youtube.com/channel/UCOfVfWf8jMT4ouAJeEJ-K1Q</v>
      </c>
      <c r="U66" s="81"/>
      <c r="V66" s="81" t="s">
        <v>2308</v>
      </c>
      <c r="W66" s="86" t="str">
        <f>HYPERLINK("https://www.youtube.com/watch?v=ggOqMncgemw")</f>
        <v>https://www.youtube.com/watch?v=ggOqMncgemw</v>
      </c>
      <c r="X66" s="81" t="s">
        <v>2349</v>
      </c>
      <c r="Y66" s="81">
        <v>0</v>
      </c>
      <c r="Z66" s="88">
        <v>44142.548171296294</v>
      </c>
      <c r="AA66" s="88">
        <v>44142.548171296294</v>
      </c>
      <c r="AB66" s="81"/>
      <c r="AC66" s="81"/>
      <c r="AD66" s="84" t="s">
        <v>2390</v>
      </c>
      <c r="AE66" s="82">
        <v>2</v>
      </c>
      <c r="AF66" s="83" t="str">
        <f>REPLACE(INDEX(GroupVertices[Group],MATCH(Edges[[#This Row],[Vertex 1]],GroupVertices[Vertex],0)),1,1,"")</f>
        <v>6</v>
      </c>
      <c r="AG66" s="83" t="str">
        <f>REPLACE(INDEX(GroupVertices[Group],MATCH(Edges[[#This Row],[Vertex 2]],GroupVertices[Vertex],0)),1,1,"")</f>
        <v>6</v>
      </c>
      <c r="AH66" s="111">
        <v>1</v>
      </c>
      <c r="AI66" s="112">
        <v>50</v>
      </c>
      <c r="AJ66" s="111">
        <v>0</v>
      </c>
      <c r="AK66" s="112">
        <v>0</v>
      </c>
      <c r="AL66" s="111">
        <v>0</v>
      </c>
      <c r="AM66" s="112">
        <v>0</v>
      </c>
      <c r="AN66" s="111">
        <v>1</v>
      </c>
      <c r="AO66" s="112">
        <v>50</v>
      </c>
      <c r="AP66" s="111">
        <v>2</v>
      </c>
    </row>
    <row r="67" spans="1:42" ht="15">
      <c r="A67" s="65" t="s">
        <v>270</v>
      </c>
      <c r="B67" s="65" t="s">
        <v>826</v>
      </c>
      <c r="C67" s="66" t="s">
        <v>4613</v>
      </c>
      <c r="D67" s="67">
        <v>10</v>
      </c>
      <c r="E67" s="68"/>
      <c r="F67" s="69">
        <v>15</v>
      </c>
      <c r="G67" s="66"/>
      <c r="H67" s="70"/>
      <c r="I67" s="71"/>
      <c r="J67" s="71"/>
      <c r="K67" s="35" t="s">
        <v>65</v>
      </c>
      <c r="L67" s="79">
        <v>67</v>
      </c>
      <c r="M67" s="79"/>
      <c r="N67" s="73"/>
      <c r="O67" s="81" t="s">
        <v>844</v>
      </c>
      <c r="P67" s="81" t="s">
        <v>199</v>
      </c>
      <c r="Q67" s="84" t="s">
        <v>908</v>
      </c>
      <c r="R67" s="81" t="s">
        <v>270</v>
      </c>
      <c r="S67" s="81" t="s">
        <v>1629</v>
      </c>
      <c r="T67" s="86" t="str">
        <f>HYPERLINK("http://www.youtube.com/channel/UCOfVfWf8jMT4ouAJeEJ-K1Q")</f>
        <v>http://www.youtube.com/channel/UCOfVfWf8jMT4ouAJeEJ-K1Q</v>
      </c>
      <c r="U67" s="81"/>
      <c r="V67" s="81" t="s">
        <v>2309</v>
      </c>
      <c r="W67" s="86" t="str">
        <f>HYPERLINK("https://www.youtube.com/watch?v=HeOcduRiqyw")</f>
        <v>https://www.youtube.com/watch?v=HeOcduRiqyw</v>
      </c>
      <c r="X67" s="81" t="s">
        <v>2349</v>
      </c>
      <c r="Y67" s="81">
        <v>0</v>
      </c>
      <c r="Z67" s="88">
        <v>44142.53674768518</v>
      </c>
      <c r="AA67" s="88">
        <v>44142.53674768518</v>
      </c>
      <c r="AB67" s="81"/>
      <c r="AC67" s="81"/>
      <c r="AD67" s="84" t="s">
        <v>2390</v>
      </c>
      <c r="AE67" s="82">
        <v>2</v>
      </c>
      <c r="AF67" s="83" t="str">
        <f>REPLACE(INDEX(GroupVertices[Group],MATCH(Edges[[#This Row],[Vertex 1]],GroupVertices[Vertex],0)),1,1,"")</f>
        <v>6</v>
      </c>
      <c r="AG67" s="83" t="str">
        <f>REPLACE(INDEX(GroupVertices[Group],MATCH(Edges[[#This Row],[Vertex 2]],GroupVertices[Vertex],0)),1,1,"")</f>
        <v>6</v>
      </c>
      <c r="AH67" s="111">
        <v>1</v>
      </c>
      <c r="AI67" s="112">
        <v>50</v>
      </c>
      <c r="AJ67" s="111">
        <v>0</v>
      </c>
      <c r="AK67" s="112">
        <v>0</v>
      </c>
      <c r="AL67" s="111">
        <v>0</v>
      </c>
      <c r="AM67" s="112">
        <v>0</v>
      </c>
      <c r="AN67" s="111">
        <v>1</v>
      </c>
      <c r="AO67" s="112">
        <v>50</v>
      </c>
      <c r="AP67" s="111">
        <v>2</v>
      </c>
    </row>
    <row r="68" spans="1:42" ht="15">
      <c r="A68" s="65" t="s">
        <v>271</v>
      </c>
      <c r="B68" s="65" t="s">
        <v>826</v>
      </c>
      <c r="C68" s="66" t="s">
        <v>4651</v>
      </c>
      <c r="D68" s="67">
        <v>3</v>
      </c>
      <c r="E68" s="68"/>
      <c r="F68" s="69">
        <v>40</v>
      </c>
      <c r="G68" s="66"/>
      <c r="H68" s="70"/>
      <c r="I68" s="71"/>
      <c r="J68" s="71"/>
      <c r="K68" s="35" t="s">
        <v>65</v>
      </c>
      <c r="L68" s="79">
        <v>68</v>
      </c>
      <c r="M68" s="79"/>
      <c r="N68" s="73"/>
      <c r="O68" s="81" t="s">
        <v>844</v>
      </c>
      <c r="P68" s="81" t="s">
        <v>199</v>
      </c>
      <c r="Q68" s="84" t="s">
        <v>909</v>
      </c>
      <c r="R68" s="81" t="s">
        <v>271</v>
      </c>
      <c r="S68" s="81" t="s">
        <v>1630</v>
      </c>
      <c r="T68" s="86" t="str">
        <f>HYPERLINK("http://www.youtube.com/channel/UCmUFhJtrl73v6pSC9_aiHWw")</f>
        <v>http://www.youtube.com/channel/UCmUFhJtrl73v6pSC9_aiHWw</v>
      </c>
      <c r="U68" s="81"/>
      <c r="V68" s="81" t="s">
        <v>2309</v>
      </c>
      <c r="W68" s="86" t="str">
        <f>HYPERLINK("https://www.youtube.com/watch?v=HeOcduRiqyw")</f>
        <v>https://www.youtube.com/watch?v=HeOcduRiqyw</v>
      </c>
      <c r="X68" s="81" t="s">
        <v>2349</v>
      </c>
      <c r="Y68" s="81">
        <v>0</v>
      </c>
      <c r="Z68" s="88">
        <v>44310.32111111111</v>
      </c>
      <c r="AA68" s="88">
        <v>44310.32111111111</v>
      </c>
      <c r="AB68" s="81" t="s">
        <v>2352</v>
      </c>
      <c r="AC68" s="81" t="s">
        <v>2379</v>
      </c>
      <c r="AD68" s="84" t="s">
        <v>2390</v>
      </c>
      <c r="AE68" s="82">
        <v>1</v>
      </c>
      <c r="AF68" s="83" t="str">
        <f>REPLACE(INDEX(GroupVertices[Group],MATCH(Edges[[#This Row],[Vertex 1]],GroupVertices[Vertex],0)),1,1,"")</f>
        <v>6</v>
      </c>
      <c r="AG68" s="83" t="str">
        <f>REPLACE(INDEX(GroupVertices[Group],MATCH(Edges[[#This Row],[Vertex 2]],GroupVertices[Vertex],0)),1,1,"")</f>
        <v>6</v>
      </c>
      <c r="AH68" s="111">
        <v>0</v>
      </c>
      <c r="AI68" s="112">
        <v>0</v>
      </c>
      <c r="AJ68" s="111">
        <v>0</v>
      </c>
      <c r="AK68" s="112">
        <v>0</v>
      </c>
      <c r="AL68" s="111">
        <v>0</v>
      </c>
      <c r="AM68" s="112">
        <v>0</v>
      </c>
      <c r="AN68" s="111">
        <v>17</v>
      </c>
      <c r="AO68" s="112">
        <v>100</v>
      </c>
      <c r="AP68" s="111">
        <v>17</v>
      </c>
    </row>
    <row r="69" spans="1:42" ht="15">
      <c r="A69" s="65" t="s">
        <v>272</v>
      </c>
      <c r="B69" s="65" t="s">
        <v>828</v>
      </c>
      <c r="C69" s="66" t="s">
        <v>4651</v>
      </c>
      <c r="D69" s="67">
        <v>3</v>
      </c>
      <c r="E69" s="68"/>
      <c r="F69" s="69">
        <v>40</v>
      </c>
      <c r="G69" s="66"/>
      <c r="H69" s="70"/>
      <c r="I69" s="71"/>
      <c r="J69" s="71"/>
      <c r="K69" s="35" t="s">
        <v>65</v>
      </c>
      <c r="L69" s="79">
        <v>69</v>
      </c>
      <c r="M69" s="79"/>
      <c r="N69" s="73"/>
      <c r="O69" s="81" t="s">
        <v>844</v>
      </c>
      <c r="P69" s="81" t="s">
        <v>199</v>
      </c>
      <c r="Q69" s="84" t="s">
        <v>910</v>
      </c>
      <c r="R69" s="81" t="s">
        <v>272</v>
      </c>
      <c r="S69" s="81" t="s">
        <v>1631</v>
      </c>
      <c r="T69" s="86" t="str">
        <f>HYPERLINK("http://www.youtube.com/channel/UC6VRkxwooMQZLgKrbCW_FSA")</f>
        <v>http://www.youtube.com/channel/UC6VRkxwooMQZLgKrbCW_FSA</v>
      </c>
      <c r="U69" s="81"/>
      <c r="V69" s="81" t="s">
        <v>2310</v>
      </c>
      <c r="W69" s="86" t="str">
        <f>HYPERLINK("https://www.youtube.com/watch?v=LBkXQ_mBO3Q")</f>
        <v>https://www.youtube.com/watch?v=LBkXQ_mBO3Q</v>
      </c>
      <c r="X69" s="81" t="s">
        <v>2349</v>
      </c>
      <c r="Y69" s="81">
        <v>3</v>
      </c>
      <c r="Z69" s="88">
        <v>43847.37734953704</v>
      </c>
      <c r="AA69" s="88">
        <v>43847.37734953704</v>
      </c>
      <c r="AB69" s="81"/>
      <c r="AC69" s="81"/>
      <c r="AD69" s="84" t="s">
        <v>2390</v>
      </c>
      <c r="AE69" s="82">
        <v>1</v>
      </c>
      <c r="AF69" s="83" t="str">
        <f>REPLACE(INDEX(GroupVertices[Group],MATCH(Edges[[#This Row],[Vertex 1]],GroupVertices[Vertex],0)),1,1,"")</f>
        <v>3</v>
      </c>
      <c r="AG69" s="83" t="str">
        <f>REPLACE(INDEX(GroupVertices[Group],MATCH(Edges[[#This Row],[Vertex 2]],GroupVertices[Vertex],0)),1,1,"")</f>
        <v>3</v>
      </c>
      <c r="AH69" s="111">
        <v>0</v>
      </c>
      <c r="AI69" s="112">
        <v>0</v>
      </c>
      <c r="AJ69" s="111">
        <v>0</v>
      </c>
      <c r="AK69" s="112">
        <v>0</v>
      </c>
      <c r="AL69" s="111">
        <v>0</v>
      </c>
      <c r="AM69" s="112">
        <v>0</v>
      </c>
      <c r="AN69" s="111">
        <v>1</v>
      </c>
      <c r="AO69" s="112">
        <v>100</v>
      </c>
      <c r="AP69" s="111">
        <v>1</v>
      </c>
    </row>
    <row r="70" spans="1:42" ht="15">
      <c r="A70" s="65" t="s">
        <v>273</v>
      </c>
      <c r="B70" s="65" t="s">
        <v>274</v>
      </c>
      <c r="C70" s="66" t="s">
        <v>4651</v>
      </c>
      <c r="D70" s="67">
        <v>3</v>
      </c>
      <c r="E70" s="68"/>
      <c r="F70" s="69">
        <v>40</v>
      </c>
      <c r="G70" s="66"/>
      <c r="H70" s="70"/>
      <c r="I70" s="71"/>
      <c r="J70" s="71"/>
      <c r="K70" s="35" t="s">
        <v>65</v>
      </c>
      <c r="L70" s="79">
        <v>70</v>
      </c>
      <c r="M70" s="79"/>
      <c r="N70" s="73"/>
      <c r="O70" s="81" t="s">
        <v>845</v>
      </c>
      <c r="P70" s="81" t="s">
        <v>847</v>
      </c>
      <c r="Q70" s="84" t="s">
        <v>911</v>
      </c>
      <c r="R70" s="81" t="s">
        <v>273</v>
      </c>
      <c r="S70" s="81" t="s">
        <v>1632</v>
      </c>
      <c r="T70" s="86" t="str">
        <f>HYPERLINK("http://www.youtube.com/channel/UCo08T_MPUyNbixbGtoQ3Rlw")</f>
        <v>http://www.youtube.com/channel/UCo08T_MPUyNbixbGtoQ3Rlw</v>
      </c>
      <c r="U70" s="81" t="s">
        <v>2189</v>
      </c>
      <c r="V70" s="81" t="s">
        <v>2310</v>
      </c>
      <c r="W70" s="86" t="str">
        <f>HYPERLINK("https://www.youtube.com/watch?v=LBkXQ_mBO3Q")</f>
        <v>https://www.youtube.com/watch?v=LBkXQ_mBO3Q</v>
      </c>
      <c r="X70" s="81" t="s">
        <v>2349</v>
      </c>
      <c r="Y70" s="81">
        <v>0</v>
      </c>
      <c r="Z70" s="88">
        <v>44046.70386574074</v>
      </c>
      <c r="AA70" s="88">
        <v>44046.70386574074</v>
      </c>
      <c r="AB70" s="81"/>
      <c r="AC70" s="81"/>
      <c r="AD70" s="84" t="s">
        <v>2390</v>
      </c>
      <c r="AE70" s="82">
        <v>1</v>
      </c>
      <c r="AF70" s="83" t="str">
        <f>REPLACE(INDEX(GroupVertices[Group],MATCH(Edges[[#This Row],[Vertex 1]],GroupVertices[Vertex],0)),1,1,"")</f>
        <v>3</v>
      </c>
      <c r="AG70" s="83" t="str">
        <f>REPLACE(INDEX(GroupVertices[Group],MATCH(Edges[[#This Row],[Vertex 2]],GroupVertices[Vertex],0)),1,1,"")</f>
        <v>3</v>
      </c>
      <c r="AH70" s="111">
        <v>0</v>
      </c>
      <c r="AI70" s="112">
        <v>0</v>
      </c>
      <c r="AJ70" s="111">
        <v>0</v>
      </c>
      <c r="AK70" s="112">
        <v>0</v>
      </c>
      <c r="AL70" s="111">
        <v>0</v>
      </c>
      <c r="AM70" s="112">
        <v>0</v>
      </c>
      <c r="AN70" s="111">
        <v>1</v>
      </c>
      <c r="AO70" s="112">
        <v>100</v>
      </c>
      <c r="AP70" s="111">
        <v>1</v>
      </c>
    </row>
    <row r="71" spans="1:42" ht="15">
      <c r="A71" s="65" t="s">
        <v>274</v>
      </c>
      <c r="B71" s="65" t="s">
        <v>828</v>
      </c>
      <c r="C71" s="66" t="s">
        <v>4651</v>
      </c>
      <c r="D71" s="67">
        <v>3</v>
      </c>
      <c r="E71" s="68"/>
      <c r="F71" s="69">
        <v>40</v>
      </c>
      <c r="G71" s="66"/>
      <c r="H71" s="70"/>
      <c r="I71" s="71"/>
      <c r="J71" s="71"/>
      <c r="K71" s="35" t="s">
        <v>65</v>
      </c>
      <c r="L71" s="79">
        <v>71</v>
      </c>
      <c r="M71" s="79"/>
      <c r="N71" s="73"/>
      <c r="O71" s="81" t="s">
        <v>844</v>
      </c>
      <c r="P71" s="81" t="s">
        <v>199</v>
      </c>
      <c r="Q71" s="84" t="s">
        <v>912</v>
      </c>
      <c r="R71" s="81" t="s">
        <v>274</v>
      </c>
      <c r="S71" s="81" t="s">
        <v>1633</v>
      </c>
      <c r="T71" s="86" t="str">
        <f>HYPERLINK("http://www.youtube.com/channel/UCwxpRcCsoT-kG0kw9PQIetg")</f>
        <v>http://www.youtube.com/channel/UCwxpRcCsoT-kG0kw9PQIetg</v>
      </c>
      <c r="U71" s="81"/>
      <c r="V71" s="81" t="s">
        <v>2310</v>
      </c>
      <c r="W71" s="86" t="str">
        <f>HYPERLINK("https://www.youtube.com/watch?v=LBkXQ_mBO3Q")</f>
        <v>https://www.youtube.com/watch?v=LBkXQ_mBO3Q</v>
      </c>
      <c r="X71" s="81" t="s">
        <v>2349</v>
      </c>
      <c r="Y71" s="81">
        <v>12</v>
      </c>
      <c r="Z71" s="88">
        <v>43886.73715277778</v>
      </c>
      <c r="AA71" s="88">
        <v>43886.73715277778</v>
      </c>
      <c r="AB71" s="81"/>
      <c r="AC71" s="81"/>
      <c r="AD71" s="84" t="s">
        <v>2390</v>
      </c>
      <c r="AE71" s="82">
        <v>1</v>
      </c>
      <c r="AF71" s="83" t="str">
        <f>REPLACE(INDEX(GroupVertices[Group],MATCH(Edges[[#This Row],[Vertex 1]],GroupVertices[Vertex],0)),1,1,"")</f>
        <v>3</v>
      </c>
      <c r="AG71" s="83" t="str">
        <f>REPLACE(INDEX(GroupVertices[Group],MATCH(Edges[[#This Row],[Vertex 2]],GroupVertices[Vertex],0)),1,1,"")</f>
        <v>3</v>
      </c>
      <c r="AH71" s="111">
        <v>1</v>
      </c>
      <c r="AI71" s="112">
        <v>14.285714285714286</v>
      </c>
      <c r="AJ71" s="111">
        <v>0</v>
      </c>
      <c r="AK71" s="112">
        <v>0</v>
      </c>
      <c r="AL71" s="111">
        <v>0</v>
      </c>
      <c r="AM71" s="112">
        <v>0</v>
      </c>
      <c r="AN71" s="111">
        <v>6</v>
      </c>
      <c r="AO71" s="112">
        <v>85.71428571428571</v>
      </c>
      <c r="AP71" s="111">
        <v>7</v>
      </c>
    </row>
    <row r="72" spans="1:42" ht="15">
      <c r="A72" s="65" t="s">
        <v>275</v>
      </c>
      <c r="B72" s="65" t="s">
        <v>828</v>
      </c>
      <c r="C72" s="66" t="s">
        <v>4651</v>
      </c>
      <c r="D72" s="67">
        <v>3</v>
      </c>
      <c r="E72" s="68"/>
      <c r="F72" s="69">
        <v>40</v>
      </c>
      <c r="G72" s="66"/>
      <c r="H72" s="70"/>
      <c r="I72" s="71"/>
      <c r="J72" s="71"/>
      <c r="K72" s="35" t="s">
        <v>65</v>
      </c>
      <c r="L72" s="79">
        <v>72</v>
      </c>
      <c r="M72" s="79"/>
      <c r="N72" s="73"/>
      <c r="O72" s="81" t="s">
        <v>844</v>
      </c>
      <c r="P72" s="81" t="s">
        <v>199</v>
      </c>
      <c r="Q72" s="84" t="s">
        <v>913</v>
      </c>
      <c r="R72" s="81" t="s">
        <v>275</v>
      </c>
      <c r="S72" s="81" t="s">
        <v>1634</v>
      </c>
      <c r="T72" s="86" t="str">
        <f>HYPERLINK("http://www.youtube.com/channel/UC1puFizBB5Q0oC9N2w_gBgg")</f>
        <v>http://www.youtube.com/channel/UC1puFizBB5Q0oC9N2w_gBgg</v>
      </c>
      <c r="U72" s="81"/>
      <c r="V72" s="81" t="s">
        <v>2310</v>
      </c>
      <c r="W72" s="86" t="str">
        <f>HYPERLINK("https://www.youtube.com/watch?v=LBkXQ_mBO3Q")</f>
        <v>https://www.youtube.com/watch?v=LBkXQ_mBO3Q</v>
      </c>
      <c r="X72" s="81" t="s">
        <v>2349</v>
      </c>
      <c r="Y72" s="81">
        <v>4</v>
      </c>
      <c r="Z72" s="88">
        <v>43899.26400462963</v>
      </c>
      <c r="AA72" s="88">
        <v>43899.26400462963</v>
      </c>
      <c r="AB72" s="81"/>
      <c r="AC72" s="81"/>
      <c r="AD72" s="84" t="s">
        <v>2390</v>
      </c>
      <c r="AE72" s="82">
        <v>1</v>
      </c>
      <c r="AF72" s="83" t="str">
        <f>REPLACE(INDEX(GroupVertices[Group],MATCH(Edges[[#This Row],[Vertex 1]],GroupVertices[Vertex],0)),1,1,"")</f>
        <v>3</v>
      </c>
      <c r="AG72" s="83" t="str">
        <f>REPLACE(INDEX(GroupVertices[Group],MATCH(Edges[[#This Row],[Vertex 2]],GroupVertices[Vertex],0)),1,1,"")</f>
        <v>3</v>
      </c>
      <c r="AH72" s="111">
        <v>0</v>
      </c>
      <c r="AI72" s="112">
        <v>0</v>
      </c>
      <c r="AJ72" s="111">
        <v>0</v>
      </c>
      <c r="AK72" s="112">
        <v>0</v>
      </c>
      <c r="AL72" s="111">
        <v>0</v>
      </c>
      <c r="AM72" s="112">
        <v>0</v>
      </c>
      <c r="AN72" s="111">
        <v>6</v>
      </c>
      <c r="AO72" s="112">
        <v>100</v>
      </c>
      <c r="AP72" s="111">
        <v>6</v>
      </c>
    </row>
    <row r="73" spans="1:42" ht="15">
      <c r="A73" s="65" t="s">
        <v>276</v>
      </c>
      <c r="B73" s="65" t="s">
        <v>278</v>
      </c>
      <c r="C73" s="66" t="s">
        <v>4651</v>
      </c>
      <c r="D73" s="67">
        <v>3</v>
      </c>
      <c r="E73" s="68"/>
      <c r="F73" s="69">
        <v>40</v>
      </c>
      <c r="G73" s="66"/>
      <c r="H73" s="70"/>
      <c r="I73" s="71"/>
      <c r="J73" s="71"/>
      <c r="K73" s="35" t="s">
        <v>65</v>
      </c>
      <c r="L73" s="79">
        <v>73</v>
      </c>
      <c r="M73" s="79"/>
      <c r="N73" s="73"/>
      <c r="O73" s="81" t="s">
        <v>845</v>
      </c>
      <c r="P73" s="81" t="s">
        <v>847</v>
      </c>
      <c r="Q73" s="84" t="s">
        <v>914</v>
      </c>
      <c r="R73" s="81" t="s">
        <v>276</v>
      </c>
      <c r="S73" s="81" t="s">
        <v>1635</v>
      </c>
      <c r="T73" s="86" t="str">
        <f>HYPERLINK("http://www.youtube.com/channel/UCuORhab6yzFvslf7K4hf-JA")</f>
        <v>http://www.youtube.com/channel/UCuORhab6yzFvslf7K4hf-JA</v>
      </c>
      <c r="U73" s="81" t="s">
        <v>2190</v>
      </c>
      <c r="V73" s="81" t="s">
        <v>2310</v>
      </c>
      <c r="W73" s="86" t="str">
        <f>HYPERLINK("https://www.youtube.com/watch?v=LBkXQ_mBO3Q")</f>
        <v>https://www.youtube.com/watch?v=LBkXQ_mBO3Q</v>
      </c>
      <c r="X73" s="81" t="s">
        <v>2349</v>
      </c>
      <c r="Y73" s="81">
        <v>1</v>
      </c>
      <c r="Z73" s="88">
        <v>43955.95202546296</v>
      </c>
      <c r="AA73" s="88">
        <v>43955.95202546296</v>
      </c>
      <c r="AB73" s="81"/>
      <c r="AC73" s="81"/>
      <c r="AD73" s="84" t="s">
        <v>2390</v>
      </c>
      <c r="AE73" s="82">
        <v>1</v>
      </c>
      <c r="AF73" s="83" t="str">
        <f>REPLACE(INDEX(GroupVertices[Group],MATCH(Edges[[#This Row],[Vertex 1]],GroupVertices[Vertex],0)),1,1,"")</f>
        <v>3</v>
      </c>
      <c r="AG73" s="83" t="str">
        <f>REPLACE(INDEX(GroupVertices[Group],MATCH(Edges[[#This Row],[Vertex 2]],GroupVertices[Vertex],0)),1,1,"")</f>
        <v>3</v>
      </c>
      <c r="AH73" s="111">
        <v>0</v>
      </c>
      <c r="AI73" s="112">
        <v>0</v>
      </c>
      <c r="AJ73" s="111">
        <v>0</v>
      </c>
      <c r="AK73" s="112">
        <v>0</v>
      </c>
      <c r="AL73" s="111">
        <v>0</v>
      </c>
      <c r="AM73" s="112">
        <v>0</v>
      </c>
      <c r="AN73" s="111">
        <v>1</v>
      </c>
      <c r="AO73" s="112">
        <v>100</v>
      </c>
      <c r="AP73" s="111">
        <v>1</v>
      </c>
    </row>
    <row r="74" spans="1:42" ht="15">
      <c r="A74" s="65" t="s">
        <v>277</v>
      </c>
      <c r="B74" s="65" t="s">
        <v>278</v>
      </c>
      <c r="C74" s="66" t="s">
        <v>4651</v>
      </c>
      <c r="D74" s="67">
        <v>3</v>
      </c>
      <c r="E74" s="68"/>
      <c r="F74" s="69">
        <v>40</v>
      </c>
      <c r="G74" s="66"/>
      <c r="H74" s="70"/>
      <c r="I74" s="71"/>
      <c r="J74" s="71"/>
      <c r="K74" s="35" t="s">
        <v>65</v>
      </c>
      <c r="L74" s="79">
        <v>74</v>
      </c>
      <c r="M74" s="79"/>
      <c r="N74" s="73"/>
      <c r="O74" s="81" t="s">
        <v>845</v>
      </c>
      <c r="P74" s="81" t="s">
        <v>847</v>
      </c>
      <c r="Q74" s="84" t="s">
        <v>915</v>
      </c>
      <c r="R74" s="81" t="s">
        <v>277</v>
      </c>
      <c r="S74" s="81" t="s">
        <v>1636</v>
      </c>
      <c r="T74" s="86" t="str">
        <f>HYPERLINK("http://www.youtube.com/channel/UCTVBReUiRCcbH515R0A3H5g")</f>
        <v>http://www.youtube.com/channel/UCTVBReUiRCcbH515R0A3H5g</v>
      </c>
      <c r="U74" s="81" t="s">
        <v>2190</v>
      </c>
      <c r="V74" s="81" t="s">
        <v>2310</v>
      </c>
      <c r="W74" s="86" t="str">
        <f>HYPERLINK("https://www.youtube.com/watch?v=LBkXQ_mBO3Q")</f>
        <v>https://www.youtube.com/watch?v=LBkXQ_mBO3Q</v>
      </c>
      <c r="X74" s="81" t="s">
        <v>2349</v>
      </c>
      <c r="Y74" s="81">
        <v>1</v>
      </c>
      <c r="Z74" s="88">
        <v>43998.66553240741</v>
      </c>
      <c r="AA74" s="88">
        <v>43998.66553240741</v>
      </c>
      <c r="AB74" s="81"/>
      <c r="AC74" s="81"/>
      <c r="AD74" s="84" t="s">
        <v>2390</v>
      </c>
      <c r="AE74" s="82">
        <v>1</v>
      </c>
      <c r="AF74" s="83" t="str">
        <f>REPLACE(INDEX(GroupVertices[Group],MATCH(Edges[[#This Row],[Vertex 1]],GroupVertices[Vertex],0)),1,1,"")</f>
        <v>3</v>
      </c>
      <c r="AG74" s="83" t="str">
        <f>REPLACE(INDEX(GroupVertices[Group],MATCH(Edges[[#This Row],[Vertex 2]],GroupVertices[Vertex],0)),1,1,"")</f>
        <v>3</v>
      </c>
      <c r="AH74" s="111">
        <v>0</v>
      </c>
      <c r="AI74" s="112">
        <v>0</v>
      </c>
      <c r="AJ74" s="111">
        <v>0</v>
      </c>
      <c r="AK74" s="112">
        <v>0</v>
      </c>
      <c r="AL74" s="111">
        <v>0</v>
      </c>
      <c r="AM74" s="112">
        <v>0</v>
      </c>
      <c r="AN74" s="111">
        <v>1</v>
      </c>
      <c r="AO74" s="112">
        <v>100</v>
      </c>
      <c r="AP74" s="111">
        <v>1</v>
      </c>
    </row>
    <row r="75" spans="1:42" ht="15">
      <c r="A75" s="65" t="s">
        <v>278</v>
      </c>
      <c r="B75" s="65" t="s">
        <v>278</v>
      </c>
      <c r="C75" s="66" t="s">
        <v>4651</v>
      </c>
      <c r="D75" s="67">
        <v>3</v>
      </c>
      <c r="E75" s="68"/>
      <c r="F75" s="69">
        <v>40</v>
      </c>
      <c r="G75" s="66"/>
      <c r="H75" s="70"/>
      <c r="I75" s="71"/>
      <c r="J75" s="71"/>
      <c r="K75" s="35" t="s">
        <v>65</v>
      </c>
      <c r="L75" s="79">
        <v>75</v>
      </c>
      <c r="M75" s="79"/>
      <c r="N75" s="73"/>
      <c r="O75" s="81" t="s">
        <v>845</v>
      </c>
      <c r="P75" s="81" t="s">
        <v>847</v>
      </c>
      <c r="Q75" s="84" t="s">
        <v>916</v>
      </c>
      <c r="R75" s="81" t="s">
        <v>278</v>
      </c>
      <c r="S75" s="81" t="s">
        <v>1637</v>
      </c>
      <c r="T75" s="86" t="str">
        <f>HYPERLINK("http://www.youtube.com/channel/UC2n-crjvBxftpzxRnMeX3aQ")</f>
        <v>http://www.youtube.com/channel/UC2n-crjvBxftpzxRnMeX3aQ</v>
      </c>
      <c r="U75" s="81" t="s">
        <v>2190</v>
      </c>
      <c r="V75" s="81" t="s">
        <v>2310</v>
      </c>
      <c r="W75" s="86" t="str">
        <f>HYPERLINK("https://www.youtube.com/watch?v=LBkXQ_mBO3Q")</f>
        <v>https://www.youtube.com/watch?v=LBkXQ_mBO3Q</v>
      </c>
      <c r="X75" s="81" t="s">
        <v>2349</v>
      </c>
      <c r="Y75" s="81">
        <v>1</v>
      </c>
      <c r="Z75" s="88">
        <v>43900.600173611114</v>
      </c>
      <c r="AA75" s="88">
        <v>43900.600173611114</v>
      </c>
      <c r="AB75" s="81" t="s">
        <v>2353</v>
      </c>
      <c r="AC75" s="81" t="s">
        <v>2379</v>
      </c>
      <c r="AD75" s="84" t="s">
        <v>2390</v>
      </c>
      <c r="AE75" s="82">
        <v>1</v>
      </c>
      <c r="AF75" s="83" t="str">
        <f>REPLACE(INDEX(GroupVertices[Group],MATCH(Edges[[#This Row],[Vertex 1]],GroupVertices[Vertex],0)),1,1,"")</f>
        <v>3</v>
      </c>
      <c r="AG75" s="83" t="str">
        <f>REPLACE(INDEX(GroupVertices[Group],MATCH(Edges[[#This Row],[Vertex 2]],GroupVertices[Vertex],0)),1,1,"")</f>
        <v>3</v>
      </c>
      <c r="AH75" s="111">
        <v>0</v>
      </c>
      <c r="AI75" s="112">
        <v>0</v>
      </c>
      <c r="AJ75" s="111">
        <v>0</v>
      </c>
      <c r="AK75" s="112">
        <v>0</v>
      </c>
      <c r="AL75" s="111">
        <v>0</v>
      </c>
      <c r="AM75" s="112">
        <v>0</v>
      </c>
      <c r="AN75" s="111">
        <v>18</v>
      </c>
      <c r="AO75" s="112">
        <v>100</v>
      </c>
      <c r="AP75" s="111">
        <v>18</v>
      </c>
    </row>
    <row r="76" spans="1:42" ht="15">
      <c r="A76" s="65" t="s">
        <v>278</v>
      </c>
      <c r="B76" s="65" t="s">
        <v>828</v>
      </c>
      <c r="C76" s="66" t="s">
        <v>4651</v>
      </c>
      <c r="D76" s="67">
        <v>3</v>
      </c>
      <c r="E76" s="68"/>
      <c r="F76" s="69">
        <v>40</v>
      </c>
      <c r="G76" s="66"/>
      <c r="H76" s="70"/>
      <c r="I76" s="71"/>
      <c r="J76" s="71"/>
      <c r="K76" s="35" t="s">
        <v>65</v>
      </c>
      <c r="L76" s="79">
        <v>76</v>
      </c>
      <c r="M76" s="79"/>
      <c r="N76" s="73"/>
      <c r="O76" s="81" t="s">
        <v>844</v>
      </c>
      <c r="P76" s="81" t="s">
        <v>199</v>
      </c>
      <c r="Q76" s="84" t="s">
        <v>917</v>
      </c>
      <c r="R76" s="81" t="s">
        <v>278</v>
      </c>
      <c r="S76" s="81" t="s">
        <v>1637</v>
      </c>
      <c r="T76" s="86" t="str">
        <f>HYPERLINK("http://www.youtube.com/channel/UC2n-crjvBxftpzxRnMeX3aQ")</f>
        <v>http://www.youtube.com/channel/UC2n-crjvBxftpzxRnMeX3aQ</v>
      </c>
      <c r="U76" s="81"/>
      <c r="V76" s="81" t="s">
        <v>2310</v>
      </c>
      <c r="W76" s="86" t="str">
        <f>HYPERLINK("https://www.youtube.com/watch?v=LBkXQ_mBO3Q")</f>
        <v>https://www.youtube.com/watch?v=LBkXQ_mBO3Q</v>
      </c>
      <c r="X76" s="81" t="s">
        <v>2349</v>
      </c>
      <c r="Y76" s="81">
        <v>5</v>
      </c>
      <c r="Z76" s="88">
        <v>43900.59950231481</v>
      </c>
      <c r="AA76" s="88">
        <v>43900.59950231481</v>
      </c>
      <c r="AB76" s="81" t="s">
        <v>2354</v>
      </c>
      <c r="AC76" s="81" t="s">
        <v>2379</v>
      </c>
      <c r="AD76" s="84" t="s">
        <v>2390</v>
      </c>
      <c r="AE76" s="82">
        <v>1</v>
      </c>
      <c r="AF76" s="83" t="str">
        <f>REPLACE(INDEX(GroupVertices[Group],MATCH(Edges[[#This Row],[Vertex 1]],GroupVertices[Vertex],0)),1,1,"")</f>
        <v>3</v>
      </c>
      <c r="AG76" s="83" t="str">
        <f>REPLACE(INDEX(GroupVertices[Group],MATCH(Edges[[#This Row],[Vertex 2]],GroupVertices[Vertex],0)),1,1,"")</f>
        <v>3</v>
      </c>
      <c r="AH76" s="111">
        <v>0</v>
      </c>
      <c r="AI76" s="112">
        <v>0</v>
      </c>
      <c r="AJ76" s="111">
        <v>0</v>
      </c>
      <c r="AK76" s="112">
        <v>0</v>
      </c>
      <c r="AL76" s="111">
        <v>0</v>
      </c>
      <c r="AM76" s="112">
        <v>0</v>
      </c>
      <c r="AN76" s="111">
        <v>26</v>
      </c>
      <c r="AO76" s="112">
        <v>100</v>
      </c>
      <c r="AP76" s="111">
        <v>26</v>
      </c>
    </row>
    <row r="77" spans="1:42" ht="15">
      <c r="A77" s="65" t="s">
        <v>279</v>
      </c>
      <c r="B77" s="65" t="s">
        <v>828</v>
      </c>
      <c r="C77" s="66" t="s">
        <v>4651</v>
      </c>
      <c r="D77" s="67">
        <v>3</v>
      </c>
      <c r="E77" s="68"/>
      <c r="F77" s="69">
        <v>40</v>
      </c>
      <c r="G77" s="66"/>
      <c r="H77" s="70"/>
      <c r="I77" s="71"/>
      <c r="J77" s="71"/>
      <c r="K77" s="35" t="s">
        <v>65</v>
      </c>
      <c r="L77" s="79">
        <v>77</v>
      </c>
      <c r="M77" s="79"/>
      <c r="N77" s="73"/>
      <c r="O77" s="81" t="s">
        <v>844</v>
      </c>
      <c r="P77" s="81" t="s">
        <v>199</v>
      </c>
      <c r="Q77" s="84" t="s">
        <v>918</v>
      </c>
      <c r="R77" s="81" t="s">
        <v>279</v>
      </c>
      <c r="S77" s="81" t="s">
        <v>1638</v>
      </c>
      <c r="T77" s="86" t="str">
        <f>HYPERLINK("http://www.youtube.com/channel/UCnTRh4faSwpb4I1Ll1-0bxQ")</f>
        <v>http://www.youtube.com/channel/UCnTRh4faSwpb4I1Ll1-0bxQ</v>
      </c>
      <c r="U77" s="81"/>
      <c r="V77" s="81" t="s">
        <v>2310</v>
      </c>
      <c r="W77" s="86" t="str">
        <f>HYPERLINK("https://www.youtube.com/watch?v=LBkXQ_mBO3Q")</f>
        <v>https://www.youtube.com/watch?v=LBkXQ_mBO3Q</v>
      </c>
      <c r="X77" s="81" t="s">
        <v>2349</v>
      </c>
      <c r="Y77" s="81">
        <v>1</v>
      </c>
      <c r="Z77" s="88">
        <v>43905.61914351852</v>
      </c>
      <c r="AA77" s="88">
        <v>43905.61914351852</v>
      </c>
      <c r="AB77" s="81" t="s">
        <v>2355</v>
      </c>
      <c r="AC77" s="81" t="s">
        <v>2380</v>
      </c>
      <c r="AD77" s="84" t="s">
        <v>2390</v>
      </c>
      <c r="AE77" s="82">
        <v>1</v>
      </c>
      <c r="AF77" s="83" t="str">
        <f>REPLACE(INDEX(GroupVertices[Group],MATCH(Edges[[#This Row],[Vertex 1]],GroupVertices[Vertex],0)),1,1,"")</f>
        <v>3</v>
      </c>
      <c r="AG77" s="83" t="str">
        <f>REPLACE(INDEX(GroupVertices[Group],MATCH(Edges[[#This Row],[Vertex 2]],GroupVertices[Vertex],0)),1,1,"")</f>
        <v>3</v>
      </c>
      <c r="AH77" s="111">
        <v>1</v>
      </c>
      <c r="AI77" s="112">
        <v>3.8461538461538463</v>
      </c>
      <c r="AJ77" s="111">
        <v>1</v>
      </c>
      <c r="AK77" s="112">
        <v>3.8461538461538463</v>
      </c>
      <c r="AL77" s="111">
        <v>0</v>
      </c>
      <c r="AM77" s="112">
        <v>0</v>
      </c>
      <c r="AN77" s="111">
        <v>24</v>
      </c>
      <c r="AO77" s="112">
        <v>92.3076923076923</v>
      </c>
      <c r="AP77" s="111">
        <v>26</v>
      </c>
    </row>
    <row r="78" spans="1:42" ht="15">
      <c r="A78" s="65" t="s">
        <v>280</v>
      </c>
      <c r="B78" s="65" t="s">
        <v>281</v>
      </c>
      <c r="C78" s="66" t="s">
        <v>4651</v>
      </c>
      <c r="D78" s="67">
        <v>3</v>
      </c>
      <c r="E78" s="68"/>
      <c r="F78" s="69">
        <v>40</v>
      </c>
      <c r="G78" s="66"/>
      <c r="H78" s="70"/>
      <c r="I78" s="71"/>
      <c r="J78" s="71"/>
      <c r="K78" s="35" t="s">
        <v>65</v>
      </c>
      <c r="L78" s="79">
        <v>78</v>
      </c>
      <c r="M78" s="79"/>
      <c r="N78" s="73"/>
      <c r="O78" s="81" t="s">
        <v>845</v>
      </c>
      <c r="P78" s="81" t="s">
        <v>847</v>
      </c>
      <c r="Q78" s="84" t="s">
        <v>919</v>
      </c>
      <c r="R78" s="81" t="s">
        <v>280</v>
      </c>
      <c r="S78" s="81" t="s">
        <v>1639</v>
      </c>
      <c r="T78" s="86" t="str">
        <f>HYPERLINK("http://www.youtube.com/channel/UCOhfuwekGSzur00a544CcKQ")</f>
        <v>http://www.youtube.com/channel/UCOhfuwekGSzur00a544CcKQ</v>
      </c>
      <c r="U78" s="81" t="s">
        <v>2191</v>
      </c>
      <c r="V78" s="81" t="s">
        <v>2310</v>
      </c>
      <c r="W78" s="86" t="str">
        <f>HYPERLINK("https://www.youtube.com/watch?v=LBkXQ_mBO3Q")</f>
        <v>https://www.youtube.com/watch?v=LBkXQ_mBO3Q</v>
      </c>
      <c r="X78" s="81" t="s">
        <v>2349</v>
      </c>
      <c r="Y78" s="81">
        <v>0</v>
      </c>
      <c r="Z78" s="88">
        <v>44038.340208333335</v>
      </c>
      <c r="AA78" s="88">
        <v>44038.340208333335</v>
      </c>
      <c r="AB78" s="81"/>
      <c r="AC78" s="81"/>
      <c r="AD78" s="84" t="s">
        <v>2390</v>
      </c>
      <c r="AE78" s="82">
        <v>1</v>
      </c>
      <c r="AF78" s="83" t="str">
        <f>REPLACE(INDEX(GroupVertices[Group],MATCH(Edges[[#This Row],[Vertex 1]],GroupVertices[Vertex],0)),1,1,"")</f>
        <v>3</v>
      </c>
      <c r="AG78" s="83" t="str">
        <f>REPLACE(INDEX(GroupVertices[Group],MATCH(Edges[[#This Row],[Vertex 2]],GroupVertices[Vertex],0)),1,1,"")</f>
        <v>3</v>
      </c>
      <c r="AH78" s="111">
        <v>0</v>
      </c>
      <c r="AI78" s="112">
        <v>0</v>
      </c>
      <c r="AJ78" s="111">
        <v>0</v>
      </c>
      <c r="AK78" s="112">
        <v>0</v>
      </c>
      <c r="AL78" s="111">
        <v>0</v>
      </c>
      <c r="AM78" s="112">
        <v>0</v>
      </c>
      <c r="AN78" s="111">
        <v>1</v>
      </c>
      <c r="AO78" s="112">
        <v>100</v>
      </c>
      <c r="AP78" s="111">
        <v>1</v>
      </c>
    </row>
    <row r="79" spans="1:42" ht="15">
      <c r="A79" s="65" t="s">
        <v>281</v>
      </c>
      <c r="B79" s="65" t="s">
        <v>828</v>
      </c>
      <c r="C79" s="66" t="s">
        <v>4651</v>
      </c>
      <c r="D79" s="67">
        <v>3</v>
      </c>
      <c r="E79" s="68"/>
      <c r="F79" s="69">
        <v>40</v>
      </c>
      <c r="G79" s="66"/>
      <c r="H79" s="70"/>
      <c r="I79" s="71"/>
      <c r="J79" s="71"/>
      <c r="K79" s="35" t="s">
        <v>65</v>
      </c>
      <c r="L79" s="79">
        <v>79</v>
      </c>
      <c r="M79" s="79"/>
      <c r="N79" s="73"/>
      <c r="O79" s="81" t="s">
        <v>844</v>
      </c>
      <c r="P79" s="81" t="s">
        <v>199</v>
      </c>
      <c r="Q79" s="84" t="s">
        <v>920</v>
      </c>
      <c r="R79" s="81" t="s">
        <v>281</v>
      </c>
      <c r="S79" s="81" t="s">
        <v>1640</v>
      </c>
      <c r="T79" s="86" t="str">
        <f>HYPERLINK("http://www.youtube.com/channel/UC5E4J1Vfn-v9KQDKVi4yp2g")</f>
        <v>http://www.youtube.com/channel/UC5E4J1Vfn-v9KQDKVi4yp2g</v>
      </c>
      <c r="U79" s="81"/>
      <c r="V79" s="81" t="s">
        <v>2310</v>
      </c>
      <c r="W79" s="86" t="str">
        <f>HYPERLINK("https://www.youtube.com/watch?v=LBkXQ_mBO3Q")</f>
        <v>https://www.youtube.com/watch?v=LBkXQ_mBO3Q</v>
      </c>
      <c r="X79" s="81" t="s">
        <v>2349</v>
      </c>
      <c r="Y79" s="81">
        <v>2</v>
      </c>
      <c r="Z79" s="88">
        <v>43919.73189814815</v>
      </c>
      <c r="AA79" s="88">
        <v>43919.73189814815</v>
      </c>
      <c r="AB79" s="81"/>
      <c r="AC79" s="81"/>
      <c r="AD79" s="84" t="s">
        <v>2390</v>
      </c>
      <c r="AE79" s="82">
        <v>1</v>
      </c>
      <c r="AF79" s="83" t="str">
        <f>REPLACE(INDEX(GroupVertices[Group],MATCH(Edges[[#This Row],[Vertex 1]],GroupVertices[Vertex],0)),1,1,"")</f>
        <v>3</v>
      </c>
      <c r="AG79" s="83" t="str">
        <f>REPLACE(INDEX(GroupVertices[Group],MATCH(Edges[[#This Row],[Vertex 2]],GroupVertices[Vertex],0)),1,1,"")</f>
        <v>3</v>
      </c>
      <c r="AH79" s="111">
        <v>0</v>
      </c>
      <c r="AI79" s="112">
        <v>0</v>
      </c>
      <c r="AJ79" s="111">
        <v>0</v>
      </c>
      <c r="AK79" s="112">
        <v>0</v>
      </c>
      <c r="AL79" s="111">
        <v>0</v>
      </c>
      <c r="AM79" s="112">
        <v>0</v>
      </c>
      <c r="AN79" s="111">
        <v>13</v>
      </c>
      <c r="AO79" s="112">
        <v>100</v>
      </c>
      <c r="AP79" s="111">
        <v>13</v>
      </c>
    </row>
    <row r="80" spans="1:42" ht="15">
      <c r="A80" s="65" t="s">
        <v>273</v>
      </c>
      <c r="B80" s="65" t="s">
        <v>282</v>
      </c>
      <c r="C80" s="66" t="s">
        <v>4651</v>
      </c>
      <c r="D80" s="67">
        <v>3</v>
      </c>
      <c r="E80" s="68"/>
      <c r="F80" s="69">
        <v>40</v>
      </c>
      <c r="G80" s="66"/>
      <c r="H80" s="70"/>
      <c r="I80" s="71"/>
      <c r="J80" s="71"/>
      <c r="K80" s="35" t="s">
        <v>65</v>
      </c>
      <c r="L80" s="79">
        <v>80</v>
      </c>
      <c r="M80" s="79"/>
      <c r="N80" s="73"/>
      <c r="O80" s="81" t="s">
        <v>845</v>
      </c>
      <c r="P80" s="81" t="s">
        <v>847</v>
      </c>
      <c r="Q80" s="84" t="s">
        <v>911</v>
      </c>
      <c r="R80" s="81" t="s">
        <v>273</v>
      </c>
      <c r="S80" s="81" t="s">
        <v>1632</v>
      </c>
      <c r="T80" s="86" t="str">
        <f>HYPERLINK("http://www.youtube.com/channel/UCo08T_MPUyNbixbGtoQ3Rlw")</f>
        <v>http://www.youtube.com/channel/UCo08T_MPUyNbixbGtoQ3Rlw</v>
      </c>
      <c r="U80" s="81" t="s">
        <v>2192</v>
      </c>
      <c r="V80" s="81" t="s">
        <v>2310</v>
      </c>
      <c r="W80" s="86" t="str">
        <f>HYPERLINK("https://www.youtube.com/watch?v=LBkXQ_mBO3Q")</f>
        <v>https://www.youtube.com/watch?v=LBkXQ_mBO3Q</v>
      </c>
      <c r="X80" s="81" t="s">
        <v>2349</v>
      </c>
      <c r="Y80" s="81">
        <v>0</v>
      </c>
      <c r="Z80" s="88">
        <v>44046.703518518516</v>
      </c>
      <c r="AA80" s="88">
        <v>44046.703518518516</v>
      </c>
      <c r="AB80" s="81"/>
      <c r="AC80" s="81"/>
      <c r="AD80" s="84" t="s">
        <v>2390</v>
      </c>
      <c r="AE80" s="82">
        <v>1</v>
      </c>
      <c r="AF80" s="83" t="str">
        <f>REPLACE(INDEX(GroupVertices[Group],MATCH(Edges[[#This Row],[Vertex 1]],GroupVertices[Vertex],0)),1,1,"")</f>
        <v>3</v>
      </c>
      <c r="AG80" s="83" t="str">
        <f>REPLACE(INDEX(GroupVertices[Group],MATCH(Edges[[#This Row],[Vertex 2]],GroupVertices[Vertex],0)),1,1,"")</f>
        <v>3</v>
      </c>
      <c r="AH80" s="111">
        <v>0</v>
      </c>
      <c r="AI80" s="112">
        <v>0</v>
      </c>
      <c r="AJ80" s="111">
        <v>0</v>
      </c>
      <c r="AK80" s="112">
        <v>0</v>
      </c>
      <c r="AL80" s="111">
        <v>0</v>
      </c>
      <c r="AM80" s="112">
        <v>0</v>
      </c>
      <c r="AN80" s="111">
        <v>1</v>
      </c>
      <c r="AO80" s="112">
        <v>100</v>
      </c>
      <c r="AP80" s="111">
        <v>1</v>
      </c>
    </row>
    <row r="81" spans="1:42" ht="15">
      <c r="A81" s="65" t="s">
        <v>282</v>
      </c>
      <c r="B81" s="65" t="s">
        <v>828</v>
      </c>
      <c r="C81" s="66" t="s">
        <v>4651</v>
      </c>
      <c r="D81" s="67">
        <v>3</v>
      </c>
      <c r="E81" s="68"/>
      <c r="F81" s="69">
        <v>40</v>
      </c>
      <c r="G81" s="66"/>
      <c r="H81" s="70"/>
      <c r="I81" s="71"/>
      <c r="J81" s="71"/>
      <c r="K81" s="35" t="s">
        <v>65</v>
      </c>
      <c r="L81" s="79">
        <v>81</v>
      </c>
      <c r="M81" s="79"/>
      <c r="N81" s="73"/>
      <c r="O81" s="81" t="s">
        <v>844</v>
      </c>
      <c r="P81" s="81" t="s">
        <v>199</v>
      </c>
      <c r="Q81" s="84" t="s">
        <v>921</v>
      </c>
      <c r="R81" s="81" t="s">
        <v>282</v>
      </c>
      <c r="S81" s="81" t="s">
        <v>1641</v>
      </c>
      <c r="T81" s="86" t="str">
        <f>HYPERLINK("http://www.youtube.com/channel/UCkJH3uTlOycsfIcz2s3PMEg")</f>
        <v>http://www.youtube.com/channel/UCkJH3uTlOycsfIcz2s3PMEg</v>
      </c>
      <c r="U81" s="81"/>
      <c r="V81" s="81" t="s">
        <v>2310</v>
      </c>
      <c r="W81" s="86" t="str">
        <f>HYPERLINK("https://www.youtube.com/watch?v=LBkXQ_mBO3Q")</f>
        <v>https://www.youtube.com/watch?v=LBkXQ_mBO3Q</v>
      </c>
      <c r="X81" s="81" t="s">
        <v>2349</v>
      </c>
      <c r="Y81" s="81">
        <v>7</v>
      </c>
      <c r="Z81" s="88">
        <v>43967.233935185184</v>
      </c>
      <c r="AA81" s="88">
        <v>43967.233935185184</v>
      </c>
      <c r="AB81" s="81"/>
      <c r="AC81" s="81"/>
      <c r="AD81" s="84" t="s">
        <v>2390</v>
      </c>
      <c r="AE81" s="82">
        <v>1</v>
      </c>
      <c r="AF81" s="83" t="str">
        <f>REPLACE(INDEX(GroupVertices[Group],MATCH(Edges[[#This Row],[Vertex 1]],GroupVertices[Vertex],0)),1,1,"")</f>
        <v>3</v>
      </c>
      <c r="AG81" s="83" t="str">
        <f>REPLACE(INDEX(GroupVertices[Group],MATCH(Edges[[#This Row],[Vertex 2]],GroupVertices[Vertex],0)),1,1,"")</f>
        <v>3</v>
      </c>
      <c r="AH81" s="111">
        <v>1</v>
      </c>
      <c r="AI81" s="112">
        <v>11.11111111111111</v>
      </c>
      <c r="AJ81" s="111">
        <v>0</v>
      </c>
      <c r="AK81" s="112">
        <v>0</v>
      </c>
      <c r="AL81" s="111">
        <v>0</v>
      </c>
      <c r="AM81" s="112">
        <v>0</v>
      </c>
      <c r="AN81" s="111">
        <v>8</v>
      </c>
      <c r="AO81" s="112">
        <v>88.88888888888889</v>
      </c>
      <c r="AP81" s="111">
        <v>9</v>
      </c>
    </row>
    <row r="82" spans="1:42" ht="15">
      <c r="A82" s="65" t="s">
        <v>283</v>
      </c>
      <c r="B82" s="65" t="s">
        <v>828</v>
      </c>
      <c r="C82" s="66" t="s">
        <v>4651</v>
      </c>
      <c r="D82" s="67">
        <v>3</v>
      </c>
      <c r="E82" s="68"/>
      <c r="F82" s="69">
        <v>40</v>
      </c>
      <c r="G82" s="66"/>
      <c r="H82" s="70"/>
      <c r="I82" s="71"/>
      <c r="J82" s="71"/>
      <c r="K82" s="35" t="s">
        <v>65</v>
      </c>
      <c r="L82" s="79">
        <v>82</v>
      </c>
      <c r="M82" s="79"/>
      <c r="N82" s="73"/>
      <c r="O82" s="81" t="s">
        <v>844</v>
      </c>
      <c r="P82" s="81" t="s">
        <v>199</v>
      </c>
      <c r="Q82" s="84" t="s">
        <v>922</v>
      </c>
      <c r="R82" s="81" t="s">
        <v>283</v>
      </c>
      <c r="S82" s="81" t="s">
        <v>1642</v>
      </c>
      <c r="T82" s="86" t="str">
        <f>HYPERLINK("http://www.youtube.com/channel/UCjGT0lta_Eo161Bq3stpoxA")</f>
        <v>http://www.youtube.com/channel/UCjGT0lta_Eo161Bq3stpoxA</v>
      </c>
      <c r="U82" s="81"/>
      <c r="V82" s="81" t="s">
        <v>2310</v>
      </c>
      <c r="W82" s="86" t="str">
        <f>HYPERLINK("https://www.youtube.com/watch?v=LBkXQ_mBO3Q")</f>
        <v>https://www.youtube.com/watch?v=LBkXQ_mBO3Q</v>
      </c>
      <c r="X82" s="81" t="s">
        <v>2349</v>
      </c>
      <c r="Y82" s="81">
        <v>5</v>
      </c>
      <c r="Z82" s="88">
        <v>43972.234444444446</v>
      </c>
      <c r="AA82" s="88">
        <v>43972.234444444446</v>
      </c>
      <c r="AB82" s="81"/>
      <c r="AC82" s="81"/>
      <c r="AD82" s="84" t="s">
        <v>2390</v>
      </c>
      <c r="AE82" s="82">
        <v>1</v>
      </c>
      <c r="AF82" s="83" t="str">
        <f>REPLACE(INDEX(GroupVertices[Group],MATCH(Edges[[#This Row],[Vertex 1]],GroupVertices[Vertex],0)),1,1,"")</f>
        <v>3</v>
      </c>
      <c r="AG82" s="83" t="str">
        <f>REPLACE(INDEX(GroupVertices[Group],MATCH(Edges[[#This Row],[Vertex 2]],GroupVertices[Vertex],0)),1,1,"")</f>
        <v>3</v>
      </c>
      <c r="AH82" s="111">
        <v>1</v>
      </c>
      <c r="AI82" s="112">
        <v>20</v>
      </c>
      <c r="AJ82" s="111">
        <v>0</v>
      </c>
      <c r="AK82" s="112">
        <v>0</v>
      </c>
      <c r="AL82" s="111">
        <v>0</v>
      </c>
      <c r="AM82" s="112">
        <v>0</v>
      </c>
      <c r="AN82" s="111">
        <v>4</v>
      </c>
      <c r="AO82" s="112">
        <v>80</v>
      </c>
      <c r="AP82" s="111">
        <v>5</v>
      </c>
    </row>
    <row r="83" spans="1:42" ht="15">
      <c r="A83" s="65" t="s">
        <v>284</v>
      </c>
      <c r="B83" s="65" t="s">
        <v>828</v>
      </c>
      <c r="C83" s="66" t="s">
        <v>4651</v>
      </c>
      <c r="D83" s="67">
        <v>3</v>
      </c>
      <c r="E83" s="68"/>
      <c r="F83" s="69">
        <v>40</v>
      </c>
      <c r="G83" s="66"/>
      <c r="H83" s="70"/>
      <c r="I83" s="71"/>
      <c r="J83" s="71"/>
      <c r="K83" s="35" t="s">
        <v>65</v>
      </c>
      <c r="L83" s="79">
        <v>83</v>
      </c>
      <c r="M83" s="79"/>
      <c r="N83" s="73"/>
      <c r="O83" s="81" t="s">
        <v>844</v>
      </c>
      <c r="P83" s="81" t="s">
        <v>199</v>
      </c>
      <c r="Q83" s="84" t="s">
        <v>923</v>
      </c>
      <c r="R83" s="81" t="s">
        <v>284</v>
      </c>
      <c r="S83" s="81" t="s">
        <v>1643</v>
      </c>
      <c r="T83" s="86" t="str">
        <f>HYPERLINK("http://www.youtube.com/channel/UCNjkUz7OUSNlD7bwt5kcH3g")</f>
        <v>http://www.youtube.com/channel/UCNjkUz7OUSNlD7bwt5kcH3g</v>
      </c>
      <c r="U83" s="81"/>
      <c r="V83" s="81" t="s">
        <v>2310</v>
      </c>
      <c r="W83" s="86" t="str">
        <f>HYPERLINK("https://www.youtube.com/watch?v=LBkXQ_mBO3Q")</f>
        <v>https://www.youtube.com/watch?v=LBkXQ_mBO3Q</v>
      </c>
      <c r="X83" s="81" t="s">
        <v>2349</v>
      </c>
      <c r="Y83" s="81">
        <v>2</v>
      </c>
      <c r="Z83" s="88">
        <v>43980.02353009259</v>
      </c>
      <c r="AA83" s="88">
        <v>43980.02353009259</v>
      </c>
      <c r="AB83" s="81"/>
      <c r="AC83" s="81"/>
      <c r="AD83" s="84" t="s">
        <v>2390</v>
      </c>
      <c r="AE83" s="82">
        <v>1</v>
      </c>
      <c r="AF83" s="83" t="str">
        <f>REPLACE(INDEX(GroupVertices[Group],MATCH(Edges[[#This Row],[Vertex 1]],GroupVertices[Vertex],0)),1,1,"")</f>
        <v>3</v>
      </c>
      <c r="AG83" s="83" t="str">
        <f>REPLACE(INDEX(GroupVertices[Group],MATCH(Edges[[#This Row],[Vertex 2]],GroupVertices[Vertex],0)),1,1,"")</f>
        <v>3</v>
      </c>
      <c r="AH83" s="111">
        <v>1</v>
      </c>
      <c r="AI83" s="112">
        <v>16.666666666666668</v>
      </c>
      <c r="AJ83" s="111">
        <v>0</v>
      </c>
      <c r="AK83" s="112">
        <v>0</v>
      </c>
      <c r="AL83" s="111">
        <v>0</v>
      </c>
      <c r="AM83" s="112">
        <v>0</v>
      </c>
      <c r="AN83" s="111">
        <v>5</v>
      </c>
      <c r="AO83" s="112">
        <v>83.33333333333333</v>
      </c>
      <c r="AP83" s="111">
        <v>6</v>
      </c>
    </row>
    <row r="84" spans="1:42" ht="15">
      <c r="A84" s="65" t="s">
        <v>285</v>
      </c>
      <c r="B84" s="65" t="s">
        <v>828</v>
      </c>
      <c r="C84" s="66" t="s">
        <v>4651</v>
      </c>
      <c r="D84" s="67">
        <v>3</v>
      </c>
      <c r="E84" s="68"/>
      <c r="F84" s="69">
        <v>40</v>
      </c>
      <c r="G84" s="66"/>
      <c r="H84" s="70"/>
      <c r="I84" s="71"/>
      <c r="J84" s="71"/>
      <c r="K84" s="35" t="s">
        <v>65</v>
      </c>
      <c r="L84" s="79">
        <v>84</v>
      </c>
      <c r="M84" s="79"/>
      <c r="N84" s="73"/>
      <c r="O84" s="81" t="s">
        <v>844</v>
      </c>
      <c r="P84" s="81" t="s">
        <v>199</v>
      </c>
      <c r="Q84" s="84" t="s">
        <v>924</v>
      </c>
      <c r="R84" s="81" t="s">
        <v>285</v>
      </c>
      <c r="S84" s="81" t="s">
        <v>1644</v>
      </c>
      <c r="T84" s="86" t="str">
        <f>HYPERLINK("http://www.youtube.com/channel/UCefdQZdi3Ebj2eJiiCbKxhg")</f>
        <v>http://www.youtube.com/channel/UCefdQZdi3Ebj2eJiiCbKxhg</v>
      </c>
      <c r="U84" s="81"/>
      <c r="V84" s="81" t="s">
        <v>2310</v>
      </c>
      <c r="W84" s="86" t="str">
        <f>HYPERLINK("https://www.youtube.com/watch?v=LBkXQ_mBO3Q")</f>
        <v>https://www.youtube.com/watch?v=LBkXQ_mBO3Q</v>
      </c>
      <c r="X84" s="81" t="s">
        <v>2349</v>
      </c>
      <c r="Y84" s="81">
        <v>3</v>
      </c>
      <c r="Z84" s="88">
        <v>43986.51770833333</v>
      </c>
      <c r="AA84" s="88">
        <v>43986.51770833333</v>
      </c>
      <c r="AB84" s="81"/>
      <c r="AC84" s="81"/>
      <c r="AD84" s="84" t="s">
        <v>2390</v>
      </c>
      <c r="AE84" s="82">
        <v>1</v>
      </c>
      <c r="AF84" s="83" t="str">
        <f>REPLACE(INDEX(GroupVertices[Group],MATCH(Edges[[#This Row],[Vertex 1]],GroupVertices[Vertex],0)),1,1,"")</f>
        <v>3</v>
      </c>
      <c r="AG84" s="83" t="str">
        <f>REPLACE(INDEX(GroupVertices[Group],MATCH(Edges[[#This Row],[Vertex 2]],GroupVertices[Vertex],0)),1,1,"")</f>
        <v>3</v>
      </c>
      <c r="AH84" s="111">
        <v>1</v>
      </c>
      <c r="AI84" s="112">
        <v>10</v>
      </c>
      <c r="AJ84" s="111">
        <v>0</v>
      </c>
      <c r="AK84" s="112">
        <v>0</v>
      </c>
      <c r="AL84" s="111">
        <v>0</v>
      </c>
      <c r="AM84" s="112">
        <v>0</v>
      </c>
      <c r="AN84" s="111">
        <v>9</v>
      </c>
      <c r="AO84" s="112">
        <v>90</v>
      </c>
      <c r="AP84" s="111">
        <v>10</v>
      </c>
    </row>
    <row r="85" spans="1:42" ht="15">
      <c r="A85" s="65" t="s">
        <v>280</v>
      </c>
      <c r="B85" s="65" t="s">
        <v>286</v>
      </c>
      <c r="C85" s="66" t="s">
        <v>4651</v>
      </c>
      <c r="D85" s="67">
        <v>3</v>
      </c>
      <c r="E85" s="68"/>
      <c r="F85" s="69">
        <v>40</v>
      </c>
      <c r="G85" s="66"/>
      <c r="H85" s="70"/>
      <c r="I85" s="71"/>
      <c r="J85" s="71"/>
      <c r="K85" s="35" t="s">
        <v>65</v>
      </c>
      <c r="L85" s="79">
        <v>85</v>
      </c>
      <c r="M85" s="79"/>
      <c r="N85" s="73"/>
      <c r="O85" s="81" t="s">
        <v>845</v>
      </c>
      <c r="P85" s="81" t="s">
        <v>847</v>
      </c>
      <c r="Q85" s="84" t="s">
        <v>925</v>
      </c>
      <c r="R85" s="81" t="s">
        <v>280</v>
      </c>
      <c r="S85" s="81" t="s">
        <v>1639</v>
      </c>
      <c r="T85" s="86" t="str">
        <f>HYPERLINK("http://www.youtube.com/channel/UCOhfuwekGSzur00a544CcKQ")</f>
        <v>http://www.youtube.com/channel/UCOhfuwekGSzur00a544CcKQ</v>
      </c>
      <c r="U85" s="81" t="s">
        <v>2193</v>
      </c>
      <c r="V85" s="81" t="s">
        <v>2310</v>
      </c>
      <c r="W85" s="86" t="str">
        <f>HYPERLINK("https://www.youtube.com/watch?v=LBkXQ_mBO3Q")</f>
        <v>https://www.youtube.com/watch?v=LBkXQ_mBO3Q</v>
      </c>
      <c r="X85" s="81" t="s">
        <v>2349</v>
      </c>
      <c r="Y85" s="81">
        <v>0</v>
      </c>
      <c r="Z85" s="88">
        <v>44038.339467592596</v>
      </c>
      <c r="AA85" s="88">
        <v>44038.339467592596</v>
      </c>
      <c r="AB85" s="81"/>
      <c r="AC85" s="81"/>
      <c r="AD85" s="84" t="s">
        <v>2390</v>
      </c>
      <c r="AE85" s="82">
        <v>1</v>
      </c>
      <c r="AF85" s="83" t="str">
        <f>REPLACE(INDEX(GroupVertices[Group],MATCH(Edges[[#This Row],[Vertex 1]],GroupVertices[Vertex],0)),1,1,"")</f>
        <v>3</v>
      </c>
      <c r="AG85" s="83" t="str">
        <f>REPLACE(INDEX(GroupVertices[Group],MATCH(Edges[[#This Row],[Vertex 2]],GroupVertices[Vertex],0)),1,1,"")</f>
        <v>3</v>
      </c>
      <c r="AH85" s="111">
        <v>0</v>
      </c>
      <c r="AI85" s="112">
        <v>0</v>
      </c>
      <c r="AJ85" s="111">
        <v>0</v>
      </c>
      <c r="AK85" s="112">
        <v>0</v>
      </c>
      <c r="AL85" s="111">
        <v>0</v>
      </c>
      <c r="AM85" s="112">
        <v>0</v>
      </c>
      <c r="AN85" s="111">
        <v>7</v>
      </c>
      <c r="AO85" s="112">
        <v>100</v>
      </c>
      <c r="AP85" s="111">
        <v>7</v>
      </c>
    </row>
    <row r="86" spans="1:42" ht="15">
      <c r="A86" s="65" t="s">
        <v>286</v>
      </c>
      <c r="B86" s="65" t="s">
        <v>828</v>
      </c>
      <c r="C86" s="66" t="s">
        <v>4651</v>
      </c>
      <c r="D86" s="67">
        <v>3</v>
      </c>
      <c r="E86" s="68"/>
      <c r="F86" s="69">
        <v>40</v>
      </c>
      <c r="G86" s="66"/>
      <c r="H86" s="70"/>
      <c r="I86" s="71"/>
      <c r="J86" s="71"/>
      <c r="K86" s="35" t="s">
        <v>65</v>
      </c>
      <c r="L86" s="79">
        <v>86</v>
      </c>
      <c r="M86" s="79"/>
      <c r="N86" s="73"/>
      <c r="O86" s="81" t="s">
        <v>844</v>
      </c>
      <c r="P86" s="81" t="s">
        <v>199</v>
      </c>
      <c r="Q86" s="84" t="s">
        <v>926</v>
      </c>
      <c r="R86" s="81" t="s">
        <v>286</v>
      </c>
      <c r="S86" s="81" t="s">
        <v>1645</v>
      </c>
      <c r="T86" s="86" t="str">
        <f>HYPERLINK("http://www.youtube.com/channel/UCEz8QTxYWSTBiT-1ZeK77JQ")</f>
        <v>http://www.youtube.com/channel/UCEz8QTxYWSTBiT-1ZeK77JQ</v>
      </c>
      <c r="U86" s="81"/>
      <c r="V86" s="81" t="s">
        <v>2310</v>
      </c>
      <c r="W86" s="86" t="str">
        <f>HYPERLINK("https://www.youtube.com/watch?v=LBkXQ_mBO3Q")</f>
        <v>https://www.youtube.com/watch?v=LBkXQ_mBO3Q</v>
      </c>
      <c r="X86" s="81" t="s">
        <v>2349</v>
      </c>
      <c r="Y86" s="81">
        <v>3</v>
      </c>
      <c r="Z86" s="88">
        <v>43998.97702546296</v>
      </c>
      <c r="AA86" s="88">
        <v>43998.97702546296</v>
      </c>
      <c r="AB86" s="81"/>
      <c r="AC86" s="81"/>
      <c r="AD86" s="84" t="s">
        <v>2390</v>
      </c>
      <c r="AE86" s="82">
        <v>1</v>
      </c>
      <c r="AF86" s="83" t="str">
        <f>REPLACE(INDEX(GroupVertices[Group],MATCH(Edges[[#This Row],[Vertex 1]],GroupVertices[Vertex],0)),1,1,"")</f>
        <v>3</v>
      </c>
      <c r="AG86" s="83" t="str">
        <f>REPLACE(INDEX(GroupVertices[Group],MATCH(Edges[[#This Row],[Vertex 2]],GroupVertices[Vertex],0)),1,1,"")</f>
        <v>3</v>
      </c>
      <c r="AH86" s="111">
        <v>0</v>
      </c>
      <c r="AI86" s="112">
        <v>0</v>
      </c>
      <c r="AJ86" s="111">
        <v>0</v>
      </c>
      <c r="AK86" s="112">
        <v>0</v>
      </c>
      <c r="AL86" s="111">
        <v>0</v>
      </c>
      <c r="AM86" s="112">
        <v>0</v>
      </c>
      <c r="AN86" s="111">
        <v>8</v>
      </c>
      <c r="AO86" s="112">
        <v>100</v>
      </c>
      <c r="AP86" s="111">
        <v>8</v>
      </c>
    </row>
    <row r="87" spans="1:42" ht="15">
      <c r="A87" s="65" t="s">
        <v>287</v>
      </c>
      <c r="B87" s="65" t="s">
        <v>828</v>
      </c>
      <c r="C87" s="66" t="s">
        <v>4651</v>
      </c>
      <c r="D87" s="67">
        <v>3</v>
      </c>
      <c r="E87" s="68"/>
      <c r="F87" s="69">
        <v>40</v>
      </c>
      <c r="G87" s="66"/>
      <c r="H87" s="70"/>
      <c r="I87" s="71"/>
      <c r="J87" s="71"/>
      <c r="K87" s="35" t="s">
        <v>65</v>
      </c>
      <c r="L87" s="79">
        <v>87</v>
      </c>
      <c r="M87" s="79"/>
      <c r="N87" s="73"/>
      <c r="O87" s="81" t="s">
        <v>844</v>
      </c>
      <c r="P87" s="81" t="s">
        <v>199</v>
      </c>
      <c r="Q87" s="84" t="s">
        <v>927</v>
      </c>
      <c r="R87" s="81" t="s">
        <v>287</v>
      </c>
      <c r="S87" s="81" t="s">
        <v>1646</v>
      </c>
      <c r="T87" s="86" t="str">
        <f>HYPERLINK("http://www.youtube.com/channel/UCWOce0cS2w22jY4EAn50YHQ")</f>
        <v>http://www.youtube.com/channel/UCWOce0cS2w22jY4EAn50YHQ</v>
      </c>
      <c r="U87" s="81"/>
      <c r="V87" s="81" t="s">
        <v>2310</v>
      </c>
      <c r="W87" s="86" t="str">
        <f>HYPERLINK("https://www.youtube.com/watch?v=LBkXQ_mBO3Q")</f>
        <v>https://www.youtube.com/watch?v=LBkXQ_mBO3Q</v>
      </c>
      <c r="X87" s="81" t="s">
        <v>2349</v>
      </c>
      <c r="Y87" s="81">
        <v>3</v>
      </c>
      <c r="Z87" s="88">
        <v>44011.35736111111</v>
      </c>
      <c r="AA87" s="88">
        <v>44011.35736111111</v>
      </c>
      <c r="AB87" s="81"/>
      <c r="AC87" s="81"/>
      <c r="AD87" s="84" t="s">
        <v>2390</v>
      </c>
      <c r="AE87" s="82">
        <v>1</v>
      </c>
      <c r="AF87" s="83" t="str">
        <f>REPLACE(INDEX(GroupVertices[Group],MATCH(Edges[[#This Row],[Vertex 1]],GroupVertices[Vertex],0)),1,1,"")</f>
        <v>3</v>
      </c>
      <c r="AG87" s="83" t="str">
        <f>REPLACE(INDEX(GroupVertices[Group],MATCH(Edges[[#This Row],[Vertex 2]],GroupVertices[Vertex],0)),1,1,"")</f>
        <v>3</v>
      </c>
      <c r="AH87" s="111">
        <v>0</v>
      </c>
      <c r="AI87" s="112">
        <v>0</v>
      </c>
      <c r="AJ87" s="111">
        <v>0</v>
      </c>
      <c r="AK87" s="112">
        <v>0</v>
      </c>
      <c r="AL87" s="111">
        <v>0</v>
      </c>
      <c r="AM87" s="112">
        <v>0</v>
      </c>
      <c r="AN87" s="111">
        <v>6</v>
      </c>
      <c r="AO87" s="112">
        <v>100</v>
      </c>
      <c r="AP87" s="111">
        <v>6</v>
      </c>
    </row>
    <row r="88" spans="1:42" ht="15">
      <c r="A88" s="65" t="s">
        <v>288</v>
      </c>
      <c r="B88" s="65" t="s">
        <v>288</v>
      </c>
      <c r="C88" s="66" t="s">
        <v>4613</v>
      </c>
      <c r="D88" s="67">
        <v>10</v>
      </c>
      <c r="E88" s="68"/>
      <c r="F88" s="69">
        <v>15</v>
      </c>
      <c r="G88" s="66"/>
      <c r="H88" s="70"/>
      <c r="I88" s="71"/>
      <c r="J88" s="71"/>
      <c r="K88" s="35" t="s">
        <v>65</v>
      </c>
      <c r="L88" s="79">
        <v>88</v>
      </c>
      <c r="M88" s="79"/>
      <c r="N88" s="73"/>
      <c r="O88" s="81" t="s">
        <v>845</v>
      </c>
      <c r="P88" s="81" t="s">
        <v>847</v>
      </c>
      <c r="Q88" s="84" t="s">
        <v>928</v>
      </c>
      <c r="R88" s="81" t="s">
        <v>288</v>
      </c>
      <c r="S88" s="81" t="s">
        <v>1647</v>
      </c>
      <c r="T88" s="86" t="str">
        <f>HYPERLINK("http://www.youtube.com/channel/UCPU93CojGLhCv_kf2CDpgMQ")</f>
        <v>http://www.youtube.com/channel/UCPU93CojGLhCv_kf2CDpgMQ</v>
      </c>
      <c r="U88" s="81" t="s">
        <v>2194</v>
      </c>
      <c r="V88" s="81" t="s">
        <v>2310</v>
      </c>
      <c r="W88" s="86" t="str">
        <f>HYPERLINK("https://www.youtube.com/watch?v=LBkXQ_mBO3Q")</f>
        <v>https://www.youtube.com/watch?v=LBkXQ_mBO3Q</v>
      </c>
      <c r="X88" s="81" t="s">
        <v>2349</v>
      </c>
      <c r="Y88" s="81">
        <v>1</v>
      </c>
      <c r="Z88" s="88">
        <v>44021.25662037037</v>
      </c>
      <c r="AA88" s="88">
        <v>44021.25662037037</v>
      </c>
      <c r="AB88" s="81"/>
      <c r="AC88" s="81"/>
      <c r="AD88" s="84" t="s">
        <v>2390</v>
      </c>
      <c r="AE88" s="82">
        <v>2</v>
      </c>
      <c r="AF88" s="83" t="str">
        <f>REPLACE(INDEX(GroupVertices[Group],MATCH(Edges[[#This Row],[Vertex 1]],GroupVertices[Vertex],0)),1,1,"")</f>
        <v>3</v>
      </c>
      <c r="AG88" s="83" t="str">
        <f>REPLACE(INDEX(GroupVertices[Group],MATCH(Edges[[#This Row],[Vertex 2]],GroupVertices[Vertex],0)),1,1,"")</f>
        <v>3</v>
      </c>
      <c r="AH88" s="111">
        <v>1</v>
      </c>
      <c r="AI88" s="112">
        <v>33.333333333333336</v>
      </c>
      <c r="AJ88" s="111">
        <v>0</v>
      </c>
      <c r="AK88" s="112">
        <v>0</v>
      </c>
      <c r="AL88" s="111">
        <v>0</v>
      </c>
      <c r="AM88" s="112">
        <v>0</v>
      </c>
      <c r="AN88" s="111">
        <v>2</v>
      </c>
      <c r="AO88" s="112">
        <v>66.66666666666667</v>
      </c>
      <c r="AP88" s="111">
        <v>3</v>
      </c>
    </row>
    <row r="89" spans="1:42" ht="15">
      <c r="A89" s="65" t="s">
        <v>288</v>
      </c>
      <c r="B89" s="65" t="s">
        <v>288</v>
      </c>
      <c r="C89" s="66" t="s">
        <v>4613</v>
      </c>
      <c r="D89" s="67">
        <v>10</v>
      </c>
      <c r="E89" s="68"/>
      <c r="F89" s="69">
        <v>15</v>
      </c>
      <c r="G89" s="66"/>
      <c r="H89" s="70"/>
      <c r="I89" s="71"/>
      <c r="J89" s="71"/>
      <c r="K89" s="35" t="s">
        <v>65</v>
      </c>
      <c r="L89" s="79">
        <v>89</v>
      </c>
      <c r="M89" s="79"/>
      <c r="N89" s="73"/>
      <c r="O89" s="81" t="s">
        <v>845</v>
      </c>
      <c r="P89" s="81" t="s">
        <v>847</v>
      </c>
      <c r="Q89" s="84" t="s">
        <v>929</v>
      </c>
      <c r="R89" s="81" t="s">
        <v>288</v>
      </c>
      <c r="S89" s="81" t="s">
        <v>1647</v>
      </c>
      <c r="T89" s="86" t="str">
        <f>HYPERLINK("http://www.youtube.com/channel/UCPU93CojGLhCv_kf2CDpgMQ")</f>
        <v>http://www.youtube.com/channel/UCPU93CojGLhCv_kf2CDpgMQ</v>
      </c>
      <c r="U89" s="81" t="s">
        <v>2194</v>
      </c>
      <c r="V89" s="81" t="s">
        <v>2310</v>
      </c>
      <c r="W89" s="86" t="str">
        <f>HYPERLINK("https://www.youtube.com/watch?v=LBkXQ_mBO3Q")</f>
        <v>https://www.youtube.com/watch?v=LBkXQ_mBO3Q</v>
      </c>
      <c r="X89" s="81" t="s">
        <v>2349</v>
      </c>
      <c r="Y89" s="81">
        <v>1</v>
      </c>
      <c r="Z89" s="88">
        <v>44021.25675925926</v>
      </c>
      <c r="AA89" s="88">
        <v>44021.25675925926</v>
      </c>
      <c r="AB89" s="81"/>
      <c r="AC89" s="81"/>
      <c r="AD89" s="84" t="s">
        <v>2390</v>
      </c>
      <c r="AE89" s="82">
        <v>2</v>
      </c>
      <c r="AF89" s="83" t="str">
        <f>REPLACE(INDEX(GroupVertices[Group],MATCH(Edges[[#This Row],[Vertex 1]],GroupVertices[Vertex],0)),1,1,"")</f>
        <v>3</v>
      </c>
      <c r="AG89" s="83" t="str">
        <f>REPLACE(INDEX(GroupVertices[Group],MATCH(Edges[[#This Row],[Vertex 2]],GroupVertices[Vertex],0)),1,1,"")</f>
        <v>3</v>
      </c>
      <c r="AH89" s="111">
        <v>1</v>
      </c>
      <c r="AI89" s="112">
        <v>100</v>
      </c>
      <c r="AJ89" s="111">
        <v>0</v>
      </c>
      <c r="AK89" s="112">
        <v>0</v>
      </c>
      <c r="AL89" s="111">
        <v>0</v>
      </c>
      <c r="AM89" s="112">
        <v>0</v>
      </c>
      <c r="AN89" s="111">
        <v>0</v>
      </c>
      <c r="AO89" s="112">
        <v>0</v>
      </c>
      <c r="AP89" s="111">
        <v>1</v>
      </c>
    </row>
    <row r="90" spans="1:42" ht="15">
      <c r="A90" s="65" t="s">
        <v>288</v>
      </c>
      <c r="B90" s="65" t="s">
        <v>828</v>
      </c>
      <c r="C90" s="66" t="s">
        <v>4651</v>
      </c>
      <c r="D90" s="67">
        <v>3</v>
      </c>
      <c r="E90" s="68"/>
      <c r="F90" s="69">
        <v>40</v>
      </c>
      <c r="G90" s="66"/>
      <c r="H90" s="70"/>
      <c r="I90" s="71"/>
      <c r="J90" s="71"/>
      <c r="K90" s="35" t="s">
        <v>65</v>
      </c>
      <c r="L90" s="79">
        <v>90</v>
      </c>
      <c r="M90" s="79"/>
      <c r="N90" s="73"/>
      <c r="O90" s="81" t="s">
        <v>844</v>
      </c>
      <c r="P90" s="81" t="s">
        <v>199</v>
      </c>
      <c r="Q90" s="84" t="s">
        <v>930</v>
      </c>
      <c r="R90" s="81" t="s">
        <v>288</v>
      </c>
      <c r="S90" s="81" t="s">
        <v>1647</v>
      </c>
      <c r="T90" s="86" t="str">
        <f>HYPERLINK("http://www.youtube.com/channel/UCPU93CojGLhCv_kf2CDpgMQ")</f>
        <v>http://www.youtube.com/channel/UCPU93CojGLhCv_kf2CDpgMQ</v>
      </c>
      <c r="U90" s="81"/>
      <c r="V90" s="81" t="s">
        <v>2310</v>
      </c>
      <c r="W90" s="86" t="str">
        <f>HYPERLINK("https://www.youtube.com/watch?v=LBkXQ_mBO3Q")</f>
        <v>https://www.youtube.com/watch?v=LBkXQ_mBO3Q</v>
      </c>
      <c r="X90" s="81" t="s">
        <v>2349</v>
      </c>
      <c r="Y90" s="81">
        <v>2</v>
      </c>
      <c r="Z90" s="88">
        <v>44021.253275462965</v>
      </c>
      <c r="AA90" s="88">
        <v>44021.253275462965</v>
      </c>
      <c r="AB90" s="81"/>
      <c r="AC90" s="81"/>
      <c r="AD90" s="84" t="s">
        <v>2390</v>
      </c>
      <c r="AE90" s="82">
        <v>1</v>
      </c>
      <c r="AF90" s="83" t="str">
        <f>REPLACE(INDEX(GroupVertices[Group],MATCH(Edges[[#This Row],[Vertex 1]],GroupVertices[Vertex],0)),1,1,"")</f>
        <v>3</v>
      </c>
      <c r="AG90" s="83" t="str">
        <f>REPLACE(INDEX(GroupVertices[Group],MATCH(Edges[[#This Row],[Vertex 2]],GroupVertices[Vertex],0)),1,1,"")</f>
        <v>3</v>
      </c>
      <c r="AH90" s="111">
        <v>2</v>
      </c>
      <c r="AI90" s="112">
        <v>66.66666666666667</v>
      </c>
      <c r="AJ90" s="111">
        <v>0</v>
      </c>
      <c r="AK90" s="112">
        <v>0</v>
      </c>
      <c r="AL90" s="111">
        <v>0</v>
      </c>
      <c r="AM90" s="112">
        <v>0</v>
      </c>
      <c r="AN90" s="111">
        <v>1</v>
      </c>
      <c r="AO90" s="112">
        <v>33.333333333333336</v>
      </c>
      <c r="AP90" s="111">
        <v>3</v>
      </c>
    </row>
    <row r="91" spans="1:42" ht="15">
      <c r="A91" s="65" t="s">
        <v>289</v>
      </c>
      <c r="B91" s="65" t="s">
        <v>828</v>
      </c>
      <c r="C91" s="66" t="s">
        <v>4651</v>
      </c>
      <c r="D91" s="67">
        <v>3</v>
      </c>
      <c r="E91" s="68"/>
      <c r="F91" s="69">
        <v>40</v>
      </c>
      <c r="G91" s="66"/>
      <c r="H91" s="70"/>
      <c r="I91" s="71"/>
      <c r="J91" s="71"/>
      <c r="K91" s="35" t="s">
        <v>65</v>
      </c>
      <c r="L91" s="79">
        <v>91</v>
      </c>
      <c r="M91" s="79"/>
      <c r="N91" s="73"/>
      <c r="O91" s="81" t="s">
        <v>844</v>
      </c>
      <c r="P91" s="81" t="s">
        <v>199</v>
      </c>
      <c r="Q91" s="84" t="s">
        <v>931</v>
      </c>
      <c r="R91" s="81" t="s">
        <v>289</v>
      </c>
      <c r="S91" s="81" t="s">
        <v>1648</v>
      </c>
      <c r="T91" s="86" t="str">
        <f>HYPERLINK("http://www.youtube.com/channel/UC0J-DiMUBDkD3krfD5VkTXQ")</f>
        <v>http://www.youtube.com/channel/UC0J-DiMUBDkD3krfD5VkTXQ</v>
      </c>
      <c r="U91" s="81"/>
      <c r="V91" s="81" t="s">
        <v>2310</v>
      </c>
      <c r="W91" s="86" t="str">
        <f>HYPERLINK("https://www.youtube.com/watch?v=LBkXQ_mBO3Q")</f>
        <v>https://www.youtube.com/watch?v=LBkXQ_mBO3Q</v>
      </c>
      <c r="X91" s="81" t="s">
        <v>2349</v>
      </c>
      <c r="Y91" s="81">
        <v>6</v>
      </c>
      <c r="Z91" s="88">
        <v>44026.527395833335</v>
      </c>
      <c r="AA91" s="88">
        <v>44026.527395833335</v>
      </c>
      <c r="AB91" s="81"/>
      <c r="AC91" s="81"/>
      <c r="AD91" s="84" t="s">
        <v>2390</v>
      </c>
      <c r="AE91" s="82">
        <v>1</v>
      </c>
      <c r="AF91" s="83" t="str">
        <f>REPLACE(INDEX(GroupVertices[Group],MATCH(Edges[[#This Row],[Vertex 1]],GroupVertices[Vertex],0)),1,1,"")</f>
        <v>3</v>
      </c>
      <c r="AG91" s="83" t="str">
        <f>REPLACE(INDEX(GroupVertices[Group],MATCH(Edges[[#This Row],[Vertex 2]],GroupVertices[Vertex],0)),1,1,"")</f>
        <v>3</v>
      </c>
      <c r="AH91" s="111">
        <v>1</v>
      </c>
      <c r="AI91" s="112">
        <v>50</v>
      </c>
      <c r="AJ91" s="111">
        <v>0</v>
      </c>
      <c r="AK91" s="112">
        <v>0</v>
      </c>
      <c r="AL91" s="111">
        <v>0</v>
      </c>
      <c r="AM91" s="112">
        <v>0</v>
      </c>
      <c r="AN91" s="111">
        <v>1</v>
      </c>
      <c r="AO91" s="112">
        <v>50</v>
      </c>
      <c r="AP91" s="111">
        <v>2</v>
      </c>
    </row>
    <row r="92" spans="1:42" ht="15">
      <c r="A92" s="65" t="s">
        <v>290</v>
      </c>
      <c r="B92" s="65" t="s">
        <v>291</v>
      </c>
      <c r="C92" s="66" t="s">
        <v>4651</v>
      </c>
      <c r="D92" s="67">
        <v>3</v>
      </c>
      <c r="E92" s="68"/>
      <c r="F92" s="69">
        <v>40</v>
      </c>
      <c r="G92" s="66"/>
      <c r="H92" s="70"/>
      <c r="I92" s="71"/>
      <c r="J92" s="71"/>
      <c r="K92" s="35" t="s">
        <v>65</v>
      </c>
      <c r="L92" s="79">
        <v>92</v>
      </c>
      <c r="M92" s="79"/>
      <c r="N92" s="73"/>
      <c r="O92" s="81" t="s">
        <v>845</v>
      </c>
      <c r="P92" s="81" t="s">
        <v>847</v>
      </c>
      <c r="Q92" s="84" t="s">
        <v>932</v>
      </c>
      <c r="R92" s="81" t="s">
        <v>290</v>
      </c>
      <c r="S92" s="81" t="s">
        <v>1649</v>
      </c>
      <c r="T92" s="86" t="str">
        <f>HYPERLINK("http://www.youtube.com/channel/UC_k3eP9m8U3bW2ByWs3BRlg")</f>
        <v>http://www.youtube.com/channel/UC_k3eP9m8U3bW2ByWs3BRlg</v>
      </c>
      <c r="U92" s="81" t="s">
        <v>2195</v>
      </c>
      <c r="V92" s="81" t="s">
        <v>2310</v>
      </c>
      <c r="W92" s="86" t="str">
        <f>HYPERLINK("https://www.youtube.com/watch?v=LBkXQ_mBO3Q")</f>
        <v>https://www.youtube.com/watch?v=LBkXQ_mBO3Q</v>
      </c>
      <c r="X92" s="81" t="s">
        <v>2349</v>
      </c>
      <c r="Y92" s="81">
        <v>0</v>
      </c>
      <c r="Z92" s="88">
        <v>44257.54767361111</v>
      </c>
      <c r="AA92" s="88">
        <v>44257.54767361111</v>
      </c>
      <c r="AB92" s="81"/>
      <c r="AC92" s="81"/>
      <c r="AD92" s="84" t="s">
        <v>2390</v>
      </c>
      <c r="AE92" s="82">
        <v>1</v>
      </c>
      <c r="AF92" s="83" t="str">
        <f>REPLACE(INDEX(GroupVertices[Group],MATCH(Edges[[#This Row],[Vertex 1]],GroupVertices[Vertex],0)),1,1,"")</f>
        <v>3</v>
      </c>
      <c r="AG92" s="83" t="str">
        <f>REPLACE(INDEX(GroupVertices[Group],MATCH(Edges[[#This Row],[Vertex 2]],GroupVertices[Vertex],0)),1,1,"")</f>
        <v>3</v>
      </c>
      <c r="AH92" s="111">
        <v>0</v>
      </c>
      <c r="AI92" s="112">
        <v>0</v>
      </c>
      <c r="AJ92" s="111">
        <v>0</v>
      </c>
      <c r="AK92" s="112">
        <v>0</v>
      </c>
      <c r="AL92" s="111">
        <v>0</v>
      </c>
      <c r="AM92" s="112">
        <v>0</v>
      </c>
      <c r="AN92" s="111">
        <v>1</v>
      </c>
      <c r="AO92" s="112">
        <v>100</v>
      </c>
      <c r="AP92" s="111">
        <v>1</v>
      </c>
    </row>
    <row r="93" spans="1:42" ht="15">
      <c r="A93" s="65" t="s">
        <v>291</v>
      </c>
      <c r="B93" s="65" t="s">
        <v>828</v>
      </c>
      <c r="C93" s="66" t="s">
        <v>4651</v>
      </c>
      <c r="D93" s="67">
        <v>3</v>
      </c>
      <c r="E93" s="68"/>
      <c r="F93" s="69">
        <v>40</v>
      </c>
      <c r="G93" s="66"/>
      <c r="H93" s="70"/>
      <c r="I93" s="71"/>
      <c r="J93" s="71"/>
      <c r="K93" s="35" t="s">
        <v>65</v>
      </c>
      <c r="L93" s="79">
        <v>93</v>
      </c>
      <c r="M93" s="79"/>
      <c r="N93" s="73"/>
      <c r="O93" s="81" t="s">
        <v>844</v>
      </c>
      <c r="P93" s="81" t="s">
        <v>199</v>
      </c>
      <c r="Q93" s="84" t="s">
        <v>933</v>
      </c>
      <c r="R93" s="81" t="s">
        <v>291</v>
      </c>
      <c r="S93" s="81" t="s">
        <v>1650</v>
      </c>
      <c r="T93" s="86" t="str">
        <f>HYPERLINK("http://www.youtube.com/channel/UC7h7zWh5PPw8yxDsDOgj23A")</f>
        <v>http://www.youtube.com/channel/UC7h7zWh5PPw8yxDsDOgj23A</v>
      </c>
      <c r="U93" s="81"/>
      <c r="V93" s="81" t="s">
        <v>2310</v>
      </c>
      <c r="W93" s="86" t="str">
        <f>HYPERLINK("https://www.youtube.com/watch?v=LBkXQ_mBO3Q")</f>
        <v>https://www.youtube.com/watch?v=LBkXQ_mBO3Q</v>
      </c>
      <c r="X93" s="81" t="s">
        <v>2349</v>
      </c>
      <c r="Y93" s="81">
        <v>4</v>
      </c>
      <c r="Z93" s="88">
        <v>44061.49673611111</v>
      </c>
      <c r="AA93" s="88">
        <v>44061.49673611111</v>
      </c>
      <c r="AB93" s="81"/>
      <c r="AC93" s="81"/>
      <c r="AD93" s="84" t="s">
        <v>2390</v>
      </c>
      <c r="AE93" s="82">
        <v>1</v>
      </c>
      <c r="AF93" s="83" t="str">
        <f>REPLACE(INDEX(GroupVertices[Group],MATCH(Edges[[#This Row],[Vertex 1]],GroupVertices[Vertex],0)),1,1,"")</f>
        <v>3</v>
      </c>
      <c r="AG93" s="83" t="str">
        <f>REPLACE(INDEX(GroupVertices[Group],MATCH(Edges[[#This Row],[Vertex 2]],GroupVertices[Vertex],0)),1,1,"")</f>
        <v>3</v>
      </c>
      <c r="AH93" s="111">
        <v>0</v>
      </c>
      <c r="AI93" s="112">
        <v>0</v>
      </c>
      <c r="AJ93" s="111">
        <v>0</v>
      </c>
      <c r="AK93" s="112">
        <v>0</v>
      </c>
      <c r="AL93" s="111">
        <v>0</v>
      </c>
      <c r="AM93" s="112">
        <v>0</v>
      </c>
      <c r="AN93" s="111">
        <v>7</v>
      </c>
      <c r="AO93" s="112">
        <v>100</v>
      </c>
      <c r="AP93" s="111">
        <v>7</v>
      </c>
    </row>
    <row r="94" spans="1:42" ht="15">
      <c r="A94" s="65" t="s">
        <v>292</v>
      </c>
      <c r="B94" s="65" t="s">
        <v>828</v>
      </c>
      <c r="C94" s="66" t="s">
        <v>4651</v>
      </c>
      <c r="D94" s="67">
        <v>3</v>
      </c>
      <c r="E94" s="68"/>
      <c r="F94" s="69">
        <v>40</v>
      </c>
      <c r="G94" s="66"/>
      <c r="H94" s="70"/>
      <c r="I94" s="71"/>
      <c r="J94" s="71"/>
      <c r="K94" s="35" t="s">
        <v>65</v>
      </c>
      <c r="L94" s="79">
        <v>94</v>
      </c>
      <c r="M94" s="79"/>
      <c r="N94" s="73"/>
      <c r="O94" s="81" t="s">
        <v>844</v>
      </c>
      <c r="P94" s="81" t="s">
        <v>199</v>
      </c>
      <c r="Q94" s="84" t="s">
        <v>934</v>
      </c>
      <c r="R94" s="81" t="s">
        <v>292</v>
      </c>
      <c r="S94" s="81" t="s">
        <v>1651</v>
      </c>
      <c r="T94" s="86" t="str">
        <f>HYPERLINK("http://www.youtube.com/channel/UCc0tkX1OwQl203TbmyJJGqA")</f>
        <v>http://www.youtube.com/channel/UCc0tkX1OwQl203TbmyJJGqA</v>
      </c>
      <c r="U94" s="81"/>
      <c r="V94" s="81" t="s">
        <v>2310</v>
      </c>
      <c r="W94" s="86" t="str">
        <f>HYPERLINK("https://www.youtube.com/watch?v=LBkXQ_mBO3Q")</f>
        <v>https://www.youtube.com/watch?v=LBkXQ_mBO3Q</v>
      </c>
      <c r="X94" s="81" t="s">
        <v>2349</v>
      </c>
      <c r="Y94" s="81">
        <v>2</v>
      </c>
      <c r="Z94" s="88">
        <v>44067.54237268519</v>
      </c>
      <c r="AA94" s="88">
        <v>44067.54237268519</v>
      </c>
      <c r="AB94" s="81"/>
      <c r="AC94" s="81"/>
      <c r="AD94" s="84" t="s">
        <v>2390</v>
      </c>
      <c r="AE94" s="82">
        <v>1</v>
      </c>
      <c r="AF94" s="83" t="str">
        <f>REPLACE(INDEX(GroupVertices[Group],MATCH(Edges[[#This Row],[Vertex 1]],GroupVertices[Vertex],0)),1,1,"")</f>
        <v>3</v>
      </c>
      <c r="AG94" s="83" t="str">
        <f>REPLACE(INDEX(GroupVertices[Group],MATCH(Edges[[#This Row],[Vertex 2]],GroupVertices[Vertex],0)),1,1,"")</f>
        <v>3</v>
      </c>
      <c r="AH94" s="111">
        <v>0</v>
      </c>
      <c r="AI94" s="112">
        <v>0</v>
      </c>
      <c r="AJ94" s="111">
        <v>0</v>
      </c>
      <c r="AK94" s="112">
        <v>0</v>
      </c>
      <c r="AL94" s="111">
        <v>0</v>
      </c>
      <c r="AM94" s="112">
        <v>0</v>
      </c>
      <c r="AN94" s="111">
        <v>8</v>
      </c>
      <c r="AO94" s="112">
        <v>100</v>
      </c>
      <c r="AP94" s="111">
        <v>8</v>
      </c>
    </row>
    <row r="95" spans="1:42" ht="15">
      <c r="A95" s="65" t="s">
        <v>293</v>
      </c>
      <c r="B95" s="65" t="s">
        <v>828</v>
      </c>
      <c r="C95" s="66" t="s">
        <v>4651</v>
      </c>
      <c r="D95" s="67">
        <v>3</v>
      </c>
      <c r="E95" s="68"/>
      <c r="F95" s="69">
        <v>40</v>
      </c>
      <c r="G95" s="66"/>
      <c r="H95" s="70"/>
      <c r="I95" s="71"/>
      <c r="J95" s="71"/>
      <c r="K95" s="35" t="s">
        <v>65</v>
      </c>
      <c r="L95" s="79">
        <v>95</v>
      </c>
      <c r="M95" s="79"/>
      <c r="N95" s="73"/>
      <c r="O95" s="81" t="s">
        <v>844</v>
      </c>
      <c r="P95" s="81" t="s">
        <v>199</v>
      </c>
      <c r="Q95" s="84" t="s">
        <v>935</v>
      </c>
      <c r="R95" s="81" t="s">
        <v>293</v>
      </c>
      <c r="S95" s="81" t="s">
        <v>1652</v>
      </c>
      <c r="T95" s="86" t="str">
        <f>HYPERLINK("http://www.youtube.com/channel/UCT2sMMbR8glNSt-SOF2wHDg")</f>
        <v>http://www.youtube.com/channel/UCT2sMMbR8glNSt-SOF2wHDg</v>
      </c>
      <c r="U95" s="81"/>
      <c r="V95" s="81" t="s">
        <v>2310</v>
      </c>
      <c r="W95" s="86" t="str">
        <f>HYPERLINK("https://www.youtube.com/watch?v=LBkXQ_mBO3Q")</f>
        <v>https://www.youtube.com/watch?v=LBkXQ_mBO3Q</v>
      </c>
      <c r="X95" s="81" t="s">
        <v>2349</v>
      </c>
      <c r="Y95" s="81">
        <v>1</v>
      </c>
      <c r="Z95" s="88">
        <v>44069.5144212963</v>
      </c>
      <c r="AA95" s="88">
        <v>44069.5144212963</v>
      </c>
      <c r="AB95" s="81"/>
      <c r="AC95" s="81"/>
      <c r="AD95" s="84" t="s">
        <v>2390</v>
      </c>
      <c r="AE95" s="82">
        <v>1</v>
      </c>
      <c r="AF95" s="83" t="str">
        <f>REPLACE(INDEX(GroupVertices[Group],MATCH(Edges[[#This Row],[Vertex 1]],GroupVertices[Vertex],0)),1,1,"")</f>
        <v>3</v>
      </c>
      <c r="AG95" s="83" t="str">
        <f>REPLACE(INDEX(GroupVertices[Group],MATCH(Edges[[#This Row],[Vertex 2]],GroupVertices[Vertex],0)),1,1,"")</f>
        <v>3</v>
      </c>
      <c r="AH95" s="111">
        <v>1</v>
      </c>
      <c r="AI95" s="112">
        <v>50</v>
      </c>
      <c r="AJ95" s="111">
        <v>0</v>
      </c>
      <c r="AK95" s="112">
        <v>0</v>
      </c>
      <c r="AL95" s="111">
        <v>0</v>
      </c>
      <c r="AM95" s="112">
        <v>0</v>
      </c>
      <c r="AN95" s="111">
        <v>1</v>
      </c>
      <c r="AO95" s="112">
        <v>50</v>
      </c>
      <c r="AP95" s="111">
        <v>2</v>
      </c>
    </row>
    <row r="96" spans="1:42" ht="15">
      <c r="A96" s="65" t="s">
        <v>294</v>
      </c>
      <c r="B96" s="65" t="s">
        <v>828</v>
      </c>
      <c r="C96" s="66" t="s">
        <v>4651</v>
      </c>
      <c r="D96" s="67">
        <v>3</v>
      </c>
      <c r="E96" s="68"/>
      <c r="F96" s="69">
        <v>40</v>
      </c>
      <c r="G96" s="66"/>
      <c r="H96" s="70"/>
      <c r="I96" s="71"/>
      <c r="J96" s="71"/>
      <c r="K96" s="35" t="s">
        <v>65</v>
      </c>
      <c r="L96" s="79">
        <v>96</v>
      </c>
      <c r="M96" s="79"/>
      <c r="N96" s="73"/>
      <c r="O96" s="81" t="s">
        <v>844</v>
      </c>
      <c r="P96" s="81" t="s">
        <v>199</v>
      </c>
      <c r="Q96" s="84" t="s">
        <v>936</v>
      </c>
      <c r="R96" s="81" t="s">
        <v>294</v>
      </c>
      <c r="S96" s="81" t="s">
        <v>1653</v>
      </c>
      <c r="T96" s="86" t="str">
        <f>HYPERLINK("http://www.youtube.com/channel/UCGt7qYOzYd53e1ZDyGy-p-Q")</f>
        <v>http://www.youtube.com/channel/UCGt7qYOzYd53e1ZDyGy-p-Q</v>
      </c>
      <c r="U96" s="81"/>
      <c r="V96" s="81" t="s">
        <v>2310</v>
      </c>
      <c r="W96" s="86" t="str">
        <f>HYPERLINK("https://www.youtube.com/watch?v=LBkXQ_mBO3Q")</f>
        <v>https://www.youtube.com/watch?v=LBkXQ_mBO3Q</v>
      </c>
      <c r="X96" s="81" t="s">
        <v>2349</v>
      </c>
      <c r="Y96" s="81">
        <v>1</v>
      </c>
      <c r="Z96" s="88">
        <v>44077.39319444444</v>
      </c>
      <c r="AA96" s="88">
        <v>44077.39319444444</v>
      </c>
      <c r="AB96" s="81"/>
      <c r="AC96" s="81"/>
      <c r="AD96" s="84" t="s">
        <v>2390</v>
      </c>
      <c r="AE96" s="82">
        <v>1</v>
      </c>
      <c r="AF96" s="83" t="str">
        <f>REPLACE(INDEX(GroupVertices[Group],MATCH(Edges[[#This Row],[Vertex 1]],GroupVertices[Vertex],0)),1,1,"")</f>
        <v>3</v>
      </c>
      <c r="AG96" s="83" t="str">
        <f>REPLACE(INDEX(GroupVertices[Group],MATCH(Edges[[#This Row],[Vertex 2]],GroupVertices[Vertex],0)),1,1,"")</f>
        <v>3</v>
      </c>
      <c r="AH96" s="111">
        <v>0</v>
      </c>
      <c r="AI96" s="112">
        <v>0</v>
      </c>
      <c r="AJ96" s="111">
        <v>0</v>
      </c>
      <c r="AK96" s="112">
        <v>0</v>
      </c>
      <c r="AL96" s="111">
        <v>0</v>
      </c>
      <c r="AM96" s="112">
        <v>0</v>
      </c>
      <c r="AN96" s="111">
        <v>1</v>
      </c>
      <c r="AO96" s="112">
        <v>100</v>
      </c>
      <c r="AP96" s="111">
        <v>1</v>
      </c>
    </row>
    <row r="97" spans="1:42" ht="15">
      <c r="A97" s="65" t="s">
        <v>295</v>
      </c>
      <c r="B97" s="65" t="s">
        <v>828</v>
      </c>
      <c r="C97" s="66" t="s">
        <v>4651</v>
      </c>
      <c r="D97" s="67">
        <v>3</v>
      </c>
      <c r="E97" s="68"/>
      <c r="F97" s="69">
        <v>40</v>
      </c>
      <c r="G97" s="66"/>
      <c r="H97" s="70"/>
      <c r="I97" s="71"/>
      <c r="J97" s="71"/>
      <c r="K97" s="35" t="s">
        <v>65</v>
      </c>
      <c r="L97" s="79">
        <v>97</v>
      </c>
      <c r="M97" s="79"/>
      <c r="N97" s="73"/>
      <c r="O97" s="81" t="s">
        <v>844</v>
      </c>
      <c r="P97" s="81" t="s">
        <v>199</v>
      </c>
      <c r="Q97" s="84" t="s">
        <v>937</v>
      </c>
      <c r="R97" s="81" t="s">
        <v>295</v>
      </c>
      <c r="S97" s="81" t="s">
        <v>1654</v>
      </c>
      <c r="T97" s="86" t="str">
        <f>HYPERLINK("http://www.youtube.com/channel/UCHcnCMwUpuuI8ihbzlHVh3g")</f>
        <v>http://www.youtube.com/channel/UCHcnCMwUpuuI8ihbzlHVh3g</v>
      </c>
      <c r="U97" s="81"/>
      <c r="V97" s="81" t="s">
        <v>2310</v>
      </c>
      <c r="W97" s="86" t="str">
        <f>HYPERLINK("https://www.youtube.com/watch?v=LBkXQ_mBO3Q")</f>
        <v>https://www.youtube.com/watch?v=LBkXQ_mBO3Q</v>
      </c>
      <c r="X97" s="81" t="s">
        <v>2349</v>
      </c>
      <c r="Y97" s="81">
        <v>1</v>
      </c>
      <c r="Z97" s="88">
        <v>44078.372824074075</v>
      </c>
      <c r="AA97" s="88">
        <v>44078.372824074075</v>
      </c>
      <c r="AB97" s="81"/>
      <c r="AC97" s="81"/>
      <c r="AD97" s="84" t="s">
        <v>2390</v>
      </c>
      <c r="AE97" s="82">
        <v>1</v>
      </c>
      <c r="AF97" s="83" t="str">
        <f>REPLACE(INDEX(GroupVertices[Group],MATCH(Edges[[#This Row],[Vertex 1]],GroupVertices[Vertex],0)),1,1,"")</f>
        <v>3</v>
      </c>
      <c r="AG97" s="83" t="str">
        <f>REPLACE(INDEX(GroupVertices[Group],MATCH(Edges[[#This Row],[Vertex 2]],GroupVertices[Vertex],0)),1,1,"")</f>
        <v>3</v>
      </c>
      <c r="AH97" s="111">
        <v>0</v>
      </c>
      <c r="AI97" s="112">
        <v>0</v>
      </c>
      <c r="AJ97" s="111">
        <v>0</v>
      </c>
      <c r="AK97" s="112">
        <v>0</v>
      </c>
      <c r="AL97" s="111">
        <v>0</v>
      </c>
      <c r="AM97" s="112">
        <v>0</v>
      </c>
      <c r="AN97" s="111">
        <v>0</v>
      </c>
      <c r="AO97" s="112">
        <v>0</v>
      </c>
      <c r="AP97" s="111">
        <v>0</v>
      </c>
    </row>
    <row r="98" spans="1:42" ht="15">
      <c r="A98" s="65" t="s">
        <v>296</v>
      </c>
      <c r="B98" s="65" t="s">
        <v>828</v>
      </c>
      <c r="C98" s="66" t="s">
        <v>4651</v>
      </c>
      <c r="D98" s="67">
        <v>3</v>
      </c>
      <c r="E98" s="68"/>
      <c r="F98" s="69">
        <v>40</v>
      </c>
      <c r="G98" s="66"/>
      <c r="H98" s="70"/>
      <c r="I98" s="71"/>
      <c r="J98" s="71"/>
      <c r="K98" s="35" t="s">
        <v>65</v>
      </c>
      <c r="L98" s="79">
        <v>98</v>
      </c>
      <c r="M98" s="79"/>
      <c r="N98" s="73"/>
      <c r="O98" s="81" t="s">
        <v>844</v>
      </c>
      <c r="P98" s="81" t="s">
        <v>199</v>
      </c>
      <c r="Q98" s="84" t="s">
        <v>938</v>
      </c>
      <c r="R98" s="81" t="s">
        <v>296</v>
      </c>
      <c r="S98" s="81" t="s">
        <v>1655</v>
      </c>
      <c r="T98" s="86" t="str">
        <f>HYPERLINK("http://www.youtube.com/channel/UCpVgM4WUtUtTtdCq_kBwy0Q")</f>
        <v>http://www.youtube.com/channel/UCpVgM4WUtUtTtdCq_kBwy0Q</v>
      </c>
      <c r="U98" s="81"/>
      <c r="V98" s="81" t="s">
        <v>2310</v>
      </c>
      <c r="W98" s="86" t="str">
        <f>HYPERLINK("https://www.youtube.com/watch?v=LBkXQ_mBO3Q")</f>
        <v>https://www.youtube.com/watch?v=LBkXQ_mBO3Q</v>
      </c>
      <c r="X98" s="81" t="s">
        <v>2349</v>
      </c>
      <c r="Y98" s="81">
        <v>2</v>
      </c>
      <c r="Z98" s="88">
        <v>44078.41012731481</v>
      </c>
      <c r="AA98" s="88">
        <v>44078.41012731481</v>
      </c>
      <c r="AB98" s="81"/>
      <c r="AC98" s="81"/>
      <c r="AD98" s="84" t="s">
        <v>2390</v>
      </c>
      <c r="AE98" s="82">
        <v>1</v>
      </c>
      <c r="AF98" s="83" t="str">
        <f>REPLACE(INDEX(GroupVertices[Group],MATCH(Edges[[#This Row],[Vertex 1]],GroupVertices[Vertex],0)),1,1,"")</f>
        <v>3</v>
      </c>
      <c r="AG98" s="83" t="str">
        <f>REPLACE(INDEX(GroupVertices[Group],MATCH(Edges[[#This Row],[Vertex 2]],GroupVertices[Vertex],0)),1,1,"")</f>
        <v>3</v>
      </c>
      <c r="AH98" s="111">
        <v>0</v>
      </c>
      <c r="AI98" s="112">
        <v>0</v>
      </c>
      <c r="AJ98" s="111">
        <v>1</v>
      </c>
      <c r="AK98" s="112">
        <v>14.285714285714286</v>
      </c>
      <c r="AL98" s="111">
        <v>0</v>
      </c>
      <c r="AM98" s="112">
        <v>0</v>
      </c>
      <c r="AN98" s="111">
        <v>6</v>
      </c>
      <c r="AO98" s="112">
        <v>85.71428571428571</v>
      </c>
      <c r="AP98" s="111">
        <v>7</v>
      </c>
    </row>
    <row r="99" spans="1:42" ht="15">
      <c r="A99" s="65" t="s">
        <v>297</v>
      </c>
      <c r="B99" s="65" t="s">
        <v>828</v>
      </c>
      <c r="C99" s="66" t="s">
        <v>4651</v>
      </c>
      <c r="D99" s="67">
        <v>3</v>
      </c>
      <c r="E99" s="68"/>
      <c r="F99" s="69">
        <v>40</v>
      </c>
      <c r="G99" s="66"/>
      <c r="H99" s="70"/>
      <c r="I99" s="71"/>
      <c r="J99" s="71"/>
      <c r="K99" s="35" t="s">
        <v>65</v>
      </c>
      <c r="L99" s="79">
        <v>99</v>
      </c>
      <c r="M99" s="79"/>
      <c r="N99" s="73"/>
      <c r="O99" s="81" t="s">
        <v>844</v>
      </c>
      <c r="P99" s="81" t="s">
        <v>199</v>
      </c>
      <c r="Q99" s="84" t="s">
        <v>939</v>
      </c>
      <c r="R99" s="81" t="s">
        <v>297</v>
      </c>
      <c r="S99" s="81" t="s">
        <v>1656</v>
      </c>
      <c r="T99" s="86" t="str">
        <f>HYPERLINK("http://www.youtube.com/channel/UCH1ojNgoWP7UJQlAjY3g1Rw")</f>
        <v>http://www.youtube.com/channel/UCH1ojNgoWP7UJQlAjY3g1Rw</v>
      </c>
      <c r="U99" s="81"/>
      <c r="V99" s="81" t="s">
        <v>2310</v>
      </c>
      <c r="W99" s="86" t="str">
        <f>HYPERLINK("https://www.youtube.com/watch?v=LBkXQ_mBO3Q")</f>
        <v>https://www.youtube.com/watch?v=LBkXQ_mBO3Q</v>
      </c>
      <c r="X99" s="81" t="s">
        <v>2349</v>
      </c>
      <c r="Y99" s="81">
        <v>2</v>
      </c>
      <c r="Z99" s="88">
        <v>44080.89082175926</v>
      </c>
      <c r="AA99" s="88">
        <v>44080.89082175926</v>
      </c>
      <c r="AB99" s="81"/>
      <c r="AC99" s="81"/>
      <c r="AD99" s="84" t="s">
        <v>2390</v>
      </c>
      <c r="AE99" s="82">
        <v>1</v>
      </c>
      <c r="AF99" s="83" t="str">
        <f>REPLACE(INDEX(GroupVertices[Group],MATCH(Edges[[#This Row],[Vertex 1]],GroupVertices[Vertex],0)),1,1,"")</f>
        <v>3</v>
      </c>
      <c r="AG99" s="83" t="str">
        <f>REPLACE(INDEX(GroupVertices[Group],MATCH(Edges[[#This Row],[Vertex 2]],GroupVertices[Vertex],0)),1,1,"")</f>
        <v>3</v>
      </c>
      <c r="AH99" s="111">
        <v>2</v>
      </c>
      <c r="AI99" s="112">
        <v>33.333333333333336</v>
      </c>
      <c r="AJ99" s="111">
        <v>0</v>
      </c>
      <c r="AK99" s="112">
        <v>0</v>
      </c>
      <c r="AL99" s="111">
        <v>0</v>
      </c>
      <c r="AM99" s="112">
        <v>0</v>
      </c>
      <c r="AN99" s="111">
        <v>4</v>
      </c>
      <c r="AO99" s="112">
        <v>66.66666666666667</v>
      </c>
      <c r="AP99" s="111">
        <v>6</v>
      </c>
    </row>
    <row r="100" spans="1:42" ht="15">
      <c r="A100" s="65" t="s">
        <v>298</v>
      </c>
      <c r="B100" s="65" t="s">
        <v>828</v>
      </c>
      <c r="C100" s="66" t="s">
        <v>4651</v>
      </c>
      <c r="D100" s="67">
        <v>3</v>
      </c>
      <c r="E100" s="68"/>
      <c r="F100" s="69">
        <v>40</v>
      </c>
      <c r="G100" s="66"/>
      <c r="H100" s="70"/>
      <c r="I100" s="71"/>
      <c r="J100" s="71"/>
      <c r="K100" s="35" t="s">
        <v>65</v>
      </c>
      <c r="L100" s="79">
        <v>100</v>
      </c>
      <c r="M100" s="79"/>
      <c r="N100" s="73"/>
      <c r="O100" s="81" t="s">
        <v>844</v>
      </c>
      <c r="P100" s="81" t="s">
        <v>199</v>
      </c>
      <c r="Q100" s="84" t="s">
        <v>940</v>
      </c>
      <c r="R100" s="81" t="s">
        <v>298</v>
      </c>
      <c r="S100" s="81" t="s">
        <v>1657</v>
      </c>
      <c r="T100" s="86" t="str">
        <f>HYPERLINK("http://www.youtube.com/channel/UCk8wQAmCOo5X037Z6NEn6TA")</f>
        <v>http://www.youtube.com/channel/UCk8wQAmCOo5X037Z6NEn6TA</v>
      </c>
      <c r="U100" s="81"/>
      <c r="V100" s="81" t="s">
        <v>2310</v>
      </c>
      <c r="W100" s="86" t="str">
        <f>HYPERLINK("https://www.youtube.com/watch?v=LBkXQ_mBO3Q")</f>
        <v>https://www.youtube.com/watch?v=LBkXQ_mBO3Q</v>
      </c>
      <c r="X100" s="81" t="s">
        <v>2349</v>
      </c>
      <c r="Y100" s="81">
        <v>1</v>
      </c>
      <c r="Z100" s="88">
        <v>44084.242800925924</v>
      </c>
      <c r="AA100" s="88">
        <v>44084.242800925924</v>
      </c>
      <c r="AB100" s="81"/>
      <c r="AC100" s="81"/>
      <c r="AD100" s="84" t="s">
        <v>2390</v>
      </c>
      <c r="AE100" s="82">
        <v>1</v>
      </c>
      <c r="AF100" s="83" t="str">
        <f>REPLACE(INDEX(GroupVertices[Group],MATCH(Edges[[#This Row],[Vertex 1]],GroupVertices[Vertex],0)),1,1,"")</f>
        <v>3</v>
      </c>
      <c r="AG100" s="83" t="str">
        <f>REPLACE(INDEX(GroupVertices[Group],MATCH(Edges[[#This Row],[Vertex 2]],GroupVertices[Vertex],0)),1,1,"")</f>
        <v>3</v>
      </c>
      <c r="AH100" s="111">
        <v>1</v>
      </c>
      <c r="AI100" s="112">
        <v>20</v>
      </c>
      <c r="AJ100" s="111">
        <v>0</v>
      </c>
      <c r="AK100" s="112">
        <v>0</v>
      </c>
      <c r="AL100" s="111">
        <v>0</v>
      </c>
      <c r="AM100" s="112">
        <v>0</v>
      </c>
      <c r="AN100" s="111">
        <v>4</v>
      </c>
      <c r="AO100" s="112">
        <v>80</v>
      </c>
      <c r="AP100" s="111">
        <v>5</v>
      </c>
    </row>
    <row r="101" spans="1:42" ht="15">
      <c r="A101" s="65" t="s">
        <v>299</v>
      </c>
      <c r="B101" s="65" t="s">
        <v>828</v>
      </c>
      <c r="C101" s="66" t="s">
        <v>4651</v>
      </c>
      <c r="D101" s="67">
        <v>3</v>
      </c>
      <c r="E101" s="68"/>
      <c r="F101" s="69">
        <v>40</v>
      </c>
      <c r="G101" s="66"/>
      <c r="H101" s="70"/>
      <c r="I101" s="71"/>
      <c r="J101" s="71"/>
      <c r="K101" s="35" t="s">
        <v>65</v>
      </c>
      <c r="L101" s="79">
        <v>101</v>
      </c>
      <c r="M101" s="79"/>
      <c r="N101" s="73"/>
      <c r="O101" s="81" t="s">
        <v>844</v>
      </c>
      <c r="P101" s="81" t="s">
        <v>199</v>
      </c>
      <c r="Q101" s="84" t="s">
        <v>941</v>
      </c>
      <c r="R101" s="81" t="s">
        <v>299</v>
      </c>
      <c r="S101" s="81" t="s">
        <v>1658</v>
      </c>
      <c r="T101" s="86" t="str">
        <f>HYPERLINK("http://www.youtube.com/channel/UCUL_0RJJ6jOvcM7p3ZpCmMQ")</f>
        <v>http://www.youtube.com/channel/UCUL_0RJJ6jOvcM7p3ZpCmMQ</v>
      </c>
      <c r="U101" s="81"/>
      <c r="V101" s="81" t="s">
        <v>2310</v>
      </c>
      <c r="W101" s="86" t="str">
        <f>HYPERLINK("https://www.youtube.com/watch?v=LBkXQ_mBO3Q")</f>
        <v>https://www.youtube.com/watch?v=LBkXQ_mBO3Q</v>
      </c>
      <c r="X101" s="81" t="s">
        <v>2349</v>
      </c>
      <c r="Y101" s="81">
        <v>0</v>
      </c>
      <c r="Z101" s="88">
        <v>44085.24863425926</v>
      </c>
      <c r="AA101" s="88">
        <v>44085.24863425926</v>
      </c>
      <c r="AB101" s="81"/>
      <c r="AC101" s="81"/>
      <c r="AD101" s="84" t="s">
        <v>2390</v>
      </c>
      <c r="AE101" s="82">
        <v>1</v>
      </c>
      <c r="AF101" s="83" t="str">
        <f>REPLACE(INDEX(GroupVertices[Group],MATCH(Edges[[#This Row],[Vertex 1]],GroupVertices[Vertex],0)),1,1,"")</f>
        <v>3</v>
      </c>
      <c r="AG101" s="83" t="str">
        <f>REPLACE(INDEX(GroupVertices[Group],MATCH(Edges[[#This Row],[Vertex 2]],GroupVertices[Vertex],0)),1,1,"")</f>
        <v>3</v>
      </c>
      <c r="AH101" s="111">
        <v>1</v>
      </c>
      <c r="AI101" s="112">
        <v>20</v>
      </c>
      <c r="AJ101" s="111">
        <v>0</v>
      </c>
      <c r="AK101" s="112">
        <v>0</v>
      </c>
      <c r="AL101" s="111">
        <v>0</v>
      </c>
      <c r="AM101" s="112">
        <v>0</v>
      </c>
      <c r="AN101" s="111">
        <v>4</v>
      </c>
      <c r="AO101" s="112">
        <v>80</v>
      </c>
      <c r="AP101" s="111">
        <v>5</v>
      </c>
    </row>
    <row r="102" spans="1:42" ht="15">
      <c r="A102" s="65" t="s">
        <v>300</v>
      </c>
      <c r="B102" s="65" t="s">
        <v>828</v>
      </c>
      <c r="C102" s="66" t="s">
        <v>4651</v>
      </c>
      <c r="D102" s="67">
        <v>3</v>
      </c>
      <c r="E102" s="68"/>
      <c r="F102" s="69">
        <v>40</v>
      </c>
      <c r="G102" s="66"/>
      <c r="H102" s="70"/>
      <c r="I102" s="71"/>
      <c r="J102" s="71"/>
      <c r="K102" s="35" t="s">
        <v>65</v>
      </c>
      <c r="L102" s="79">
        <v>102</v>
      </c>
      <c r="M102" s="79"/>
      <c r="N102" s="73"/>
      <c r="O102" s="81" t="s">
        <v>844</v>
      </c>
      <c r="P102" s="81" t="s">
        <v>199</v>
      </c>
      <c r="Q102" s="84" t="s">
        <v>942</v>
      </c>
      <c r="R102" s="81" t="s">
        <v>300</v>
      </c>
      <c r="S102" s="81" t="s">
        <v>1659</v>
      </c>
      <c r="T102" s="86" t="str">
        <f>HYPERLINK("http://www.youtube.com/channel/UCemRVN5Sbnxv17T4x-Dj3IA")</f>
        <v>http://www.youtube.com/channel/UCemRVN5Sbnxv17T4x-Dj3IA</v>
      </c>
      <c r="U102" s="81"/>
      <c r="V102" s="81" t="s">
        <v>2310</v>
      </c>
      <c r="W102" s="86" t="str">
        <f>HYPERLINK("https://www.youtube.com/watch?v=LBkXQ_mBO3Q")</f>
        <v>https://www.youtube.com/watch?v=LBkXQ_mBO3Q</v>
      </c>
      <c r="X102" s="81" t="s">
        <v>2349</v>
      </c>
      <c r="Y102" s="81">
        <v>0</v>
      </c>
      <c r="Z102" s="88">
        <v>44085.29701388889</v>
      </c>
      <c r="AA102" s="88">
        <v>44085.29701388889</v>
      </c>
      <c r="AB102" s="81"/>
      <c r="AC102" s="81"/>
      <c r="AD102" s="84" t="s">
        <v>2390</v>
      </c>
      <c r="AE102" s="82">
        <v>1</v>
      </c>
      <c r="AF102" s="83" t="str">
        <f>REPLACE(INDEX(GroupVertices[Group],MATCH(Edges[[#This Row],[Vertex 1]],GroupVertices[Vertex],0)),1,1,"")</f>
        <v>3</v>
      </c>
      <c r="AG102" s="83" t="str">
        <f>REPLACE(INDEX(GroupVertices[Group],MATCH(Edges[[#This Row],[Vertex 2]],GroupVertices[Vertex],0)),1,1,"")</f>
        <v>3</v>
      </c>
      <c r="AH102" s="111">
        <v>3</v>
      </c>
      <c r="AI102" s="112">
        <v>23.076923076923077</v>
      </c>
      <c r="AJ102" s="111">
        <v>0</v>
      </c>
      <c r="AK102" s="112">
        <v>0</v>
      </c>
      <c r="AL102" s="111">
        <v>0</v>
      </c>
      <c r="AM102" s="112">
        <v>0</v>
      </c>
      <c r="AN102" s="111">
        <v>10</v>
      </c>
      <c r="AO102" s="112">
        <v>76.92307692307692</v>
      </c>
      <c r="AP102" s="111">
        <v>13</v>
      </c>
    </row>
    <row r="103" spans="1:42" ht="15">
      <c r="A103" s="65" t="s">
        <v>301</v>
      </c>
      <c r="B103" s="65" t="s">
        <v>828</v>
      </c>
      <c r="C103" s="66" t="s">
        <v>4651</v>
      </c>
      <c r="D103" s="67">
        <v>3</v>
      </c>
      <c r="E103" s="68"/>
      <c r="F103" s="69">
        <v>40</v>
      </c>
      <c r="G103" s="66"/>
      <c r="H103" s="70"/>
      <c r="I103" s="71"/>
      <c r="J103" s="71"/>
      <c r="K103" s="35" t="s">
        <v>65</v>
      </c>
      <c r="L103" s="79">
        <v>103</v>
      </c>
      <c r="M103" s="79"/>
      <c r="N103" s="73"/>
      <c r="O103" s="81" t="s">
        <v>844</v>
      </c>
      <c r="P103" s="81" t="s">
        <v>199</v>
      </c>
      <c r="Q103" s="84" t="s">
        <v>943</v>
      </c>
      <c r="R103" s="81" t="s">
        <v>301</v>
      </c>
      <c r="S103" s="81" t="s">
        <v>1660</v>
      </c>
      <c r="T103" s="86" t="str">
        <f>HYPERLINK("http://www.youtube.com/channel/UCAMZryzGVYLCaIz-nWWcThw")</f>
        <v>http://www.youtube.com/channel/UCAMZryzGVYLCaIz-nWWcThw</v>
      </c>
      <c r="U103" s="81"/>
      <c r="V103" s="81" t="s">
        <v>2310</v>
      </c>
      <c r="W103" s="86" t="str">
        <f>HYPERLINK("https://www.youtube.com/watch?v=LBkXQ_mBO3Q")</f>
        <v>https://www.youtube.com/watch?v=LBkXQ_mBO3Q</v>
      </c>
      <c r="X103" s="81" t="s">
        <v>2349</v>
      </c>
      <c r="Y103" s="81">
        <v>0</v>
      </c>
      <c r="Z103" s="88">
        <v>44089.648935185185</v>
      </c>
      <c r="AA103" s="88">
        <v>44089.648935185185</v>
      </c>
      <c r="AB103" s="81"/>
      <c r="AC103" s="81"/>
      <c r="AD103" s="84" t="s">
        <v>2390</v>
      </c>
      <c r="AE103" s="82">
        <v>1</v>
      </c>
      <c r="AF103" s="83" t="str">
        <f>REPLACE(INDEX(GroupVertices[Group],MATCH(Edges[[#This Row],[Vertex 1]],GroupVertices[Vertex],0)),1,1,"")</f>
        <v>3</v>
      </c>
      <c r="AG103" s="83" t="str">
        <f>REPLACE(INDEX(GroupVertices[Group],MATCH(Edges[[#This Row],[Vertex 2]],GroupVertices[Vertex],0)),1,1,"")</f>
        <v>3</v>
      </c>
      <c r="AH103" s="111">
        <v>0</v>
      </c>
      <c r="AI103" s="112">
        <v>0</v>
      </c>
      <c r="AJ103" s="111">
        <v>0</v>
      </c>
      <c r="AK103" s="112">
        <v>0</v>
      </c>
      <c r="AL103" s="111">
        <v>0</v>
      </c>
      <c r="AM103" s="112">
        <v>0</v>
      </c>
      <c r="AN103" s="111">
        <v>4</v>
      </c>
      <c r="AO103" s="112">
        <v>100</v>
      </c>
      <c r="AP103" s="111">
        <v>4</v>
      </c>
    </row>
    <row r="104" spans="1:42" ht="15">
      <c r="A104" s="65" t="s">
        <v>302</v>
      </c>
      <c r="B104" s="65" t="s">
        <v>828</v>
      </c>
      <c r="C104" s="66" t="s">
        <v>4651</v>
      </c>
      <c r="D104" s="67">
        <v>3</v>
      </c>
      <c r="E104" s="68"/>
      <c r="F104" s="69">
        <v>40</v>
      </c>
      <c r="G104" s="66"/>
      <c r="H104" s="70"/>
      <c r="I104" s="71"/>
      <c r="J104" s="71"/>
      <c r="K104" s="35" t="s">
        <v>65</v>
      </c>
      <c r="L104" s="79">
        <v>104</v>
      </c>
      <c r="M104" s="79"/>
      <c r="N104" s="73"/>
      <c r="O104" s="81" t="s">
        <v>844</v>
      </c>
      <c r="P104" s="81" t="s">
        <v>199</v>
      </c>
      <c r="Q104" s="84" t="s">
        <v>944</v>
      </c>
      <c r="R104" s="81" t="s">
        <v>302</v>
      </c>
      <c r="S104" s="81" t="s">
        <v>1661</v>
      </c>
      <c r="T104" s="86" t="str">
        <f>HYPERLINK("http://www.youtube.com/channel/UCs0zeoq1hCZ4kpzkJAk4d-A")</f>
        <v>http://www.youtube.com/channel/UCs0zeoq1hCZ4kpzkJAk4d-A</v>
      </c>
      <c r="U104" s="81"/>
      <c r="V104" s="81" t="s">
        <v>2310</v>
      </c>
      <c r="W104" s="86" t="str">
        <f>HYPERLINK("https://www.youtube.com/watch?v=LBkXQ_mBO3Q")</f>
        <v>https://www.youtube.com/watch?v=LBkXQ_mBO3Q</v>
      </c>
      <c r="X104" s="81" t="s">
        <v>2349</v>
      </c>
      <c r="Y104" s="81">
        <v>1</v>
      </c>
      <c r="Z104" s="88">
        <v>44092.67449074074</v>
      </c>
      <c r="AA104" s="88">
        <v>44092.67449074074</v>
      </c>
      <c r="AB104" s="81"/>
      <c r="AC104" s="81"/>
      <c r="AD104" s="84" t="s">
        <v>2390</v>
      </c>
      <c r="AE104" s="82">
        <v>1</v>
      </c>
      <c r="AF104" s="83" t="str">
        <f>REPLACE(INDEX(GroupVertices[Group],MATCH(Edges[[#This Row],[Vertex 1]],GroupVertices[Vertex],0)),1,1,"")</f>
        <v>3</v>
      </c>
      <c r="AG104" s="83" t="str">
        <f>REPLACE(INDEX(GroupVertices[Group],MATCH(Edges[[#This Row],[Vertex 2]],GroupVertices[Vertex],0)),1,1,"")</f>
        <v>3</v>
      </c>
      <c r="AH104" s="111">
        <v>0</v>
      </c>
      <c r="AI104" s="112">
        <v>0</v>
      </c>
      <c r="AJ104" s="111">
        <v>3</v>
      </c>
      <c r="AK104" s="112">
        <v>20</v>
      </c>
      <c r="AL104" s="111">
        <v>0</v>
      </c>
      <c r="AM104" s="112">
        <v>0</v>
      </c>
      <c r="AN104" s="111">
        <v>12</v>
      </c>
      <c r="AO104" s="112">
        <v>80</v>
      </c>
      <c r="AP104" s="111">
        <v>15</v>
      </c>
    </row>
    <row r="105" spans="1:42" ht="15">
      <c r="A105" s="65" t="s">
        <v>303</v>
      </c>
      <c r="B105" s="65" t="s">
        <v>304</v>
      </c>
      <c r="C105" s="66" t="s">
        <v>4651</v>
      </c>
      <c r="D105" s="67">
        <v>3</v>
      </c>
      <c r="E105" s="68"/>
      <c r="F105" s="69">
        <v>40</v>
      </c>
      <c r="G105" s="66"/>
      <c r="H105" s="70"/>
      <c r="I105" s="71"/>
      <c r="J105" s="71"/>
      <c r="K105" s="35" t="s">
        <v>65</v>
      </c>
      <c r="L105" s="79">
        <v>105</v>
      </c>
      <c r="M105" s="79"/>
      <c r="N105" s="73"/>
      <c r="O105" s="81" t="s">
        <v>845</v>
      </c>
      <c r="P105" s="81" t="s">
        <v>847</v>
      </c>
      <c r="Q105" s="84" t="s">
        <v>945</v>
      </c>
      <c r="R105" s="81" t="s">
        <v>303</v>
      </c>
      <c r="S105" s="81" t="s">
        <v>1662</v>
      </c>
      <c r="T105" s="86" t="str">
        <f>HYPERLINK("http://www.youtube.com/channel/UCkY79Ha7ZmdiBsxtDiOF-Eg")</f>
        <v>http://www.youtube.com/channel/UCkY79Ha7ZmdiBsxtDiOF-Eg</v>
      </c>
      <c r="U105" s="81" t="s">
        <v>2196</v>
      </c>
      <c r="V105" s="81" t="s">
        <v>2310</v>
      </c>
      <c r="W105" s="86" t="str">
        <f>HYPERLINK("https://www.youtube.com/watch?v=LBkXQ_mBO3Q")</f>
        <v>https://www.youtube.com/watch?v=LBkXQ_mBO3Q</v>
      </c>
      <c r="X105" s="81" t="s">
        <v>2349</v>
      </c>
      <c r="Y105" s="81">
        <v>1</v>
      </c>
      <c r="Z105" s="88">
        <v>44104.355208333334</v>
      </c>
      <c r="AA105" s="88">
        <v>44104.355208333334</v>
      </c>
      <c r="AB105" s="81"/>
      <c r="AC105" s="81"/>
      <c r="AD105" s="84" t="s">
        <v>2390</v>
      </c>
      <c r="AE105" s="82">
        <v>1</v>
      </c>
      <c r="AF105" s="83" t="str">
        <f>REPLACE(INDEX(GroupVertices[Group],MATCH(Edges[[#This Row],[Vertex 1]],GroupVertices[Vertex],0)),1,1,"")</f>
        <v>3</v>
      </c>
      <c r="AG105" s="83" t="str">
        <f>REPLACE(INDEX(GroupVertices[Group],MATCH(Edges[[#This Row],[Vertex 2]],GroupVertices[Vertex],0)),1,1,"")</f>
        <v>3</v>
      </c>
      <c r="AH105" s="111">
        <v>1</v>
      </c>
      <c r="AI105" s="112">
        <v>7.142857142857143</v>
      </c>
      <c r="AJ105" s="111">
        <v>0</v>
      </c>
      <c r="AK105" s="112">
        <v>0</v>
      </c>
      <c r="AL105" s="111">
        <v>0</v>
      </c>
      <c r="AM105" s="112">
        <v>0</v>
      </c>
      <c r="AN105" s="111">
        <v>13</v>
      </c>
      <c r="AO105" s="112">
        <v>92.85714285714286</v>
      </c>
      <c r="AP105" s="111">
        <v>14</v>
      </c>
    </row>
    <row r="106" spans="1:42" ht="15">
      <c r="A106" s="65" t="s">
        <v>304</v>
      </c>
      <c r="B106" s="65" t="s">
        <v>828</v>
      </c>
      <c r="C106" s="66" t="s">
        <v>4613</v>
      </c>
      <c r="D106" s="67">
        <v>10</v>
      </c>
      <c r="E106" s="68"/>
      <c r="F106" s="69">
        <v>15</v>
      </c>
      <c r="G106" s="66"/>
      <c r="H106" s="70"/>
      <c r="I106" s="71"/>
      <c r="J106" s="71"/>
      <c r="K106" s="35" t="s">
        <v>65</v>
      </c>
      <c r="L106" s="79">
        <v>106</v>
      </c>
      <c r="M106" s="79"/>
      <c r="N106" s="73"/>
      <c r="O106" s="81" t="s">
        <v>844</v>
      </c>
      <c r="P106" s="81" t="s">
        <v>199</v>
      </c>
      <c r="Q106" s="84" t="s">
        <v>946</v>
      </c>
      <c r="R106" s="81" t="s">
        <v>304</v>
      </c>
      <c r="S106" s="81" t="s">
        <v>1663</v>
      </c>
      <c r="T106" s="86" t="str">
        <f>HYPERLINK("http://www.youtube.com/channel/UCpJIpZ4keoop_uhVhlZGAMg")</f>
        <v>http://www.youtube.com/channel/UCpJIpZ4keoop_uhVhlZGAMg</v>
      </c>
      <c r="U106" s="81"/>
      <c r="V106" s="81" t="s">
        <v>2310</v>
      </c>
      <c r="W106" s="86" t="str">
        <f>HYPERLINK("https://www.youtube.com/watch?v=LBkXQ_mBO3Q")</f>
        <v>https://www.youtube.com/watch?v=LBkXQ_mBO3Q</v>
      </c>
      <c r="X106" s="81" t="s">
        <v>2349</v>
      </c>
      <c r="Y106" s="81">
        <v>7</v>
      </c>
      <c r="Z106" s="88">
        <v>44096.40875</v>
      </c>
      <c r="AA106" s="88">
        <v>44096.40875</v>
      </c>
      <c r="AB106" s="81"/>
      <c r="AC106" s="81"/>
      <c r="AD106" s="84" t="s">
        <v>2390</v>
      </c>
      <c r="AE106" s="82">
        <v>2</v>
      </c>
      <c r="AF106" s="83" t="str">
        <f>REPLACE(INDEX(GroupVertices[Group],MATCH(Edges[[#This Row],[Vertex 1]],GroupVertices[Vertex],0)),1,1,"")</f>
        <v>3</v>
      </c>
      <c r="AG106" s="83" t="str">
        <f>REPLACE(INDEX(GroupVertices[Group],MATCH(Edges[[#This Row],[Vertex 2]],GroupVertices[Vertex],0)),1,1,"")</f>
        <v>3</v>
      </c>
      <c r="AH106" s="111">
        <v>0</v>
      </c>
      <c r="AI106" s="112">
        <v>0</v>
      </c>
      <c r="AJ106" s="111">
        <v>0</v>
      </c>
      <c r="AK106" s="112">
        <v>0</v>
      </c>
      <c r="AL106" s="111">
        <v>0</v>
      </c>
      <c r="AM106" s="112">
        <v>0</v>
      </c>
      <c r="AN106" s="111">
        <v>13</v>
      </c>
      <c r="AO106" s="112">
        <v>100</v>
      </c>
      <c r="AP106" s="111">
        <v>13</v>
      </c>
    </row>
    <row r="107" spans="1:42" ht="15">
      <c r="A107" s="65" t="s">
        <v>304</v>
      </c>
      <c r="B107" s="65" t="s">
        <v>828</v>
      </c>
      <c r="C107" s="66" t="s">
        <v>4613</v>
      </c>
      <c r="D107" s="67">
        <v>10</v>
      </c>
      <c r="E107" s="68"/>
      <c r="F107" s="69">
        <v>15</v>
      </c>
      <c r="G107" s="66"/>
      <c r="H107" s="70"/>
      <c r="I107" s="71"/>
      <c r="J107" s="71"/>
      <c r="K107" s="35" t="s">
        <v>65</v>
      </c>
      <c r="L107" s="79">
        <v>107</v>
      </c>
      <c r="M107" s="79"/>
      <c r="N107" s="73"/>
      <c r="O107" s="81" t="s">
        <v>844</v>
      </c>
      <c r="P107" s="81" t="s">
        <v>199</v>
      </c>
      <c r="Q107" s="84" t="s">
        <v>947</v>
      </c>
      <c r="R107" s="81" t="s">
        <v>304</v>
      </c>
      <c r="S107" s="81" t="s">
        <v>1663</v>
      </c>
      <c r="T107" s="86" t="str">
        <f>HYPERLINK("http://www.youtube.com/channel/UCpJIpZ4keoop_uhVhlZGAMg")</f>
        <v>http://www.youtube.com/channel/UCpJIpZ4keoop_uhVhlZGAMg</v>
      </c>
      <c r="U107" s="81"/>
      <c r="V107" s="81" t="s">
        <v>2310</v>
      </c>
      <c r="W107" s="86" t="str">
        <f>HYPERLINK("https://www.youtube.com/watch?v=LBkXQ_mBO3Q")</f>
        <v>https://www.youtube.com/watch?v=LBkXQ_mBO3Q</v>
      </c>
      <c r="X107" s="81" t="s">
        <v>2349</v>
      </c>
      <c r="Y107" s="81">
        <v>2</v>
      </c>
      <c r="Z107" s="88">
        <v>44096.409155092595</v>
      </c>
      <c r="AA107" s="88">
        <v>44096.409155092595</v>
      </c>
      <c r="AB107" s="81"/>
      <c r="AC107" s="81"/>
      <c r="AD107" s="84" t="s">
        <v>2390</v>
      </c>
      <c r="AE107" s="82">
        <v>2</v>
      </c>
      <c r="AF107" s="83" t="str">
        <f>REPLACE(INDEX(GroupVertices[Group],MATCH(Edges[[#This Row],[Vertex 1]],GroupVertices[Vertex],0)),1,1,"")</f>
        <v>3</v>
      </c>
      <c r="AG107" s="83" t="str">
        <f>REPLACE(INDEX(GroupVertices[Group],MATCH(Edges[[#This Row],[Vertex 2]],GroupVertices[Vertex],0)),1,1,"")</f>
        <v>3</v>
      </c>
      <c r="AH107" s="111">
        <v>1</v>
      </c>
      <c r="AI107" s="112">
        <v>50</v>
      </c>
      <c r="AJ107" s="111">
        <v>0</v>
      </c>
      <c r="AK107" s="112">
        <v>0</v>
      </c>
      <c r="AL107" s="111">
        <v>0</v>
      </c>
      <c r="AM107" s="112">
        <v>0</v>
      </c>
      <c r="AN107" s="111">
        <v>1</v>
      </c>
      <c r="AO107" s="112">
        <v>50</v>
      </c>
      <c r="AP107" s="111">
        <v>2</v>
      </c>
    </row>
    <row r="108" spans="1:42" ht="15">
      <c r="A108" s="65" t="s">
        <v>305</v>
      </c>
      <c r="B108" s="65" t="s">
        <v>828</v>
      </c>
      <c r="C108" s="66" t="s">
        <v>4651</v>
      </c>
      <c r="D108" s="67">
        <v>3</v>
      </c>
      <c r="E108" s="68"/>
      <c r="F108" s="69">
        <v>40</v>
      </c>
      <c r="G108" s="66"/>
      <c r="H108" s="70"/>
      <c r="I108" s="71"/>
      <c r="J108" s="71"/>
      <c r="K108" s="35" t="s">
        <v>65</v>
      </c>
      <c r="L108" s="79">
        <v>108</v>
      </c>
      <c r="M108" s="79"/>
      <c r="N108" s="73"/>
      <c r="O108" s="81" t="s">
        <v>844</v>
      </c>
      <c r="P108" s="81" t="s">
        <v>199</v>
      </c>
      <c r="Q108" s="84" t="s">
        <v>948</v>
      </c>
      <c r="R108" s="81" t="s">
        <v>305</v>
      </c>
      <c r="S108" s="81" t="s">
        <v>1664</v>
      </c>
      <c r="T108" s="86" t="str">
        <f>HYPERLINK("http://www.youtube.com/channel/UCe8vg21U7drDp4xuaVjU2kw")</f>
        <v>http://www.youtube.com/channel/UCe8vg21U7drDp4xuaVjU2kw</v>
      </c>
      <c r="U108" s="81"/>
      <c r="V108" s="81" t="s">
        <v>2310</v>
      </c>
      <c r="W108" s="86" t="str">
        <f>HYPERLINK("https://www.youtube.com/watch?v=LBkXQ_mBO3Q")</f>
        <v>https://www.youtube.com/watch?v=LBkXQ_mBO3Q</v>
      </c>
      <c r="X108" s="81" t="s">
        <v>2349</v>
      </c>
      <c r="Y108" s="81">
        <v>0</v>
      </c>
      <c r="Z108" s="88">
        <v>44098.818125</v>
      </c>
      <c r="AA108" s="88">
        <v>44098.818125</v>
      </c>
      <c r="AB108" s="81" t="s">
        <v>2356</v>
      </c>
      <c r="AC108" s="81" t="s">
        <v>2381</v>
      </c>
      <c r="AD108" s="84" t="s">
        <v>2390</v>
      </c>
      <c r="AE108" s="82">
        <v>1</v>
      </c>
      <c r="AF108" s="83" t="str">
        <f>REPLACE(INDEX(GroupVertices[Group],MATCH(Edges[[#This Row],[Vertex 1]],GroupVertices[Vertex],0)),1,1,"")</f>
        <v>3</v>
      </c>
      <c r="AG108" s="83" t="str">
        <f>REPLACE(INDEX(GroupVertices[Group],MATCH(Edges[[#This Row],[Vertex 2]],GroupVertices[Vertex],0)),1,1,"")</f>
        <v>3</v>
      </c>
      <c r="AH108" s="111">
        <v>11</v>
      </c>
      <c r="AI108" s="112">
        <v>7.333333333333333</v>
      </c>
      <c r="AJ108" s="111">
        <v>3</v>
      </c>
      <c r="AK108" s="112">
        <v>2</v>
      </c>
      <c r="AL108" s="111">
        <v>0</v>
      </c>
      <c r="AM108" s="112">
        <v>0</v>
      </c>
      <c r="AN108" s="111">
        <v>136</v>
      </c>
      <c r="AO108" s="112">
        <v>90.66666666666667</v>
      </c>
      <c r="AP108" s="111">
        <v>150</v>
      </c>
    </row>
    <row r="109" spans="1:42" ht="15">
      <c r="A109" s="65" t="s">
        <v>306</v>
      </c>
      <c r="B109" s="65" t="s">
        <v>828</v>
      </c>
      <c r="C109" s="66" t="s">
        <v>4651</v>
      </c>
      <c r="D109" s="67">
        <v>3</v>
      </c>
      <c r="E109" s="68"/>
      <c r="F109" s="69">
        <v>40</v>
      </c>
      <c r="G109" s="66"/>
      <c r="H109" s="70"/>
      <c r="I109" s="71"/>
      <c r="J109" s="71"/>
      <c r="K109" s="35" t="s">
        <v>65</v>
      </c>
      <c r="L109" s="79">
        <v>109</v>
      </c>
      <c r="M109" s="79"/>
      <c r="N109" s="73"/>
      <c r="O109" s="81" t="s">
        <v>844</v>
      </c>
      <c r="P109" s="81" t="s">
        <v>199</v>
      </c>
      <c r="Q109" s="84" t="s">
        <v>949</v>
      </c>
      <c r="R109" s="81" t="s">
        <v>306</v>
      </c>
      <c r="S109" s="81" t="s">
        <v>1665</v>
      </c>
      <c r="T109" s="86" t="str">
        <f>HYPERLINK("http://www.youtube.com/channel/UCfg6c8urWYaJJOqIhpPkuTw")</f>
        <v>http://www.youtube.com/channel/UCfg6c8urWYaJJOqIhpPkuTw</v>
      </c>
      <c r="U109" s="81"/>
      <c r="V109" s="81" t="s">
        <v>2310</v>
      </c>
      <c r="W109" s="86" t="str">
        <f>HYPERLINK("https://www.youtube.com/watch?v=LBkXQ_mBO3Q")</f>
        <v>https://www.youtube.com/watch?v=LBkXQ_mBO3Q</v>
      </c>
      <c r="X109" s="81" t="s">
        <v>2349</v>
      </c>
      <c r="Y109" s="81">
        <v>5</v>
      </c>
      <c r="Z109" s="88">
        <v>44106.6</v>
      </c>
      <c r="AA109" s="88">
        <v>44106.6</v>
      </c>
      <c r="AB109" s="81"/>
      <c r="AC109" s="81"/>
      <c r="AD109" s="84" t="s">
        <v>2390</v>
      </c>
      <c r="AE109" s="82">
        <v>1</v>
      </c>
      <c r="AF109" s="83" t="str">
        <f>REPLACE(INDEX(GroupVertices[Group],MATCH(Edges[[#This Row],[Vertex 1]],GroupVertices[Vertex],0)),1,1,"")</f>
        <v>3</v>
      </c>
      <c r="AG109" s="83" t="str">
        <f>REPLACE(INDEX(GroupVertices[Group],MATCH(Edges[[#This Row],[Vertex 2]],GroupVertices[Vertex],0)),1,1,"")</f>
        <v>3</v>
      </c>
      <c r="AH109" s="111">
        <v>0</v>
      </c>
      <c r="AI109" s="112">
        <v>0</v>
      </c>
      <c r="AJ109" s="111">
        <v>0</v>
      </c>
      <c r="AK109" s="112">
        <v>0</v>
      </c>
      <c r="AL109" s="111">
        <v>0</v>
      </c>
      <c r="AM109" s="112">
        <v>0</v>
      </c>
      <c r="AN109" s="111">
        <v>5</v>
      </c>
      <c r="AO109" s="112">
        <v>100</v>
      </c>
      <c r="AP109" s="111">
        <v>5</v>
      </c>
    </row>
    <row r="110" spans="1:42" ht="15">
      <c r="A110" s="65" t="s">
        <v>307</v>
      </c>
      <c r="B110" s="65" t="s">
        <v>309</v>
      </c>
      <c r="C110" s="66" t="s">
        <v>4651</v>
      </c>
      <c r="D110" s="67">
        <v>3</v>
      </c>
      <c r="E110" s="68"/>
      <c r="F110" s="69">
        <v>40</v>
      </c>
      <c r="G110" s="66"/>
      <c r="H110" s="70"/>
      <c r="I110" s="71"/>
      <c r="J110" s="71"/>
      <c r="K110" s="35" t="s">
        <v>65</v>
      </c>
      <c r="L110" s="79">
        <v>110</v>
      </c>
      <c r="M110" s="79"/>
      <c r="N110" s="73"/>
      <c r="O110" s="81" t="s">
        <v>845</v>
      </c>
      <c r="P110" s="81" t="s">
        <v>847</v>
      </c>
      <c r="Q110" s="84" t="s">
        <v>950</v>
      </c>
      <c r="R110" s="81" t="s">
        <v>307</v>
      </c>
      <c r="S110" s="81" t="s">
        <v>1666</v>
      </c>
      <c r="T110" s="86" t="str">
        <f>HYPERLINK("http://www.youtube.com/channel/UCe_yln_7VXIDkMvJilIX5bg")</f>
        <v>http://www.youtube.com/channel/UCe_yln_7VXIDkMvJilIX5bg</v>
      </c>
      <c r="U110" s="81" t="s">
        <v>2197</v>
      </c>
      <c r="V110" s="81" t="s">
        <v>2310</v>
      </c>
      <c r="W110" s="86" t="str">
        <f>HYPERLINK("https://www.youtube.com/watch?v=LBkXQ_mBO3Q")</f>
        <v>https://www.youtube.com/watch?v=LBkXQ_mBO3Q</v>
      </c>
      <c r="X110" s="81" t="s">
        <v>2349</v>
      </c>
      <c r="Y110" s="81">
        <v>0</v>
      </c>
      <c r="Z110" s="88">
        <v>44186.42386574074</v>
      </c>
      <c r="AA110" s="88">
        <v>44186.42386574074</v>
      </c>
      <c r="AB110" s="81"/>
      <c r="AC110" s="81"/>
      <c r="AD110" s="84" t="s">
        <v>2390</v>
      </c>
      <c r="AE110" s="82">
        <v>1</v>
      </c>
      <c r="AF110" s="83" t="str">
        <f>REPLACE(INDEX(GroupVertices[Group],MATCH(Edges[[#This Row],[Vertex 1]],GroupVertices[Vertex],0)),1,1,"")</f>
        <v>3</v>
      </c>
      <c r="AG110" s="83" t="str">
        <f>REPLACE(INDEX(GroupVertices[Group],MATCH(Edges[[#This Row],[Vertex 2]],GroupVertices[Vertex],0)),1,1,"")</f>
        <v>3</v>
      </c>
      <c r="AH110" s="111">
        <v>0</v>
      </c>
      <c r="AI110" s="112">
        <v>0</v>
      </c>
      <c r="AJ110" s="111">
        <v>0</v>
      </c>
      <c r="AK110" s="112">
        <v>0</v>
      </c>
      <c r="AL110" s="111">
        <v>0</v>
      </c>
      <c r="AM110" s="112">
        <v>0</v>
      </c>
      <c r="AN110" s="111">
        <v>1</v>
      </c>
      <c r="AO110" s="112">
        <v>100</v>
      </c>
      <c r="AP110" s="111">
        <v>1</v>
      </c>
    </row>
    <row r="111" spans="1:42" ht="15">
      <c r="A111" s="65" t="s">
        <v>308</v>
      </c>
      <c r="B111" s="65" t="s">
        <v>309</v>
      </c>
      <c r="C111" s="66" t="s">
        <v>4651</v>
      </c>
      <c r="D111" s="67">
        <v>3</v>
      </c>
      <c r="E111" s="68"/>
      <c r="F111" s="69">
        <v>40</v>
      </c>
      <c r="G111" s="66"/>
      <c r="H111" s="70"/>
      <c r="I111" s="71"/>
      <c r="J111" s="71"/>
      <c r="K111" s="35" t="s">
        <v>65</v>
      </c>
      <c r="L111" s="79">
        <v>111</v>
      </c>
      <c r="M111" s="79"/>
      <c r="N111" s="73"/>
      <c r="O111" s="81" t="s">
        <v>845</v>
      </c>
      <c r="P111" s="81" t="s">
        <v>847</v>
      </c>
      <c r="Q111" s="84" t="s">
        <v>951</v>
      </c>
      <c r="R111" s="81" t="s">
        <v>308</v>
      </c>
      <c r="S111" s="81" t="s">
        <v>1667</v>
      </c>
      <c r="T111" s="86" t="str">
        <f>HYPERLINK("http://www.youtube.com/channel/UCxy6Tuf_ksQ5egQdxwYXJMA")</f>
        <v>http://www.youtube.com/channel/UCxy6Tuf_ksQ5egQdxwYXJMA</v>
      </c>
      <c r="U111" s="81" t="s">
        <v>2197</v>
      </c>
      <c r="V111" s="81" t="s">
        <v>2310</v>
      </c>
      <c r="W111" s="86" t="str">
        <f>HYPERLINK("https://www.youtube.com/watch?v=LBkXQ_mBO3Q")</f>
        <v>https://www.youtube.com/watch?v=LBkXQ_mBO3Q</v>
      </c>
      <c r="X111" s="81" t="s">
        <v>2349</v>
      </c>
      <c r="Y111" s="81">
        <v>0</v>
      </c>
      <c r="Z111" s="88">
        <v>44210.38128472222</v>
      </c>
      <c r="AA111" s="88">
        <v>44210.38128472222</v>
      </c>
      <c r="AB111" s="81"/>
      <c r="AC111" s="81"/>
      <c r="AD111" s="84" t="s">
        <v>2390</v>
      </c>
      <c r="AE111" s="82">
        <v>1</v>
      </c>
      <c r="AF111" s="83" t="str">
        <f>REPLACE(INDEX(GroupVertices[Group],MATCH(Edges[[#This Row],[Vertex 1]],GroupVertices[Vertex],0)),1,1,"")</f>
        <v>3</v>
      </c>
      <c r="AG111" s="83" t="str">
        <f>REPLACE(INDEX(GroupVertices[Group],MATCH(Edges[[#This Row],[Vertex 2]],GroupVertices[Vertex],0)),1,1,"")</f>
        <v>3</v>
      </c>
      <c r="AH111" s="111">
        <v>1</v>
      </c>
      <c r="AI111" s="112">
        <v>5</v>
      </c>
      <c r="AJ111" s="111">
        <v>0</v>
      </c>
      <c r="AK111" s="112">
        <v>0</v>
      </c>
      <c r="AL111" s="111">
        <v>0</v>
      </c>
      <c r="AM111" s="112">
        <v>0</v>
      </c>
      <c r="AN111" s="111">
        <v>19</v>
      </c>
      <c r="AO111" s="112">
        <v>95</v>
      </c>
      <c r="AP111" s="111">
        <v>20</v>
      </c>
    </row>
    <row r="112" spans="1:42" ht="15">
      <c r="A112" s="65" t="s">
        <v>309</v>
      </c>
      <c r="B112" s="65" t="s">
        <v>828</v>
      </c>
      <c r="C112" s="66" t="s">
        <v>4651</v>
      </c>
      <c r="D112" s="67">
        <v>3</v>
      </c>
      <c r="E112" s="68"/>
      <c r="F112" s="69">
        <v>40</v>
      </c>
      <c r="G112" s="66"/>
      <c r="H112" s="70"/>
      <c r="I112" s="71"/>
      <c r="J112" s="71"/>
      <c r="K112" s="35" t="s">
        <v>65</v>
      </c>
      <c r="L112" s="79">
        <v>112</v>
      </c>
      <c r="M112" s="79"/>
      <c r="N112" s="73"/>
      <c r="O112" s="81" t="s">
        <v>844</v>
      </c>
      <c r="P112" s="81" t="s">
        <v>199</v>
      </c>
      <c r="Q112" s="84" t="s">
        <v>952</v>
      </c>
      <c r="R112" s="81" t="s">
        <v>309</v>
      </c>
      <c r="S112" s="81" t="s">
        <v>1668</v>
      </c>
      <c r="T112" s="86" t="str">
        <f>HYPERLINK("http://www.youtube.com/channel/UC3UC3alxwtdTFGQIqY2xYtw")</f>
        <v>http://www.youtube.com/channel/UC3UC3alxwtdTFGQIqY2xYtw</v>
      </c>
      <c r="U112" s="81"/>
      <c r="V112" s="81" t="s">
        <v>2310</v>
      </c>
      <c r="W112" s="86" t="str">
        <f>HYPERLINK("https://www.youtube.com/watch?v=LBkXQ_mBO3Q")</f>
        <v>https://www.youtube.com/watch?v=LBkXQ_mBO3Q</v>
      </c>
      <c r="X112" s="81" t="s">
        <v>2349</v>
      </c>
      <c r="Y112" s="81">
        <v>9</v>
      </c>
      <c r="Z112" s="88">
        <v>44139.8259837963</v>
      </c>
      <c r="AA112" s="88">
        <v>44139.8259837963</v>
      </c>
      <c r="AB112" s="81"/>
      <c r="AC112" s="81"/>
      <c r="AD112" s="84" t="s">
        <v>2390</v>
      </c>
      <c r="AE112" s="82">
        <v>1</v>
      </c>
      <c r="AF112" s="83" t="str">
        <f>REPLACE(INDEX(GroupVertices[Group],MATCH(Edges[[#This Row],[Vertex 1]],GroupVertices[Vertex],0)),1,1,"")</f>
        <v>3</v>
      </c>
      <c r="AG112" s="83" t="str">
        <f>REPLACE(INDEX(GroupVertices[Group],MATCH(Edges[[#This Row],[Vertex 2]],GroupVertices[Vertex],0)),1,1,"")</f>
        <v>3</v>
      </c>
      <c r="AH112" s="111">
        <v>0</v>
      </c>
      <c r="AI112" s="112">
        <v>0</v>
      </c>
      <c r="AJ112" s="111">
        <v>0</v>
      </c>
      <c r="AK112" s="112">
        <v>0</v>
      </c>
      <c r="AL112" s="111">
        <v>0</v>
      </c>
      <c r="AM112" s="112">
        <v>0</v>
      </c>
      <c r="AN112" s="111">
        <v>12</v>
      </c>
      <c r="AO112" s="112">
        <v>100</v>
      </c>
      <c r="AP112" s="111">
        <v>12</v>
      </c>
    </row>
    <row r="113" spans="1:42" ht="15">
      <c r="A113" s="65" t="s">
        <v>310</v>
      </c>
      <c r="B113" s="65" t="s">
        <v>828</v>
      </c>
      <c r="C113" s="66" t="s">
        <v>4651</v>
      </c>
      <c r="D113" s="67">
        <v>3</v>
      </c>
      <c r="E113" s="68"/>
      <c r="F113" s="69">
        <v>40</v>
      </c>
      <c r="G113" s="66"/>
      <c r="H113" s="70"/>
      <c r="I113" s="71"/>
      <c r="J113" s="71"/>
      <c r="K113" s="35" t="s">
        <v>65</v>
      </c>
      <c r="L113" s="79">
        <v>113</v>
      </c>
      <c r="M113" s="79"/>
      <c r="N113" s="73"/>
      <c r="O113" s="81" t="s">
        <v>844</v>
      </c>
      <c r="P113" s="81" t="s">
        <v>199</v>
      </c>
      <c r="Q113" s="84" t="s">
        <v>953</v>
      </c>
      <c r="R113" s="81" t="s">
        <v>310</v>
      </c>
      <c r="S113" s="81" t="s">
        <v>1669</v>
      </c>
      <c r="T113" s="86" t="str">
        <f>HYPERLINK("http://www.youtube.com/channel/UCYF7iFl00_1lAvf4zyOYCVg")</f>
        <v>http://www.youtube.com/channel/UCYF7iFl00_1lAvf4zyOYCVg</v>
      </c>
      <c r="U113" s="81"/>
      <c r="V113" s="81" t="s">
        <v>2310</v>
      </c>
      <c r="W113" s="86" t="str">
        <f>HYPERLINK("https://www.youtube.com/watch?v=LBkXQ_mBO3Q")</f>
        <v>https://www.youtube.com/watch?v=LBkXQ_mBO3Q</v>
      </c>
      <c r="X113" s="81" t="s">
        <v>2349</v>
      </c>
      <c r="Y113" s="81">
        <v>4</v>
      </c>
      <c r="Z113" s="88">
        <v>44140.74901620371</v>
      </c>
      <c r="AA113" s="88">
        <v>44140.74901620371</v>
      </c>
      <c r="AB113" s="81"/>
      <c r="AC113" s="81"/>
      <c r="AD113" s="84" t="s">
        <v>2390</v>
      </c>
      <c r="AE113" s="82">
        <v>1</v>
      </c>
      <c r="AF113" s="83" t="str">
        <f>REPLACE(INDEX(GroupVertices[Group],MATCH(Edges[[#This Row],[Vertex 1]],GroupVertices[Vertex],0)),1,1,"")</f>
        <v>3</v>
      </c>
      <c r="AG113" s="83" t="str">
        <f>REPLACE(INDEX(GroupVertices[Group],MATCH(Edges[[#This Row],[Vertex 2]],GroupVertices[Vertex],0)),1,1,"")</f>
        <v>3</v>
      </c>
      <c r="AH113" s="111">
        <v>1</v>
      </c>
      <c r="AI113" s="112">
        <v>100</v>
      </c>
      <c r="AJ113" s="111">
        <v>0</v>
      </c>
      <c r="AK113" s="112">
        <v>0</v>
      </c>
      <c r="AL113" s="111">
        <v>0</v>
      </c>
      <c r="AM113" s="112">
        <v>0</v>
      </c>
      <c r="AN113" s="111">
        <v>0</v>
      </c>
      <c r="AO113" s="112">
        <v>0</v>
      </c>
      <c r="AP113" s="111">
        <v>1</v>
      </c>
    </row>
    <row r="114" spans="1:42" ht="15">
      <c r="A114" s="65" t="s">
        <v>311</v>
      </c>
      <c r="B114" s="65" t="s">
        <v>828</v>
      </c>
      <c r="C114" s="66" t="s">
        <v>4613</v>
      </c>
      <c r="D114" s="67">
        <v>10</v>
      </c>
      <c r="E114" s="68"/>
      <c r="F114" s="69">
        <v>15</v>
      </c>
      <c r="G114" s="66"/>
      <c r="H114" s="70"/>
      <c r="I114" s="71"/>
      <c r="J114" s="71"/>
      <c r="K114" s="35" t="s">
        <v>65</v>
      </c>
      <c r="L114" s="79">
        <v>114</v>
      </c>
      <c r="M114" s="79"/>
      <c r="N114" s="73"/>
      <c r="O114" s="81" t="s">
        <v>844</v>
      </c>
      <c r="P114" s="81" t="s">
        <v>199</v>
      </c>
      <c r="Q114" s="84" t="s">
        <v>954</v>
      </c>
      <c r="R114" s="81" t="s">
        <v>311</v>
      </c>
      <c r="S114" s="81" t="s">
        <v>1670</v>
      </c>
      <c r="T114" s="86" t="str">
        <f>HYPERLINK("http://www.youtube.com/channel/UCQG4AgX7CwIPNmjzexjKdfA")</f>
        <v>http://www.youtube.com/channel/UCQG4AgX7CwIPNmjzexjKdfA</v>
      </c>
      <c r="U114" s="81"/>
      <c r="V114" s="81" t="s">
        <v>2310</v>
      </c>
      <c r="W114" s="86" t="str">
        <f>HYPERLINK("https://www.youtube.com/watch?v=LBkXQ_mBO3Q")</f>
        <v>https://www.youtube.com/watch?v=LBkXQ_mBO3Q</v>
      </c>
      <c r="X114" s="81" t="s">
        <v>2349</v>
      </c>
      <c r="Y114" s="81">
        <v>2</v>
      </c>
      <c r="Z114" s="88">
        <v>44160.01868055556</v>
      </c>
      <c r="AA114" s="88">
        <v>44160.01868055556</v>
      </c>
      <c r="AB114" s="81"/>
      <c r="AC114" s="81"/>
      <c r="AD114" s="84" t="s">
        <v>2390</v>
      </c>
      <c r="AE114" s="82">
        <v>3</v>
      </c>
      <c r="AF114" s="83" t="str">
        <f>REPLACE(INDEX(GroupVertices[Group],MATCH(Edges[[#This Row],[Vertex 1]],GroupVertices[Vertex],0)),1,1,"")</f>
        <v>3</v>
      </c>
      <c r="AG114" s="83" t="str">
        <f>REPLACE(INDEX(GroupVertices[Group],MATCH(Edges[[#This Row],[Vertex 2]],GroupVertices[Vertex],0)),1,1,"")</f>
        <v>3</v>
      </c>
      <c r="AH114" s="111">
        <v>1</v>
      </c>
      <c r="AI114" s="112">
        <v>11.11111111111111</v>
      </c>
      <c r="AJ114" s="111">
        <v>0</v>
      </c>
      <c r="AK114" s="112">
        <v>0</v>
      </c>
      <c r="AL114" s="111">
        <v>0</v>
      </c>
      <c r="AM114" s="112">
        <v>0</v>
      </c>
      <c r="AN114" s="111">
        <v>8</v>
      </c>
      <c r="AO114" s="112">
        <v>88.88888888888889</v>
      </c>
      <c r="AP114" s="111">
        <v>9</v>
      </c>
    </row>
    <row r="115" spans="1:42" ht="15">
      <c r="A115" s="65" t="s">
        <v>311</v>
      </c>
      <c r="B115" s="65" t="s">
        <v>828</v>
      </c>
      <c r="C115" s="66" t="s">
        <v>4613</v>
      </c>
      <c r="D115" s="67">
        <v>10</v>
      </c>
      <c r="E115" s="68"/>
      <c r="F115" s="69">
        <v>15</v>
      </c>
      <c r="G115" s="66"/>
      <c r="H115" s="70"/>
      <c r="I115" s="71"/>
      <c r="J115" s="71"/>
      <c r="K115" s="35" t="s">
        <v>65</v>
      </c>
      <c r="L115" s="79">
        <v>115</v>
      </c>
      <c r="M115" s="79"/>
      <c r="N115" s="73"/>
      <c r="O115" s="81" t="s">
        <v>844</v>
      </c>
      <c r="P115" s="81" t="s">
        <v>199</v>
      </c>
      <c r="Q115" s="84" t="s">
        <v>955</v>
      </c>
      <c r="R115" s="81" t="s">
        <v>311</v>
      </c>
      <c r="S115" s="81" t="s">
        <v>1670</v>
      </c>
      <c r="T115" s="86" t="str">
        <f>HYPERLINK("http://www.youtube.com/channel/UCQG4AgX7CwIPNmjzexjKdfA")</f>
        <v>http://www.youtube.com/channel/UCQG4AgX7CwIPNmjzexjKdfA</v>
      </c>
      <c r="U115" s="81"/>
      <c r="V115" s="81" t="s">
        <v>2310</v>
      </c>
      <c r="W115" s="86" t="str">
        <f>HYPERLINK("https://www.youtube.com/watch?v=LBkXQ_mBO3Q")</f>
        <v>https://www.youtube.com/watch?v=LBkXQ_mBO3Q</v>
      </c>
      <c r="X115" s="81" t="s">
        <v>2349</v>
      </c>
      <c r="Y115" s="81">
        <v>2</v>
      </c>
      <c r="Z115" s="88">
        <v>44160.018900462965</v>
      </c>
      <c r="AA115" s="88">
        <v>44160.018900462965</v>
      </c>
      <c r="AB115" s="81"/>
      <c r="AC115" s="81"/>
      <c r="AD115" s="84" t="s">
        <v>2390</v>
      </c>
      <c r="AE115" s="82">
        <v>3</v>
      </c>
      <c r="AF115" s="83" t="str">
        <f>REPLACE(INDEX(GroupVertices[Group],MATCH(Edges[[#This Row],[Vertex 1]],GroupVertices[Vertex],0)),1,1,"")</f>
        <v>3</v>
      </c>
      <c r="AG115" s="83" t="str">
        <f>REPLACE(INDEX(GroupVertices[Group],MATCH(Edges[[#This Row],[Vertex 2]],GroupVertices[Vertex],0)),1,1,"")</f>
        <v>3</v>
      </c>
      <c r="AH115" s="111">
        <v>0</v>
      </c>
      <c r="AI115" s="112">
        <v>0</v>
      </c>
      <c r="AJ115" s="111">
        <v>0</v>
      </c>
      <c r="AK115" s="112">
        <v>0</v>
      </c>
      <c r="AL115" s="111">
        <v>0</v>
      </c>
      <c r="AM115" s="112">
        <v>0</v>
      </c>
      <c r="AN115" s="111">
        <v>3</v>
      </c>
      <c r="AO115" s="112">
        <v>100</v>
      </c>
      <c r="AP115" s="111">
        <v>3</v>
      </c>
    </row>
    <row r="116" spans="1:42" ht="15">
      <c r="A116" s="65" t="s">
        <v>311</v>
      </c>
      <c r="B116" s="65" t="s">
        <v>828</v>
      </c>
      <c r="C116" s="66" t="s">
        <v>4613</v>
      </c>
      <c r="D116" s="67">
        <v>10</v>
      </c>
      <c r="E116" s="68"/>
      <c r="F116" s="69">
        <v>15</v>
      </c>
      <c r="G116" s="66"/>
      <c r="H116" s="70"/>
      <c r="I116" s="71"/>
      <c r="J116" s="71"/>
      <c r="K116" s="35" t="s">
        <v>65</v>
      </c>
      <c r="L116" s="79">
        <v>116</v>
      </c>
      <c r="M116" s="79"/>
      <c r="N116" s="73"/>
      <c r="O116" s="81" t="s">
        <v>844</v>
      </c>
      <c r="P116" s="81" t="s">
        <v>199</v>
      </c>
      <c r="Q116" s="84" t="s">
        <v>956</v>
      </c>
      <c r="R116" s="81" t="s">
        <v>311</v>
      </c>
      <c r="S116" s="81" t="s">
        <v>1670</v>
      </c>
      <c r="T116" s="86" t="str">
        <f>HYPERLINK("http://www.youtube.com/channel/UCQG4AgX7CwIPNmjzexjKdfA")</f>
        <v>http://www.youtube.com/channel/UCQG4AgX7CwIPNmjzexjKdfA</v>
      </c>
      <c r="U116" s="81"/>
      <c r="V116" s="81" t="s">
        <v>2310</v>
      </c>
      <c r="W116" s="86" t="str">
        <f>HYPERLINK("https://www.youtube.com/watch?v=LBkXQ_mBO3Q")</f>
        <v>https://www.youtube.com/watch?v=LBkXQ_mBO3Q</v>
      </c>
      <c r="X116" s="81" t="s">
        <v>2349</v>
      </c>
      <c r="Y116" s="81">
        <v>5</v>
      </c>
      <c r="Z116" s="88">
        <v>44160.01905092593</v>
      </c>
      <c r="AA116" s="88">
        <v>44160.01905092593</v>
      </c>
      <c r="AB116" s="81"/>
      <c r="AC116" s="81"/>
      <c r="AD116" s="84" t="s">
        <v>2390</v>
      </c>
      <c r="AE116" s="82">
        <v>3</v>
      </c>
      <c r="AF116" s="83" t="str">
        <f>REPLACE(INDEX(GroupVertices[Group],MATCH(Edges[[#This Row],[Vertex 1]],GroupVertices[Vertex],0)),1,1,"")</f>
        <v>3</v>
      </c>
      <c r="AG116" s="83" t="str">
        <f>REPLACE(INDEX(GroupVertices[Group],MATCH(Edges[[#This Row],[Vertex 2]],GroupVertices[Vertex],0)),1,1,"")</f>
        <v>3</v>
      </c>
      <c r="AH116" s="111">
        <v>0</v>
      </c>
      <c r="AI116" s="112">
        <v>0</v>
      </c>
      <c r="AJ116" s="111">
        <v>0</v>
      </c>
      <c r="AK116" s="112">
        <v>0</v>
      </c>
      <c r="AL116" s="111">
        <v>0</v>
      </c>
      <c r="AM116" s="112">
        <v>0</v>
      </c>
      <c r="AN116" s="111">
        <v>6</v>
      </c>
      <c r="AO116" s="112">
        <v>100</v>
      </c>
      <c r="AP116" s="111">
        <v>6</v>
      </c>
    </row>
    <row r="117" spans="1:42" ht="15">
      <c r="A117" s="65" t="s">
        <v>312</v>
      </c>
      <c r="B117" s="65" t="s">
        <v>828</v>
      </c>
      <c r="C117" s="66" t="s">
        <v>4651</v>
      </c>
      <c r="D117" s="67">
        <v>3</v>
      </c>
      <c r="E117" s="68"/>
      <c r="F117" s="69">
        <v>40</v>
      </c>
      <c r="G117" s="66"/>
      <c r="H117" s="70"/>
      <c r="I117" s="71"/>
      <c r="J117" s="71"/>
      <c r="K117" s="35" t="s">
        <v>65</v>
      </c>
      <c r="L117" s="79">
        <v>117</v>
      </c>
      <c r="M117" s="79"/>
      <c r="N117" s="73"/>
      <c r="O117" s="81" t="s">
        <v>844</v>
      </c>
      <c r="P117" s="81" t="s">
        <v>199</v>
      </c>
      <c r="Q117" s="84" t="s">
        <v>957</v>
      </c>
      <c r="R117" s="81" t="s">
        <v>312</v>
      </c>
      <c r="S117" s="81" t="s">
        <v>1671</v>
      </c>
      <c r="T117" s="86" t="str">
        <f>HYPERLINK("http://www.youtube.com/channel/UCliPFvBl3yH2uyGZHI2lcqg")</f>
        <v>http://www.youtube.com/channel/UCliPFvBl3yH2uyGZHI2lcqg</v>
      </c>
      <c r="U117" s="81"/>
      <c r="V117" s="81" t="s">
        <v>2310</v>
      </c>
      <c r="W117" s="86" t="str">
        <f>HYPERLINK("https://www.youtube.com/watch?v=LBkXQ_mBO3Q")</f>
        <v>https://www.youtube.com/watch?v=LBkXQ_mBO3Q</v>
      </c>
      <c r="X117" s="81" t="s">
        <v>2349</v>
      </c>
      <c r="Y117" s="81">
        <v>3</v>
      </c>
      <c r="Z117" s="88">
        <v>44162.17054398148</v>
      </c>
      <c r="AA117" s="88">
        <v>44162.17054398148</v>
      </c>
      <c r="AB117" s="81"/>
      <c r="AC117" s="81"/>
      <c r="AD117" s="84" t="s">
        <v>2390</v>
      </c>
      <c r="AE117" s="82">
        <v>1</v>
      </c>
      <c r="AF117" s="83" t="str">
        <f>REPLACE(INDEX(GroupVertices[Group],MATCH(Edges[[#This Row],[Vertex 1]],GroupVertices[Vertex],0)),1,1,"")</f>
        <v>3</v>
      </c>
      <c r="AG117" s="83" t="str">
        <f>REPLACE(INDEX(GroupVertices[Group],MATCH(Edges[[#This Row],[Vertex 2]],GroupVertices[Vertex],0)),1,1,"")</f>
        <v>3</v>
      </c>
      <c r="AH117" s="111">
        <v>1</v>
      </c>
      <c r="AI117" s="112">
        <v>20</v>
      </c>
      <c r="AJ117" s="111">
        <v>0</v>
      </c>
      <c r="AK117" s="112">
        <v>0</v>
      </c>
      <c r="AL117" s="111">
        <v>0</v>
      </c>
      <c r="AM117" s="112">
        <v>0</v>
      </c>
      <c r="AN117" s="111">
        <v>4</v>
      </c>
      <c r="AO117" s="112">
        <v>80</v>
      </c>
      <c r="AP117" s="111">
        <v>5</v>
      </c>
    </row>
    <row r="118" spans="1:42" ht="15">
      <c r="A118" s="65" t="s">
        <v>313</v>
      </c>
      <c r="B118" s="65" t="s">
        <v>828</v>
      </c>
      <c r="C118" s="66" t="s">
        <v>4651</v>
      </c>
      <c r="D118" s="67">
        <v>3</v>
      </c>
      <c r="E118" s="68"/>
      <c r="F118" s="69">
        <v>40</v>
      </c>
      <c r="G118" s="66"/>
      <c r="H118" s="70"/>
      <c r="I118" s="71"/>
      <c r="J118" s="71"/>
      <c r="K118" s="35" t="s">
        <v>65</v>
      </c>
      <c r="L118" s="79">
        <v>118</v>
      </c>
      <c r="M118" s="79"/>
      <c r="N118" s="73"/>
      <c r="O118" s="81" t="s">
        <v>844</v>
      </c>
      <c r="P118" s="81" t="s">
        <v>199</v>
      </c>
      <c r="Q118" s="84" t="s">
        <v>958</v>
      </c>
      <c r="R118" s="81" t="s">
        <v>313</v>
      </c>
      <c r="S118" s="81" t="s">
        <v>1672</v>
      </c>
      <c r="T118" s="86" t="str">
        <f>HYPERLINK("http://www.youtube.com/channel/UCfDAkBaAdKSTL133UX0I7Xw")</f>
        <v>http://www.youtube.com/channel/UCfDAkBaAdKSTL133UX0I7Xw</v>
      </c>
      <c r="U118" s="81"/>
      <c r="V118" s="81" t="s">
        <v>2310</v>
      </c>
      <c r="W118" s="86" t="str">
        <f>HYPERLINK("https://www.youtube.com/watch?v=LBkXQ_mBO3Q")</f>
        <v>https://www.youtube.com/watch?v=LBkXQ_mBO3Q</v>
      </c>
      <c r="X118" s="81" t="s">
        <v>2349</v>
      </c>
      <c r="Y118" s="81">
        <v>2</v>
      </c>
      <c r="Z118" s="88">
        <v>44168.85065972222</v>
      </c>
      <c r="AA118" s="88">
        <v>44168.85065972222</v>
      </c>
      <c r="AB118" s="81"/>
      <c r="AC118" s="81"/>
      <c r="AD118" s="84" t="s">
        <v>2390</v>
      </c>
      <c r="AE118" s="82">
        <v>1</v>
      </c>
      <c r="AF118" s="83" t="str">
        <f>REPLACE(INDEX(GroupVertices[Group],MATCH(Edges[[#This Row],[Vertex 1]],GroupVertices[Vertex],0)),1,1,"")</f>
        <v>3</v>
      </c>
      <c r="AG118" s="83" t="str">
        <f>REPLACE(INDEX(GroupVertices[Group],MATCH(Edges[[#This Row],[Vertex 2]],GroupVertices[Vertex],0)),1,1,"")</f>
        <v>3</v>
      </c>
      <c r="AH118" s="111">
        <v>0</v>
      </c>
      <c r="AI118" s="112">
        <v>0</v>
      </c>
      <c r="AJ118" s="111">
        <v>0</v>
      </c>
      <c r="AK118" s="112">
        <v>0</v>
      </c>
      <c r="AL118" s="111">
        <v>0</v>
      </c>
      <c r="AM118" s="112">
        <v>0</v>
      </c>
      <c r="AN118" s="111">
        <v>3</v>
      </c>
      <c r="AO118" s="112">
        <v>100</v>
      </c>
      <c r="AP118" s="111">
        <v>3</v>
      </c>
    </row>
    <row r="119" spans="1:42" ht="15">
      <c r="A119" s="65" t="s">
        <v>314</v>
      </c>
      <c r="B119" s="65" t="s">
        <v>828</v>
      </c>
      <c r="C119" s="66" t="s">
        <v>4651</v>
      </c>
      <c r="D119" s="67">
        <v>3</v>
      </c>
      <c r="E119" s="68"/>
      <c r="F119" s="69">
        <v>40</v>
      </c>
      <c r="G119" s="66"/>
      <c r="H119" s="70"/>
      <c r="I119" s="71"/>
      <c r="J119" s="71"/>
      <c r="K119" s="35" t="s">
        <v>65</v>
      </c>
      <c r="L119" s="79">
        <v>119</v>
      </c>
      <c r="M119" s="79"/>
      <c r="N119" s="73"/>
      <c r="O119" s="81" t="s">
        <v>844</v>
      </c>
      <c r="P119" s="81" t="s">
        <v>199</v>
      </c>
      <c r="Q119" s="84" t="s">
        <v>959</v>
      </c>
      <c r="R119" s="81" t="s">
        <v>314</v>
      </c>
      <c r="S119" s="81" t="s">
        <v>1673</v>
      </c>
      <c r="T119" s="86" t="str">
        <f>HYPERLINK("http://www.youtube.com/channel/UCpk2BuOuwhPc16sXlfOdiyg")</f>
        <v>http://www.youtube.com/channel/UCpk2BuOuwhPc16sXlfOdiyg</v>
      </c>
      <c r="U119" s="81"/>
      <c r="V119" s="81" t="s">
        <v>2310</v>
      </c>
      <c r="W119" s="86" t="str">
        <f>HYPERLINK("https://www.youtube.com/watch?v=LBkXQ_mBO3Q")</f>
        <v>https://www.youtube.com/watch?v=LBkXQ_mBO3Q</v>
      </c>
      <c r="X119" s="81" t="s">
        <v>2349</v>
      </c>
      <c r="Y119" s="81">
        <v>2</v>
      </c>
      <c r="Z119" s="88">
        <v>44175.22767361111</v>
      </c>
      <c r="AA119" s="88">
        <v>44175.22767361111</v>
      </c>
      <c r="AB119" s="81"/>
      <c r="AC119" s="81"/>
      <c r="AD119" s="84" t="s">
        <v>2390</v>
      </c>
      <c r="AE119" s="82">
        <v>1</v>
      </c>
      <c r="AF119" s="83" t="str">
        <f>REPLACE(INDEX(GroupVertices[Group],MATCH(Edges[[#This Row],[Vertex 1]],GroupVertices[Vertex],0)),1,1,"")</f>
        <v>3</v>
      </c>
      <c r="AG119" s="83" t="str">
        <f>REPLACE(INDEX(GroupVertices[Group],MATCH(Edges[[#This Row],[Vertex 2]],GroupVertices[Vertex],0)),1,1,"")</f>
        <v>3</v>
      </c>
      <c r="AH119" s="111">
        <v>1</v>
      </c>
      <c r="AI119" s="112">
        <v>16.666666666666668</v>
      </c>
      <c r="AJ119" s="111">
        <v>0</v>
      </c>
      <c r="AK119" s="112">
        <v>0</v>
      </c>
      <c r="AL119" s="111">
        <v>0</v>
      </c>
      <c r="AM119" s="112">
        <v>0</v>
      </c>
      <c r="AN119" s="111">
        <v>5</v>
      </c>
      <c r="AO119" s="112">
        <v>83.33333333333333</v>
      </c>
      <c r="AP119" s="111">
        <v>6</v>
      </c>
    </row>
    <row r="120" spans="1:42" ht="15">
      <c r="A120" s="65" t="s">
        <v>315</v>
      </c>
      <c r="B120" s="65" t="s">
        <v>828</v>
      </c>
      <c r="C120" s="66" t="s">
        <v>4651</v>
      </c>
      <c r="D120" s="67">
        <v>3</v>
      </c>
      <c r="E120" s="68"/>
      <c r="F120" s="69">
        <v>40</v>
      </c>
      <c r="G120" s="66"/>
      <c r="H120" s="70"/>
      <c r="I120" s="71"/>
      <c r="J120" s="71"/>
      <c r="K120" s="35" t="s">
        <v>65</v>
      </c>
      <c r="L120" s="79">
        <v>120</v>
      </c>
      <c r="M120" s="79"/>
      <c r="N120" s="73"/>
      <c r="O120" s="81" t="s">
        <v>844</v>
      </c>
      <c r="P120" s="81" t="s">
        <v>199</v>
      </c>
      <c r="Q120" s="84" t="s">
        <v>960</v>
      </c>
      <c r="R120" s="81" t="s">
        <v>315</v>
      </c>
      <c r="S120" s="81" t="s">
        <v>1674</v>
      </c>
      <c r="T120" s="86" t="str">
        <f>HYPERLINK("http://www.youtube.com/channel/UCn5FBvjUlYQBUFu_2nwyPDg")</f>
        <v>http://www.youtube.com/channel/UCn5FBvjUlYQBUFu_2nwyPDg</v>
      </c>
      <c r="U120" s="81"/>
      <c r="V120" s="81" t="s">
        <v>2310</v>
      </c>
      <c r="W120" s="86" t="str">
        <f>HYPERLINK("https://www.youtube.com/watch?v=LBkXQ_mBO3Q")</f>
        <v>https://www.youtube.com/watch?v=LBkXQ_mBO3Q</v>
      </c>
      <c r="X120" s="81" t="s">
        <v>2349</v>
      </c>
      <c r="Y120" s="81">
        <v>1</v>
      </c>
      <c r="Z120" s="88">
        <v>44175.49576388889</v>
      </c>
      <c r="AA120" s="88">
        <v>44175.49576388889</v>
      </c>
      <c r="AB120" s="81"/>
      <c r="AC120" s="81"/>
      <c r="AD120" s="84" t="s">
        <v>2390</v>
      </c>
      <c r="AE120" s="82">
        <v>1</v>
      </c>
      <c r="AF120" s="83" t="str">
        <f>REPLACE(INDEX(GroupVertices[Group],MATCH(Edges[[#This Row],[Vertex 1]],GroupVertices[Vertex],0)),1,1,"")</f>
        <v>3</v>
      </c>
      <c r="AG120" s="83" t="str">
        <f>REPLACE(INDEX(GroupVertices[Group],MATCH(Edges[[#This Row],[Vertex 2]],GroupVertices[Vertex],0)),1,1,"")</f>
        <v>3</v>
      </c>
      <c r="AH120" s="111">
        <v>0</v>
      </c>
      <c r="AI120" s="112">
        <v>0</v>
      </c>
      <c r="AJ120" s="111">
        <v>0</v>
      </c>
      <c r="AK120" s="112">
        <v>0</v>
      </c>
      <c r="AL120" s="111">
        <v>0</v>
      </c>
      <c r="AM120" s="112">
        <v>0</v>
      </c>
      <c r="AN120" s="111">
        <v>4</v>
      </c>
      <c r="AO120" s="112">
        <v>100</v>
      </c>
      <c r="AP120" s="111">
        <v>4</v>
      </c>
    </row>
    <row r="121" spans="1:42" ht="15">
      <c r="A121" s="65" t="s">
        <v>316</v>
      </c>
      <c r="B121" s="65" t="s">
        <v>828</v>
      </c>
      <c r="C121" s="66" t="s">
        <v>4651</v>
      </c>
      <c r="D121" s="67">
        <v>3</v>
      </c>
      <c r="E121" s="68"/>
      <c r="F121" s="69">
        <v>40</v>
      </c>
      <c r="G121" s="66"/>
      <c r="H121" s="70"/>
      <c r="I121" s="71"/>
      <c r="J121" s="71"/>
      <c r="K121" s="35" t="s">
        <v>65</v>
      </c>
      <c r="L121" s="79">
        <v>121</v>
      </c>
      <c r="M121" s="79"/>
      <c r="N121" s="73"/>
      <c r="O121" s="81" t="s">
        <v>844</v>
      </c>
      <c r="P121" s="81" t="s">
        <v>199</v>
      </c>
      <c r="Q121" s="84" t="s">
        <v>961</v>
      </c>
      <c r="R121" s="81" t="s">
        <v>316</v>
      </c>
      <c r="S121" s="81" t="s">
        <v>1675</v>
      </c>
      <c r="T121" s="86" t="str">
        <f>HYPERLINK("http://www.youtube.com/channel/UCVt_hRn0DxHLPKVM-E3T1gQ")</f>
        <v>http://www.youtube.com/channel/UCVt_hRn0DxHLPKVM-E3T1gQ</v>
      </c>
      <c r="U121" s="81"/>
      <c r="V121" s="81" t="s">
        <v>2310</v>
      </c>
      <c r="W121" s="86" t="str">
        <f>HYPERLINK("https://www.youtube.com/watch?v=LBkXQ_mBO3Q")</f>
        <v>https://www.youtube.com/watch?v=LBkXQ_mBO3Q</v>
      </c>
      <c r="X121" s="81" t="s">
        <v>2349</v>
      </c>
      <c r="Y121" s="81">
        <v>10</v>
      </c>
      <c r="Z121" s="88">
        <v>44183.55658564815</v>
      </c>
      <c r="AA121" s="88">
        <v>44183.55658564815</v>
      </c>
      <c r="AB121" s="81"/>
      <c r="AC121" s="81"/>
      <c r="AD121" s="84" t="s">
        <v>2390</v>
      </c>
      <c r="AE121" s="82">
        <v>1</v>
      </c>
      <c r="AF121" s="83" t="str">
        <f>REPLACE(INDEX(GroupVertices[Group],MATCH(Edges[[#This Row],[Vertex 1]],GroupVertices[Vertex],0)),1,1,"")</f>
        <v>3</v>
      </c>
      <c r="AG121" s="83" t="str">
        <f>REPLACE(INDEX(GroupVertices[Group],MATCH(Edges[[#This Row],[Vertex 2]],GroupVertices[Vertex],0)),1,1,"")</f>
        <v>3</v>
      </c>
      <c r="AH121" s="111">
        <v>0</v>
      </c>
      <c r="AI121" s="112">
        <v>0</v>
      </c>
      <c r="AJ121" s="111">
        <v>0</v>
      </c>
      <c r="AK121" s="112">
        <v>0</v>
      </c>
      <c r="AL121" s="111">
        <v>0</v>
      </c>
      <c r="AM121" s="112">
        <v>0</v>
      </c>
      <c r="AN121" s="111">
        <v>8</v>
      </c>
      <c r="AO121" s="112">
        <v>100</v>
      </c>
      <c r="AP121" s="111">
        <v>8</v>
      </c>
    </row>
    <row r="122" spans="1:42" ht="15">
      <c r="A122" s="65" t="s">
        <v>317</v>
      </c>
      <c r="B122" s="65" t="s">
        <v>828</v>
      </c>
      <c r="C122" s="66" t="s">
        <v>4651</v>
      </c>
      <c r="D122" s="67">
        <v>3</v>
      </c>
      <c r="E122" s="68"/>
      <c r="F122" s="69">
        <v>40</v>
      </c>
      <c r="G122" s="66"/>
      <c r="H122" s="70"/>
      <c r="I122" s="71"/>
      <c r="J122" s="71"/>
      <c r="K122" s="35" t="s">
        <v>65</v>
      </c>
      <c r="L122" s="79">
        <v>122</v>
      </c>
      <c r="M122" s="79"/>
      <c r="N122" s="73"/>
      <c r="O122" s="81" t="s">
        <v>844</v>
      </c>
      <c r="P122" s="81" t="s">
        <v>199</v>
      </c>
      <c r="Q122" s="84" t="s">
        <v>962</v>
      </c>
      <c r="R122" s="81" t="s">
        <v>317</v>
      </c>
      <c r="S122" s="81" t="s">
        <v>1676</v>
      </c>
      <c r="T122" s="86" t="str">
        <f>HYPERLINK("http://www.youtube.com/channel/UCdGMILgjKkt3yFobo1qwNxQ")</f>
        <v>http://www.youtube.com/channel/UCdGMILgjKkt3yFobo1qwNxQ</v>
      </c>
      <c r="U122" s="81"/>
      <c r="V122" s="81" t="s">
        <v>2310</v>
      </c>
      <c r="W122" s="86" t="str">
        <f>HYPERLINK("https://www.youtube.com/watch?v=LBkXQ_mBO3Q")</f>
        <v>https://www.youtube.com/watch?v=LBkXQ_mBO3Q</v>
      </c>
      <c r="X122" s="81" t="s">
        <v>2349</v>
      </c>
      <c r="Y122" s="81">
        <v>3</v>
      </c>
      <c r="Z122" s="88">
        <v>44192.48731481482</v>
      </c>
      <c r="AA122" s="88">
        <v>44192.48731481482</v>
      </c>
      <c r="AB122" s="81"/>
      <c r="AC122" s="81"/>
      <c r="AD122" s="84" t="s">
        <v>2390</v>
      </c>
      <c r="AE122" s="82">
        <v>1</v>
      </c>
      <c r="AF122" s="83" t="str">
        <f>REPLACE(INDEX(GroupVertices[Group],MATCH(Edges[[#This Row],[Vertex 1]],GroupVertices[Vertex],0)),1,1,"")</f>
        <v>3</v>
      </c>
      <c r="AG122" s="83" t="str">
        <f>REPLACE(INDEX(GroupVertices[Group],MATCH(Edges[[#This Row],[Vertex 2]],GroupVertices[Vertex],0)),1,1,"")</f>
        <v>3</v>
      </c>
      <c r="AH122" s="111">
        <v>1</v>
      </c>
      <c r="AI122" s="112">
        <v>33.333333333333336</v>
      </c>
      <c r="AJ122" s="111">
        <v>0</v>
      </c>
      <c r="AK122" s="112">
        <v>0</v>
      </c>
      <c r="AL122" s="111">
        <v>0</v>
      </c>
      <c r="AM122" s="112">
        <v>0</v>
      </c>
      <c r="AN122" s="111">
        <v>2</v>
      </c>
      <c r="AO122" s="112">
        <v>66.66666666666667</v>
      </c>
      <c r="AP122" s="111">
        <v>3</v>
      </c>
    </row>
    <row r="123" spans="1:42" ht="15">
      <c r="A123" s="65" t="s">
        <v>318</v>
      </c>
      <c r="B123" s="65" t="s">
        <v>828</v>
      </c>
      <c r="C123" s="66" t="s">
        <v>4651</v>
      </c>
      <c r="D123" s="67">
        <v>3</v>
      </c>
      <c r="E123" s="68"/>
      <c r="F123" s="69">
        <v>40</v>
      </c>
      <c r="G123" s="66"/>
      <c r="H123" s="70"/>
      <c r="I123" s="71"/>
      <c r="J123" s="71"/>
      <c r="K123" s="35" t="s">
        <v>65</v>
      </c>
      <c r="L123" s="79">
        <v>123</v>
      </c>
      <c r="M123" s="79"/>
      <c r="N123" s="73"/>
      <c r="O123" s="81" t="s">
        <v>844</v>
      </c>
      <c r="P123" s="81" t="s">
        <v>199</v>
      </c>
      <c r="Q123" s="84" t="s">
        <v>963</v>
      </c>
      <c r="R123" s="81" t="s">
        <v>318</v>
      </c>
      <c r="S123" s="81" t="s">
        <v>1677</v>
      </c>
      <c r="T123" s="86" t="str">
        <f>HYPERLINK("http://www.youtube.com/channel/UCWrvRrVUPEYzS9gcmvugRXw")</f>
        <v>http://www.youtube.com/channel/UCWrvRrVUPEYzS9gcmvugRXw</v>
      </c>
      <c r="U123" s="81"/>
      <c r="V123" s="81" t="s">
        <v>2310</v>
      </c>
      <c r="W123" s="86" t="str">
        <f>HYPERLINK("https://www.youtube.com/watch?v=LBkXQ_mBO3Q")</f>
        <v>https://www.youtube.com/watch?v=LBkXQ_mBO3Q</v>
      </c>
      <c r="X123" s="81" t="s">
        <v>2349</v>
      </c>
      <c r="Y123" s="81">
        <v>4</v>
      </c>
      <c r="Z123" s="88">
        <v>44192.6484837963</v>
      </c>
      <c r="AA123" s="88">
        <v>44192.6484837963</v>
      </c>
      <c r="AB123" s="81"/>
      <c r="AC123" s="81"/>
      <c r="AD123" s="84" t="s">
        <v>2390</v>
      </c>
      <c r="AE123" s="82">
        <v>1</v>
      </c>
      <c r="AF123" s="83" t="str">
        <f>REPLACE(INDEX(GroupVertices[Group],MATCH(Edges[[#This Row],[Vertex 1]],GroupVertices[Vertex],0)),1,1,"")</f>
        <v>3</v>
      </c>
      <c r="AG123" s="83" t="str">
        <f>REPLACE(INDEX(GroupVertices[Group],MATCH(Edges[[#This Row],[Vertex 2]],GroupVertices[Vertex],0)),1,1,"")</f>
        <v>3</v>
      </c>
      <c r="AH123" s="111">
        <v>0</v>
      </c>
      <c r="AI123" s="112">
        <v>0</v>
      </c>
      <c r="AJ123" s="111">
        <v>0</v>
      </c>
      <c r="AK123" s="112">
        <v>0</v>
      </c>
      <c r="AL123" s="111">
        <v>0</v>
      </c>
      <c r="AM123" s="112">
        <v>0</v>
      </c>
      <c r="AN123" s="111">
        <v>7</v>
      </c>
      <c r="AO123" s="112">
        <v>100</v>
      </c>
      <c r="AP123" s="111">
        <v>7</v>
      </c>
    </row>
    <row r="124" spans="1:42" ht="15">
      <c r="A124" s="65" t="s">
        <v>319</v>
      </c>
      <c r="B124" s="65" t="s">
        <v>828</v>
      </c>
      <c r="C124" s="66" t="s">
        <v>4651</v>
      </c>
      <c r="D124" s="67">
        <v>3</v>
      </c>
      <c r="E124" s="68"/>
      <c r="F124" s="69">
        <v>40</v>
      </c>
      <c r="G124" s="66"/>
      <c r="H124" s="70"/>
      <c r="I124" s="71"/>
      <c r="J124" s="71"/>
      <c r="K124" s="35" t="s">
        <v>65</v>
      </c>
      <c r="L124" s="79">
        <v>124</v>
      </c>
      <c r="M124" s="79"/>
      <c r="N124" s="73"/>
      <c r="O124" s="81" t="s">
        <v>844</v>
      </c>
      <c r="P124" s="81" t="s">
        <v>199</v>
      </c>
      <c r="Q124" s="84" t="s">
        <v>964</v>
      </c>
      <c r="R124" s="81" t="s">
        <v>319</v>
      </c>
      <c r="S124" s="81" t="s">
        <v>1678</v>
      </c>
      <c r="T124" s="86" t="str">
        <f>HYPERLINK("http://www.youtube.com/channel/UC6EBoOUiusNM7Tk7OcY8ljg")</f>
        <v>http://www.youtube.com/channel/UC6EBoOUiusNM7Tk7OcY8ljg</v>
      </c>
      <c r="U124" s="81"/>
      <c r="V124" s="81" t="s">
        <v>2310</v>
      </c>
      <c r="W124" s="86" t="str">
        <f>HYPERLINK("https://www.youtube.com/watch?v=LBkXQ_mBO3Q")</f>
        <v>https://www.youtube.com/watch?v=LBkXQ_mBO3Q</v>
      </c>
      <c r="X124" s="81" t="s">
        <v>2349</v>
      </c>
      <c r="Y124" s="81">
        <v>3</v>
      </c>
      <c r="Z124" s="88">
        <v>44204.30876157407</v>
      </c>
      <c r="AA124" s="88">
        <v>44204.30876157407</v>
      </c>
      <c r="AB124" s="81"/>
      <c r="AC124" s="81"/>
      <c r="AD124" s="84" t="s">
        <v>2390</v>
      </c>
      <c r="AE124" s="82">
        <v>1</v>
      </c>
      <c r="AF124" s="83" t="str">
        <f>REPLACE(INDEX(GroupVertices[Group],MATCH(Edges[[#This Row],[Vertex 1]],GroupVertices[Vertex],0)),1,1,"")</f>
        <v>3</v>
      </c>
      <c r="AG124" s="83" t="str">
        <f>REPLACE(INDEX(GroupVertices[Group],MATCH(Edges[[#This Row],[Vertex 2]],GroupVertices[Vertex],0)),1,1,"")</f>
        <v>3</v>
      </c>
      <c r="AH124" s="111">
        <v>1</v>
      </c>
      <c r="AI124" s="112">
        <v>50</v>
      </c>
      <c r="AJ124" s="111">
        <v>0</v>
      </c>
      <c r="AK124" s="112">
        <v>0</v>
      </c>
      <c r="AL124" s="111">
        <v>0</v>
      </c>
      <c r="AM124" s="112">
        <v>0</v>
      </c>
      <c r="AN124" s="111">
        <v>1</v>
      </c>
      <c r="AO124" s="112">
        <v>50</v>
      </c>
      <c r="AP124" s="111">
        <v>2</v>
      </c>
    </row>
    <row r="125" spans="1:42" ht="15">
      <c r="A125" s="65" t="s">
        <v>320</v>
      </c>
      <c r="B125" s="65" t="s">
        <v>828</v>
      </c>
      <c r="C125" s="66" t="s">
        <v>4651</v>
      </c>
      <c r="D125" s="67">
        <v>3</v>
      </c>
      <c r="E125" s="68"/>
      <c r="F125" s="69">
        <v>40</v>
      </c>
      <c r="G125" s="66"/>
      <c r="H125" s="70"/>
      <c r="I125" s="71"/>
      <c r="J125" s="71"/>
      <c r="K125" s="35" t="s">
        <v>65</v>
      </c>
      <c r="L125" s="79">
        <v>125</v>
      </c>
      <c r="M125" s="79"/>
      <c r="N125" s="73"/>
      <c r="O125" s="81" t="s">
        <v>844</v>
      </c>
      <c r="P125" s="81" t="s">
        <v>199</v>
      </c>
      <c r="Q125" s="84" t="s">
        <v>965</v>
      </c>
      <c r="R125" s="81" t="s">
        <v>320</v>
      </c>
      <c r="S125" s="81" t="s">
        <v>1679</v>
      </c>
      <c r="T125" s="86" t="str">
        <f>HYPERLINK("http://www.youtube.com/channel/UCcg7hpzgNJU-8d33PBDEAmg")</f>
        <v>http://www.youtube.com/channel/UCcg7hpzgNJU-8d33PBDEAmg</v>
      </c>
      <c r="U125" s="81"/>
      <c r="V125" s="81" t="s">
        <v>2310</v>
      </c>
      <c r="W125" s="86" t="str">
        <f>HYPERLINK("https://www.youtube.com/watch?v=LBkXQ_mBO3Q")</f>
        <v>https://www.youtube.com/watch?v=LBkXQ_mBO3Q</v>
      </c>
      <c r="X125" s="81" t="s">
        <v>2349</v>
      </c>
      <c r="Y125" s="81">
        <v>5</v>
      </c>
      <c r="Z125" s="88">
        <v>44207.83028935185</v>
      </c>
      <c r="AA125" s="88">
        <v>44207.83028935185</v>
      </c>
      <c r="AB125" s="81"/>
      <c r="AC125" s="81"/>
      <c r="AD125" s="84" t="s">
        <v>2390</v>
      </c>
      <c r="AE125" s="82">
        <v>1</v>
      </c>
      <c r="AF125" s="83" t="str">
        <f>REPLACE(INDEX(GroupVertices[Group],MATCH(Edges[[#This Row],[Vertex 1]],GroupVertices[Vertex],0)),1,1,"")</f>
        <v>3</v>
      </c>
      <c r="AG125" s="83" t="str">
        <f>REPLACE(INDEX(GroupVertices[Group],MATCH(Edges[[#This Row],[Vertex 2]],GroupVertices[Vertex],0)),1,1,"")</f>
        <v>3</v>
      </c>
      <c r="AH125" s="111">
        <v>1</v>
      </c>
      <c r="AI125" s="112">
        <v>7.142857142857143</v>
      </c>
      <c r="AJ125" s="111">
        <v>0</v>
      </c>
      <c r="AK125" s="112">
        <v>0</v>
      </c>
      <c r="AL125" s="111">
        <v>0</v>
      </c>
      <c r="AM125" s="112">
        <v>0</v>
      </c>
      <c r="AN125" s="111">
        <v>13</v>
      </c>
      <c r="AO125" s="112">
        <v>92.85714285714286</v>
      </c>
      <c r="AP125" s="111">
        <v>14</v>
      </c>
    </row>
    <row r="126" spans="1:42" ht="15">
      <c r="A126" s="65" t="s">
        <v>321</v>
      </c>
      <c r="B126" s="65" t="s">
        <v>828</v>
      </c>
      <c r="C126" s="66" t="s">
        <v>4651</v>
      </c>
      <c r="D126" s="67">
        <v>3</v>
      </c>
      <c r="E126" s="68"/>
      <c r="F126" s="69">
        <v>40</v>
      </c>
      <c r="G126" s="66"/>
      <c r="H126" s="70"/>
      <c r="I126" s="71"/>
      <c r="J126" s="71"/>
      <c r="K126" s="35" t="s">
        <v>65</v>
      </c>
      <c r="L126" s="79">
        <v>126</v>
      </c>
      <c r="M126" s="79"/>
      <c r="N126" s="73"/>
      <c r="O126" s="81" t="s">
        <v>844</v>
      </c>
      <c r="P126" s="81" t="s">
        <v>199</v>
      </c>
      <c r="Q126" s="84" t="s">
        <v>966</v>
      </c>
      <c r="R126" s="81" t="s">
        <v>321</v>
      </c>
      <c r="S126" s="81" t="s">
        <v>1680</v>
      </c>
      <c r="T126" s="86" t="str">
        <f>HYPERLINK("http://www.youtube.com/channel/UCNkgHJez9ThFzjZbfGp0meg")</f>
        <v>http://www.youtube.com/channel/UCNkgHJez9ThFzjZbfGp0meg</v>
      </c>
      <c r="U126" s="81"/>
      <c r="V126" s="81" t="s">
        <v>2310</v>
      </c>
      <c r="W126" s="86" t="str">
        <f>HYPERLINK("https://www.youtube.com/watch?v=LBkXQ_mBO3Q")</f>
        <v>https://www.youtube.com/watch?v=LBkXQ_mBO3Q</v>
      </c>
      <c r="X126" s="81" t="s">
        <v>2349</v>
      </c>
      <c r="Y126" s="81">
        <v>1</v>
      </c>
      <c r="Z126" s="88">
        <v>44210.133356481485</v>
      </c>
      <c r="AA126" s="88">
        <v>44210.13348379629</v>
      </c>
      <c r="AB126" s="81"/>
      <c r="AC126" s="81"/>
      <c r="AD126" s="84" t="s">
        <v>2390</v>
      </c>
      <c r="AE126" s="82">
        <v>1</v>
      </c>
      <c r="AF126" s="83" t="str">
        <f>REPLACE(INDEX(GroupVertices[Group],MATCH(Edges[[#This Row],[Vertex 1]],GroupVertices[Vertex],0)),1,1,"")</f>
        <v>3</v>
      </c>
      <c r="AG126" s="83" t="str">
        <f>REPLACE(INDEX(GroupVertices[Group],MATCH(Edges[[#This Row],[Vertex 2]],GroupVertices[Vertex],0)),1,1,"")</f>
        <v>3</v>
      </c>
      <c r="AH126" s="111">
        <v>1</v>
      </c>
      <c r="AI126" s="112">
        <v>12.5</v>
      </c>
      <c r="AJ126" s="111">
        <v>0</v>
      </c>
      <c r="AK126" s="112">
        <v>0</v>
      </c>
      <c r="AL126" s="111">
        <v>0</v>
      </c>
      <c r="AM126" s="112">
        <v>0</v>
      </c>
      <c r="AN126" s="111">
        <v>7</v>
      </c>
      <c r="AO126" s="112">
        <v>87.5</v>
      </c>
      <c r="AP126" s="111">
        <v>8</v>
      </c>
    </row>
    <row r="127" spans="1:42" ht="15">
      <c r="A127" s="65" t="s">
        <v>322</v>
      </c>
      <c r="B127" s="65" t="s">
        <v>828</v>
      </c>
      <c r="C127" s="66" t="s">
        <v>4651</v>
      </c>
      <c r="D127" s="67">
        <v>3</v>
      </c>
      <c r="E127" s="68"/>
      <c r="F127" s="69">
        <v>40</v>
      </c>
      <c r="G127" s="66"/>
      <c r="H127" s="70"/>
      <c r="I127" s="71"/>
      <c r="J127" s="71"/>
      <c r="K127" s="35" t="s">
        <v>65</v>
      </c>
      <c r="L127" s="79">
        <v>127</v>
      </c>
      <c r="M127" s="79"/>
      <c r="N127" s="73"/>
      <c r="O127" s="81" t="s">
        <v>844</v>
      </c>
      <c r="P127" s="81" t="s">
        <v>199</v>
      </c>
      <c r="Q127" s="84" t="s">
        <v>967</v>
      </c>
      <c r="R127" s="81" t="s">
        <v>322</v>
      </c>
      <c r="S127" s="81" t="s">
        <v>1681</v>
      </c>
      <c r="T127" s="86" t="str">
        <f>HYPERLINK("http://www.youtube.com/channel/UCjNtXvpzLfFO_U-1zw4TD3g")</f>
        <v>http://www.youtube.com/channel/UCjNtXvpzLfFO_U-1zw4TD3g</v>
      </c>
      <c r="U127" s="81"/>
      <c r="V127" s="81" t="s">
        <v>2310</v>
      </c>
      <c r="W127" s="86" t="str">
        <f>HYPERLINK("https://www.youtube.com/watch?v=LBkXQ_mBO3Q")</f>
        <v>https://www.youtube.com/watch?v=LBkXQ_mBO3Q</v>
      </c>
      <c r="X127" s="81" t="s">
        <v>2349</v>
      </c>
      <c r="Y127" s="81">
        <v>5</v>
      </c>
      <c r="Z127" s="88">
        <v>44213.61387731481</v>
      </c>
      <c r="AA127" s="88">
        <v>44213.61387731481</v>
      </c>
      <c r="AB127" s="81"/>
      <c r="AC127" s="81"/>
      <c r="AD127" s="84" t="s">
        <v>2390</v>
      </c>
      <c r="AE127" s="82">
        <v>1</v>
      </c>
      <c r="AF127" s="83" t="str">
        <f>REPLACE(INDEX(GroupVertices[Group],MATCH(Edges[[#This Row],[Vertex 1]],GroupVertices[Vertex],0)),1,1,"")</f>
        <v>3</v>
      </c>
      <c r="AG127" s="83" t="str">
        <f>REPLACE(INDEX(GroupVertices[Group],MATCH(Edges[[#This Row],[Vertex 2]],GroupVertices[Vertex],0)),1,1,"")</f>
        <v>3</v>
      </c>
      <c r="AH127" s="111">
        <v>1</v>
      </c>
      <c r="AI127" s="112">
        <v>16.666666666666668</v>
      </c>
      <c r="AJ127" s="111">
        <v>0</v>
      </c>
      <c r="AK127" s="112">
        <v>0</v>
      </c>
      <c r="AL127" s="111">
        <v>0</v>
      </c>
      <c r="AM127" s="112">
        <v>0</v>
      </c>
      <c r="AN127" s="111">
        <v>5</v>
      </c>
      <c r="AO127" s="112">
        <v>83.33333333333333</v>
      </c>
      <c r="AP127" s="111">
        <v>6</v>
      </c>
    </row>
    <row r="128" spans="1:42" ht="15">
      <c r="A128" s="65" t="s">
        <v>290</v>
      </c>
      <c r="B128" s="65" t="s">
        <v>323</v>
      </c>
      <c r="C128" s="66" t="s">
        <v>4651</v>
      </c>
      <c r="D128" s="67">
        <v>3</v>
      </c>
      <c r="E128" s="68"/>
      <c r="F128" s="69">
        <v>40</v>
      </c>
      <c r="G128" s="66"/>
      <c r="H128" s="70"/>
      <c r="I128" s="71"/>
      <c r="J128" s="71"/>
      <c r="K128" s="35" t="s">
        <v>65</v>
      </c>
      <c r="L128" s="79">
        <v>128</v>
      </c>
      <c r="M128" s="79"/>
      <c r="N128" s="73"/>
      <c r="O128" s="81" t="s">
        <v>845</v>
      </c>
      <c r="P128" s="81" t="s">
        <v>847</v>
      </c>
      <c r="Q128" s="84" t="s">
        <v>968</v>
      </c>
      <c r="R128" s="81" t="s">
        <v>290</v>
      </c>
      <c r="S128" s="81" t="s">
        <v>1649</v>
      </c>
      <c r="T128" s="86" t="str">
        <f>HYPERLINK("http://www.youtube.com/channel/UC_k3eP9m8U3bW2ByWs3BRlg")</f>
        <v>http://www.youtube.com/channel/UC_k3eP9m8U3bW2ByWs3BRlg</v>
      </c>
      <c r="U128" s="81" t="s">
        <v>2198</v>
      </c>
      <c r="V128" s="81" t="s">
        <v>2310</v>
      </c>
      <c r="W128" s="86" t="str">
        <f>HYPERLINK("https://www.youtube.com/watch?v=LBkXQ_mBO3Q")</f>
        <v>https://www.youtube.com/watch?v=LBkXQ_mBO3Q</v>
      </c>
      <c r="X128" s="81" t="s">
        <v>2349</v>
      </c>
      <c r="Y128" s="81">
        <v>0</v>
      </c>
      <c r="Z128" s="88">
        <v>44257.54618055555</v>
      </c>
      <c r="AA128" s="88">
        <v>44257.54618055555</v>
      </c>
      <c r="AB128" s="81"/>
      <c r="AC128" s="81"/>
      <c r="AD128" s="84" t="s">
        <v>2390</v>
      </c>
      <c r="AE128" s="82">
        <v>1</v>
      </c>
      <c r="AF128" s="83" t="str">
        <f>REPLACE(INDEX(GroupVertices[Group],MATCH(Edges[[#This Row],[Vertex 1]],GroupVertices[Vertex],0)),1,1,"")</f>
        <v>3</v>
      </c>
      <c r="AG128" s="83" t="str">
        <f>REPLACE(INDEX(GroupVertices[Group],MATCH(Edges[[#This Row],[Vertex 2]],GroupVertices[Vertex],0)),1,1,"")</f>
        <v>3</v>
      </c>
      <c r="AH128" s="111">
        <v>0</v>
      </c>
      <c r="AI128" s="112">
        <v>0</v>
      </c>
      <c r="AJ128" s="111">
        <v>0</v>
      </c>
      <c r="AK128" s="112">
        <v>0</v>
      </c>
      <c r="AL128" s="111">
        <v>0</v>
      </c>
      <c r="AM128" s="112">
        <v>0</v>
      </c>
      <c r="AN128" s="111">
        <v>2</v>
      </c>
      <c r="AO128" s="112">
        <v>100</v>
      </c>
      <c r="AP128" s="111">
        <v>2</v>
      </c>
    </row>
    <row r="129" spans="1:42" ht="15">
      <c r="A129" s="65" t="s">
        <v>323</v>
      </c>
      <c r="B129" s="65" t="s">
        <v>828</v>
      </c>
      <c r="C129" s="66" t="s">
        <v>4651</v>
      </c>
      <c r="D129" s="67">
        <v>3</v>
      </c>
      <c r="E129" s="68"/>
      <c r="F129" s="69">
        <v>40</v>
      </c>
      <c r="G129" s="66"/>
      <c r="H129" s="70"/>
      <c r="I129" s="71"/>
      <c r="J129" s="71"/>
      <c r="K129" s="35" t="s">
        <v>65</v>
      </c>
      <c r="L129" s="79">
        <v>129</v>
      </c>
      <c r="M129" s="79"/>
      <c r="N129" s="73"/>
      <c r="O129" s="81" t="s">
        <v>844</v>
      </c>
      <c r="P129" s="81" t="s">
        <v>199</v>
      </c>
      <c r="Q129" s="84" t="s">
        <v>969</v>
      </c>
      <c r="R129" s="81" t="s">
        <v>323</v>
      </c>
      <c r="S129" s="81" t="s">
        <v>1682</v>
      </c>
      <c r="T129" s="86" t="str">
        <f>HYPERLINK("http://www.youtube.com/channel/UCHaSyW6beXgBHgIVRxulg1Q")</f>
        <v>http://www.youtube.com/channel/UCHaSyW6beXgBHgIVRxulg1Q</v>
      </c>
      <c r="U129" s="81"/>
      <c r="V129" s="81" t="s">
        <v>2310</v>
      </c>
      <c r="W129" s="86" t="str">
        <f>HYPERLINK("https://www.youtube.com/watch?v=LBkXQ_mBO3Q")</f>
        <v>https://www.youtube.com/watch?v=LBkXQ_mBO3Q</v>
      </c>
      <c r="X129" s="81" t="s">
        <v>2349</v>
      </c>
      <c r="Y129" s="81">
        <v>3</v>
      </c>
      <c r="Z129" s="88">
        <v>44226.37019675926</v>
      </c>
      <c r="AA129" s="88">
        <v>44226.37019675926</v>
      </c>
      <c r="AB129" s="81"/>
      <c r="AC129" s="81"/>
      <c r="AD129" s="84" t="s">
        <v>2390</v>
      </c>
      <c r="AE129" s="82">
        <v>1</v>
      </c>
      <c r="AF129" s="83" t="str">
        <f>REPLACE(INDEX(GroupVertices[Group],MATCH(Edges[[#This Row],[Vertex 1]],GroupVertices[Vertex],0)),1,1,"")</f>
        <v>3</v>
      </c>
      <c r="AG129" s="83" t="str">
        <f>REPLACE(INDEX(GroupVertices[Group],MATCH(Edges[[#This Row],[Vertex 2]],GroupVertices[Vertex],0)),1,1,"")</f>
        <v>3</v>
      </c>
      <c r="AH129" s="111">
        <v>0</v>
      </c>
      <c r="AI129" s="112">
        <v>0</v>
      </c>
      <c r="AJ129" s="111">
        <v>0</v>
      </c>
      <c r="AK129" s="112">
        <v>0</v>
      </c>
      <c r="AL129" s="111">
        <v>0</v>
      </c>
      <c r="AM129" s="112">
        <v>0</v>
      </c>
      <c r="AN129" s="111">
        <v>7</v>
      </c>
      <c r="AO129" s="112">
        <v>100</v>
      </c>
      <c r="AP129" s="111">
        <v>7</v>
      </c>
    </row>
    <row r="130" spans="1:42" ht="15">
      <c r="A130" s="65" t="s">
        <v>324</v>
      </c>
      <c r="B130" s="65" t="s">
        <v>828</v>
      </c>
      <c r="C130" s="66" t="s">
        <v>4651</v>
      </c>
      <c r="D130" s="67">
        <v>3</v>
      </c>
      <c r="E130" s="68"/>
      <c r="F130" s="69">
        <v>40</v>
      </c>
      <c r="G130" s="66"/>
      <c r="H130" s="70"/>
      <c r="I130" s="71"/>
      <c r="J130" s="71"/>
      <c r="K130" s="35" t="s">
        <v>65</v>
      </c>
      <c r="L130" s="79">
        <v>130</v>
      </c>
      <c r="M130" s="79"/>
      <c r="N130" s="73"/>
      <c r="O130" s="81" t="s">
        <v>844</v>
      </c>
      <c r="P130" s="81" t="s">
        <v>199</v>
      </c>
      <c r="Q130" s="84" t="s">
        <v>970</v>
      </c>
      <c r="R130" s="81" t="s">
        <v>324</v>
      </c>
      <c r="S130" s="81" t="s">
        <v>1683</v>
      </c>
      <c r="T130" s="86" t="str">
        <f>HYPERLINK("http://www.youtube.com/channel/UChKaNMuqrOYPeC3qNtAlouQ")</f>
        <v>http://www.youtube.com/channel/UChKaNMuqrOYPeC3qNtAlouQ</v>
      </c>
      <c r="U130" s="81"/>
      <c r="V130" s="81" t="s">
        <v>2310</v>
      </c>
      <c r="W130" s="86" t="str">
        <f>HYPERLINK("https://www.youtube.com/watch?v=LBkXQ_mBO3Q")</f>
        <v>https://www.youtube.com/watch?v=LBkXQ_mBO3Q</v>
      </c>
      <c r="X130" s="81" t="s">
        <v>2349</v>
      </c>
      <c r="Y130" s="81">
        <v>2</v>
      </c>
      <c r="Z130" s="88">
        <v>44242.17712962963</v>
      </c>
      <c r="AA130" s="88">
        <v>44242.17712962963</v>
      </c>
      <c r="AB130" s="81"/>
      <c r="AC130" s="81"/>
      <c r="AD130" s="84" t="s">
        <v>2390</v>
      </c>
      <c r="AE130" s="82">
        <v>1</v>
      </c>
      <c r="AF130" s="83" t="str">
        <f>REPLACE(INDEX(GroupVertices[Group],MATCH(Edges[[#This Row],[Vertex 1]],GroupVertices[Vertex],0)),1,1,"")</f>
        <v>3</v>
      </c>
      <c r="AG130" s="83" t="str">
        <f>REPLACE(INDEX(GroupVertices[Group],MATCH(Edges[[#This Row],[Vertex 2]],GroupVertices[Vertex],0)),1,1,"")</f>
        <v>3</v>
      </c>
      <c r="AH130" s="111">
        <v>1</v>
      </c>
      <c r="AI130" s="112">
        <v>10</v>
      </c>
      <c r="AJ130" s="111">
        <v>0</v>
      </c>
      <c r="AK130" s="112">
        <v>0</v>
      </c>
      <c r="AL130" s="111">
        <v>0</v>
      </c>
      <c r="AM130" s="112">
        <v>0</v>
      </c>
      <c r="AN130" s="111">
        <v>9</v>
      </c>
      <c r="AO130" s="112">
        <v>90</v>
      </c>
      <c r="AP130" s="111">
        <v>10</v>
      </c>
    </row>
    <row r="131" spans="1:42" ht="15">
      <c r="A131" s="65" t="s">
        <v>325</v>
      </c>
      <c r="B131" s="65" t="s">
        <v>828</v>
      </c>
      <c r="C131" s="66" t="s">
        <v>4651</v>
      </c>
      <c r="D131" s="67">
        <v>3</v>
      </c>
      <c r="E131" s="68"/>
      <c r="F131" s="69">
        <v>40</v>
      </c>
      <c r="G131" s="66"/>
      <c r="H131" s="70"/>
      <c r="I131" s="71"/>
      <c r="J131" s="71"/>
      <c r="K131" s="35" t="s">
        <v>65</v>
      </c>
      <c r="L131" s="79">
        <v>131</v>
      </c>
      <c r="M131" s="79"/>
      <c r="N131" s="73"/>
      <c r="O131" s="81" t="s">
        <v>844</v>
      </c>
      <c r="P131" s="81" t="s">
        <v>199</v>
      </c>
      <c r="Q131" s="84" t="s">
        <v>971</v>
      </c>
      <c r="R131" s="81" t="s">
        <v>325</v>
      </c>
      <c r="S131" s="81" t="s">
        <v>1684</v>
      </c>
      <c r="T131" s="86" t="str">
        <f>HYPERLINK("http://www.youtube.com/channel/UCk54dTDeL3itKr1s9RExZ0g")</f>
        <v>http://www.youtube.com/channel/UCk54dTDeL3itKr1s9RExZ0g</v>
      </c>
      <c r="U131" s="81"/>
      <c r="V131" s="81" t="s">
        <v>2310</v>
      </c>
      <c r="W131" s="86" t="str">
        <f>HYPERLINK("https://www.youtube.com/watch?v=LBkXQ_mBO3Q")</f>
        <v>https://www.youtube.com/watch?v=LBkXQ_mBO3Q</v>
      </c>
      <c r="X131" s="81" t="s">
        <v>2349</v>
      </c>
      <c r="Y131" s="81">
        <v>7</v>
      </c>
      <c r="Z131" s="88">
        <v>44245.4321412037</v>
      </c>
      <c r="AA131" s="88">
        <v>44245.4321412037</v>
      </c>
      <c r="AB131" s="81"/>
      <c r="AC131" s="81"/>
      <c r="AD131" s="84" t="s">
        <v>2390</v>
      </c>
      <c r="AE131" s="82">
        <v>1</v>
      </c>
      <c r="AF131" s="83" t="str">
        <f>REPLACE(INDEX(GroupVertices[Group],MATCH(Edges[[#This Row],[Vertex 1]],GroupVertices[Vertex],0)),1,1,"")</f>
        <v>3</v>
      </c>
      <c r="AG131" s="83" t="str">
        <f>REPLACE(INDEX(GroupVertices[Group],MATCH(Edges[[#This Row],[Vertex 2]],GroupVertices[Vertex],0)),1,1,"")</f>
        <v>3</v>
      </c>
      <c r="AH131" s="111">
        <v>4</v>
      </c>
      <c r="AI131" s="112">
        <v>20</v>
      </c>
      <c r="AJ131" s="111">
        <v>0</v>
      </c>
      <c r="AK131" s="112">
        <v>0</v>
      </c>
      <c r="AL131" s="111">
        <v>0</v>
      </c>
      <c r="AM131" s="112">
        <v>0</v>
      </c>
      <c r="AN131" s="111">
        <v>16</v>
      </c>
      <c r="AO131" s="112">
        <v>80</v>
      </c>
      <c r="AP131" s="111">
        <v>20</v>
      </c>
    </row>
    <row r="132" spans="1:42" ht="15">
      <c r="A132" s="65" t="s">
        <v>326</v>
      </c>
      <c r="B132" s="65" t="s">
        <v>828</v>
      </c>
      <c r="C132" s="66" t="s">
        <v>4651</v>
      </c>
      <c r="D132" s="67">
        <v>3</v>
      </c>
      <c r="E132" s="68"/>
      <c r="F132" s="69">
        <v>40</v>
      </c>
      <c r="G132" s="66"/>
      <c r="H132" s="70"/>
      <c r="I132" s="71"/>
      <c r="J132" s="71"/>
      <c r="K132" s="35" t="s">
        <v>65</v>
      </c>
      <c r="L132" s="79">
        <v>132</v>
      </c>
      <c r="M132" s="79"/>
      <c r="N132" s="73"/>
      <c r="O132" s="81" t="s">
        <v>844</v>
      </c>
      <c r="P132" s="81" t="s">
        <v>199</v>
      </c>
      <c r="Q132" s="84" t="s">
        <v>972</v>
      </c>
      <c r="R132" s="81" t="s">
        <v>326</v>
      </c>
      <c r="S132" s="81" t="s">
        <v>1685</v>
      </c>
      <c r="T132" s="86" t="str">
        <f>HYPERLINK("http://www.youtube.com/channel/UC7BhXPzyrxo8GYXtOpWMfaQ")</f>
        <v>http://www.youtube.com/channel/UC7BhXPzyrxo8GYXtOpWMfaQ</v>
      </c>
      <c r="U132" s="81"/>
      <c r="V132" s="81" t="s">
        <v>2310</v>
      </c>
      <c r="W132" s="86" t="str">
        <f>HYPERLINK("https://www.youtube.com/watch?v=LBkXQ_mBO3Q")</f>
        <v>https://www.youtube.com/watch?v=LBkXQ_mBO3Q</v>
      </c>
      <c r="X132" s="81" t="s">
        <v>2349</v>
      </c>
      <c r="Y132" s="81">
        <v>2</v>
      </c>
      <c r="Z132" s="88">
        <v>44252.2533912037</v>
      </c>
      <c r="AA132" s="88">
        <v>44252.2533912037</v>
      </c>
      <c r="AB132" s="81"/>
      <c r="AC132" s="81"/>
      <c r="AD132" s="84" t="s">
        <v>2390</v>
      </c>
      <c r="AE132" s="82">
        <v>1</v>
      </c>
      <c r="AF132" s="83" t="str">
        <f>REPLACE(INDEX(GroupVertices[Group],MATCH(Edges[[#This Row],[Vertex 1]],GroupVertices[Vertex],0)),1,1,"")</f>
        <v>3</v>
      </c>
      <c r="AG132" s="83" t="str">
        <f>REPLACE(INDEX(GroupVertices[Group],MATCH(Edges[[#This Row],[Vertex 2]],GroupVertices[Vertex],0)),1,1,"")</f>
        <v>3</v>
      </c>
      <c r="AH132" s="111">
        <v>1</v>
      </c>
      <c r="AI132" s="112">
        <v>50</v>
      </c>
      <c r="AJ132" s="111">
        <v>0</v>
      </c>
      <c r="AK132" s="112">
        <v>0</v>
      </c>
      <c r="AL132" s="111">
        <v>0</v>
      </c>
      <c r="AM132" s="112">
        <v>0</v>
      </c>
      <c r="AN132" s="111">
        <v>1</v>
      </c>
      <c r="AO132" s="112">
        <v>50</v>
      </c>
      <c r="AP132" s="111">
        <v>2</v>
      </c>
    </row>
    <row r="133" spans="1:42" ht="15">
      <c r="A133" s="65" t="s">
        <v>327</v>
      </c>
      <c r="B133" s="65" t="s">
        <v>828</v>
      </c>
      <c r="C133" s="66" t="s">
        <v>4651</v>
      </c>
      <c r="D133" s="67">
        <v>3</v>
      </c>
      <c r="E133" s="68"/>
      <c r="F133" s="69">
        <v>40</v>
      </c>
      <c r="G133" s="66"/>
      <c r="H133" s="70"/>
      <c r="I133" s="71"/>
      <c r="J133" s="71"/>
      <c r="K133" s="35" t="s">
        <v>65</v>
      </c>
      <c r="L133" s="79">
        <v>133</v>
      </c>
      <c r="M133" s="79"/>
      <c r="N133" s="73"/>
      <c r="O133" s="81" t="s">
        <v>844</v>
      </c>
      <c r="P133" s="81" t="s">
        <v>199</v>
      </c>
      <c r="Q133" s="84" t="s">
        <v>973</v>
      </c>
      <c r="R133" s="81" t="s">
        <v>327</v>
      </c>
      <c r="S133" s="81" t="s">
        <v>1686</v>
      </c>
      <c r="T133" s="86" t="str">
        <f>HYPERLINK("http://www.youtube.com/channel/UCoRiIi240DGZFMU-GdSM2uQ")</f>
        <v>http://www.youtube.com/channel/UCoRiIi240DGZFMU-GdSM2uQ</v>
      </c>
      <c r="U133" s="81"/>
      <c r="V133" s="81" t="s">
        <v>2310</v>
      </c>
      <c r="W133" s="86" t="str">
        <f>HYPERLINK("https://www.youtube.com/watch?v=LBkXQ_mBO3Q")</f>
        <v>https://www.youtube.com/watch?v=LBkXQ_mBO3Q</v>
      </c>
      <c r="X133" s="81" t="s">
        <v>2349</v>
      </c>
      <c r="Y133" s="81">
        <v>5</v>
      </c>
      <c r="Z133" s="88">
        <v>44254.40857638889</v>
      </c>
      <c r="AA133" s="88">
        <v>44254.40857638889</v>
      </c>
      <c r="AB133" s="81"/>
      <c r="AC133" s="81"/>
      <c r="AD133" s="84" t="s">
        <v>2390</v>
      </c>
      <c r="AE133" s="82">
        <v>1</v>
      </c>
      <c r="AF133" s="83" t="str">
        <f>REPLACE(INDEX(GroupVertices[Group],MATCH(Edges[[#This Row],[Vertex 1]],GroupVertices[Vertex],0)),1,1,"")</f>
        <v>3</v>
      </c>
      <c r="AG133" s="83" t="str">
        <f>REPLACE(INDEX(GroupVertices[Group],MATCH(Edges[[#This Row],[Vertex 2]],GroupVertices[Vertex],0)),1,1,"")</f>
        <v>3</v>
      </c>
      <c r="AH133" s="111">
        <v>0</v>
      </c>
      <c r="AI133" s="112">
        <v>0</v>
      </c>
      <c r="AJ133" s="111">
        <v>0</v>
      </c>
      <c r="AK133" s="112">
        <v>0</v>
      </c>
      <c r="AL133" s="111">
        <v>0</v>
      </c>
      <c r="AM133" s="112">
        <v>0</v>
      </c>
      <c r="AN133" s="111">
        <v>2</v>
      </c>
      <c r="AO133" s="112">
        <v>100</v>
      </c>
      <c r="AP133" s="111">
        <v>2</v>
      </c>
    </row>
    <row r="134" spans="1:42" ht="15">
      <c r="A134" s="65" t="s">
        <v>328</v>
      </c>
      <c r="B134" s="65" t="s">
        <v>828</v>
      </c>
      <c r="C134" s="66" t="s">
        <v>4651</v>
      </c>
      <c r="D134" s="67">
        <v>3</v>
      </c>
      <c r="E134" s="68"/>
      <c r="F134" s="69">
        <v>40</v>
      </c>
      <c r="G134" s="66"/>
      <c r="H134" s="70"/>
      <c r="I134" s="71"/>
      <c r="J134" s="71"/>
      <c r="K134" s="35" t="s">
        <v>65</v>
      </c>
      <c r="L134" s="79">
        <v>134</v>
      </c>
      <c r="M134" s="79"/>
      <c r="N134" s="73"/>
      <c r="O134" s="81" t="s">
        <v>844</v>
      </c>
      <c r="P134" s="81" t="s">
        <v>199</v>
      </c>
      <c r="Q134" s="84" t="s">
        <v>974</v>
      </c>
      <c r="R134" s="81" t="s">
        <v>328</v>
      </c>
      <c r="S134" s="81" t="s">
        <v>1687</v>
      </c>
      <c r="T134" s="86" t="str">
        <f>HYPERLINK("http://www.youtube.com/channel/UChu_F4PvpOCkYC7OucP4izA")</f>
        <v>http://www.youtube.com/channel/UChu_F4PvpOCkYC7OucP4izA</v>
      </c>
      <c r="U134" s="81"/>
      <c r="V134" s="81" t="s">
        <v>2310</v>
      </c>
      <c r="W134" s="86" t="str">
        <f>HYPERLINK("https://www.youtube.com/watch?v=LBkXQ_mBO3Q")</f>
        <v>https://www.youtube.com/watch?v=LBkXQ_mBO3Q</v>
      </c>
      <c r="X134" s="81" t="s">
        <v>2349</v>
      </c>
      <c r="Y134" s="81">
        <v>1</v>
      </c>
      <c r="Z134" s="88">
        <v>44259.62756944444</v>
      </c>
      <c r="AA134" s="88">
        <v>44259.62756944444</v>
      </c>
      <c r="AB134" s="81"/>
      <c r="AC134" s="81"/>
      <c r="AD134" s="84" t="s">
        <v>2390</v>
      </c>
      <c r="AE134" s="82">
        <v>1</v>
      </c>
      <c r="AF134" s="83" t="str">
        <f>REPLACE(INDEX(GroupVertices[Group],MATCH(Edges[[#This Row],[Vertex 1]],GroupVertices[Vertex],0)),1,1,"")</f>
        <v>3</v>
      </c>
      <c r="AG134" s="83" t="str">
        <f>REPLACE(INDEX(GroupVertices[Group],MATCH(Edges[[#This Row],[Vertex 2]],GroupVertices[Vertex],0)),1,1,"")</f>
        <v>3</v>
      </c>
      <c r="AH134" s="111">
        <v>1</v>
      </c>
      <c r="AI134" s="112">
        <v>20</v>
      </c>
      <c r="AJ134" s="111">
        <v>0</v>
      </c>
      <c r="AK134" s="112">
        <v>0</v>
      </c>
      <c r="AL134" s="111">
        <v>0</v>
      </c>
      <c r="AM134" s="112">
        <v>0</v>
      </c>
      <c r="AN134" s="111">
        <v>4</v>
      </c>
      <c r="AO134" s="112">
        <v>80</v>
      </c>
      <c r="AP134" s="111">
        <v>5</v>
      </c>
    </row>
    <row r="135" spans="1:42" ht="15">
      <c r="A135" s="65" t="s">
        <v>329</v>
      </c>
      <c r="B135" s="65" t="s">
        <v>828</v>
      </c>
      <c r="C135" s="66" t="s">
        <v>4651</v>
      </c>
      <c r="D135" s="67">
        <v>3</v>
      </c>
      <c r="E135" s="68"/>
      <c r="F135" s="69">
        <v>40</v>
      </c>
      <c r="G135" s="66"/>
      <c r="H135" s="70"/>
      <c r="I135" s="71"/>
      <c r="J135" s="71"/>
      <c r="K135" s="35" t="s">
        <v>65</v>
      </c>
      <c r="L135" s="79">
        <v>135</v>
      </c>
      <c r="M135" s="79"/>
      <c r="N135" s="73"/>
      <c r="O135" s="81" t="s">
        <v>844</v>
      </c>
      <c r="P135" s="81" t="s">
        <v>199</v>
      </c>
      <c r="Q135" s="84" t="s">
        <v>975</v>
      </c>
      <c r="R135" s="81" t="s">
        <v>329</v>
      </c>
      <c r="S135" s="81" t="s">
        <v>1688</v>
      </c>
      <c r="T135" s="86" t="str">
        <f>HYPERLINK("http://www.youtube.com/channel/UC3CZMToTwqMZNRiHmDKaUMw")</f>
        <v>http://www.youtube.com/channel/UC3CZMToTwqMZNRiHmDKaUMw</v>
      </c>
      <c r="U135" s="81"/>
      <c r="V135" s="81" t="s">
        <v>2310</v>
      </c>
      <c r="W135" s="86" t="str">
        <f>HYPERLINK("https://www.youtube.com/watch?v=LBkXQ_mBO3Q")</f>
        <v>https://www.youtube.com/watch?v=LBkXQ_mBO3Q</v>
      </c>
      <c r="X135" s="81" t="s">
        <v>2349</v>
      </c>
      <c r="Y135" s="81">
        <v>1</v>
      </c>
      <c r="Z135" s="88">
        <v>44261.37306712963</v>
      </c>
      <c r="AA135" s="88">
        <v>44261.37306712963</v>
      </c>
      <c r="AB135" s="81"/>
      <c r="AC135" s="81"/>
      <c r="AD135" s="84" t="s">
        <v>2390</v>
      </c>
      <c r="AE135" s="82">
        <v>1</v>
      </c>
      <c r="AF135" s="83" t="str">
        <f>REPLACE(INDEX(GroupVertices[Group],MATCH(Edges[[#This Row],[Vertex 1]],GroupVertices[Vertex],0)),1,1,"")</f>
        <v>3</v>
      </c>
      <c r="AG135" s="83" t="str">
        <f>REPLACE(INDEX(GroupVertices[Group],MATCH(Edges[[#This Row],[Vertex 2]],GroupVertices[Vertex],0)),1,1,"")</f>
        <v>3</v>
      </c>
      <c r="AH135" s="111">
        <v>0</v>
      </c>
      <c r="AI135" s="112">
        <v>0</v>
      </c>
      <c r="AJ135" s="111">
        <v>0</v>
      </c>
      <c r="AK135" s="112">
        <v>0</v>
      </c>
      <c r="AL135" s="111">
        <v>0</v>
      </c>
      <c r="AM135" s="112">
        <v>0</v>
      </c>
      <c r="AN135" s="111">
        <v>22</v>
      </c>
      <c r="AO135" s="112">
        <v>100</v>
      </c>
      <c r="AP135" s="111">
        <v>22</v>
      </c>
    </row>
    <row r="136" spans="1:42" ht="15">
      <c r="A136" s="65" t="s">
        <v>330</v>
      </c>
      <c r="B136" s="65" t="s">
        <v>828</v>
      </c>
      <c r="C136" s="66" t="s">
        <v>4651</v>
      </c>
      <c r="D136" s="67">
        <v>3</v>
      </c>
      <c r="E136" s="68"/>
      <c r="F136" s="69">
        <v>40</v>
      </c>
      <c r="G136" s="66"/>
      <c r="H136" s="70"/>
      <c r="I136" s="71"/>
      <c r="J136" s="71"/>
      <c r="K136" s="35" t="s">
        <v>65</v>
      </c>
      <c r="L136" s="79">
        <v>136</v>
      </c>
      <c r="M136" s="79"/>
      <c r="N136" s="73"/>
      <c r="O136" s="81" t="s">
        <v>844</v>
      </c>
      <c r="P136" s="81" t="s">
        <v>199</v>
      </c>
      <c r="Q136" s="84" t="s">
        <v>976</v>
      </c>
      <c r="R136" s="81" t="s">
        <v>330</v>
      </c>
      <c r="S136" s="81" t="s">
        <v>1689</v>
      </c>
      <c r="T136" s="86" t="str">
        <f>HYPERLINK("http://www.youtube.com/channel/UCk4RmdXiRi_Ad_l4rvGXvhg")</f>
        <v>http://www.youtube.com/channel/UCk4RmdXiRi_Ad_l4rvGXvhg</v>
      </c>
      <c r="U136" s="81"/>
      <c r="V136" s="81" t="s">
        <v>2310</v>
      </c>
      <c r="W136" s="86" t="str">
        <f>HYPERLINK("https://www.youtube.com/watch?v=LBkXQ_mBO3Q")</f>
        <v>https://www.youtube.com/watch?v=LBkXQ_mBO3Q</v>
      </c>
      <c r="X136" s="81" t="s">
        <v>2349</v>
      </c>
      <c r="Y136" s="81">
        <v>0</v>
      </c>
      <c r="Z136" s="88">
        <v>44270.38265046296</v>
      </c>
      <c r="AA136" s="88">
        <v>44270.382743055554</v>
      </c>
      <c r="AB136" s="81"/>
      <c r="AC136" s="81"/>
      <c r="AD136" s="84" t="s">
        <v>2390</v>
      </c>
      <c r="AE136" s="82">
        <v>1</v>
      </c>
      <c r="AF136" s="83" t="str">
        <f>REPLACE(INDEX(GroupVertices[Group],MATCH(Edges[[#This Row],[Vertex 1]],GroupVertices[Vertex],0)),1,1,"")</f>
        <v>3</v>
      </c>
      <c r="AG136" s="83" t="str">
        <f>REPLACE(INDEX(GroupVertices[Group],MATCH(Edges[[#This Row],[Vertex 2]],GroupVertices[Vertex],0)),1,1,"")</f>
        <v>3</v>
      </c>
      <c r="AH136" s="111">
        <v>0</v>
      </c>
      <c r="AI136" s="112">
        <v>0</v>
      </c>
      <c r="AJ136" s="111">
        <v>1</v>
      </c>
      <c r="AK136" s="112">
        <v>20</v>
      </c>
      <c r="AL136" s="111">
        <v>0</v>
      </c>
      <c r="AM136" s="112">
        <v>0</v>
      </c>
      <c r="AN136" s="111">
        <v>4</v>
      </c>
      <c r="AO136" s="112">
        <v>80</v>
      </c>
      <c r="AP136" s="111">
        <v>5</v>
      </c>
    </row>
    <row r="137" spans="1:42" ht="15">
      <c r="A137" s="65" t="s">
        <v>331</v>
      </c>
      <c r="B137" s="65" t="s">
        <v>828</v>
      </c>
      <c r="C137" s="66" t="s">
        <v>4651</v>
      </c>
      <c r="D137" s="67">
        <v>3</v>
      </c>
      <c r="E137" s="68"/>
      <c r="F137" s="69">
        <v>40</v>
      </c>
      <c r="G137" s="66"/>
      <c r="H137" s="70"/>
      <c r="I137" s="71"/>
      <c r="J137" s="71"/>
      <c r="K137" s="35" t="s">
        <v>65</v>
      </c>
      <c r="L137" s="79">
        <v>137</v>
      </c>
      <c r="M137" s="79"/>
      <c r="N137" s="73"/>
      <c r="O137" s="81" t="s">
        <v>844</v>
      </c>
      <c r="P137" s="81" t="s">
        <v>199</v>
      </c>
      <c r="Q137" s="84" t="s">
        <v>977</v>
      </c>
      <c r="R137" s="81" t="s">
        <v>331</v>
      </c>
      <c r="S137" s="81" t="s">
        <v>1690</v>
      </c>
      <c r="T137" s="86" t="str">
        <f>HYPERLINK("http://www.youtube.com/channel/UC0-9DqPDBZuUlkte_JxRorA")</f>
        <v>http://www.youtube.com/channel/UC0-9DqPDBZuUlkte_JxRorA</v>
      </c>
      <c r="U137" s="81"/>
      <c r="V137" s="81" t="s">
        <v>2310</v>
      </c>
      <c r="W137" s="86" t="str">
        <f>HYPERLINK("https://www.youtube.com/watch?v=LBkXQ_mBO3Q")</f>
        <v>https://www.youtube.com/watch?v=LBkXQ_mBO3Q</v>
      </c>
      <c r="X137" s="81" t="s">
        <v>2349</v>
      </c>
      <c r="Y137" s="81">
        <v>0</v>
      </c>
      <c r="Z137" s="88">
        <v>44270.889375</v>
      </c>
      <c r="AA137" s="88">
        <v>44270.889375</v>
      </c>
      <c r="AB137" s="81"/>
      <c r="AC137" s="81"/>
      <c r="AD137" s="84" t="s">
        <v>2390</v>
      </c>
      <c r="AE137" s="82">
        <v>1</v>
      </c>
      <c r="AF137" s="83" t="str">
        <f>REPLACE(INDEX(GroupVertices[Group],MATCH(Edges[[#This Row],[Vertex 1]],GroupVertices[Vertex],0)),1,1,"")</f>
        <v>3</v>
      </c>
      <c r="AG137" s="83" t="str">
        <f>REPLACE(INDEX(GroupVertices[Group],MATCH(Edges[[#This Row],[Vertex 2]],GroupVertices[Vertex],0)),1,1,"")</f>
        <v>3</v>
      </c>
      <c r="AH137" s="111">
        <v>1</v>
      </c>
      <c r="AI137" s="112">
        <v>3.5714285714285716</v>
      </c>
      <c r="AJ137" s="111">
        <v>0</v>
      </c>
      <c r="AK137" s="112">
        <v>0</v>
      </c>
      <c r="AL137" s="111">
        <v>0</v>
      </c>
      <c r="AM137" s="112">
        <v>0</v>
      </c>
      <c r="AN137" s="111">
        <v>27</v>
      </c>
      <c r="AO137" s="112">
        <v>96.42857142857143</v>
      </c>
      <c r="AP137" s="111">
        <v>28</v>
      </c>
    </row>
    <row r="138" spans="1:42" ht="15">
      <c r="A138" s="65" t="s">
        <v>332</v>
      </c>
      <c r="B138" s="65" t="s">
        <v>828</v>
      </c>
      <c r="C138" s="66" t="s">
        <v>4651</v>
      </c>
      <c r="D138" s="67">
        <v>3</v>
      </c>
      <c r="E138" s="68"/>
      <c r="F138" s="69">
        <v>40</v>
      </c>
      <c r="G138" s="66"/>
      <c r="H138" s="70"/>
      <c r="I138" s="71"/>
      <c r="J138" s="71"/>
      <c r="K138" s="35" t="s">
        <v>65</v>
      </c>
      <c r="L138" s="79">
        <v>138</v>
      </c>
      <c r="M138" s="79"/>
      <c r="N138" s="73"/>
      <c r="O138" s="81" t="s">
        <v>844</v>
      </c>
      <c r="P138" s="81" t="s">
        <v>199</v>
      </c>
      <c r="Q138" s="84" t="s">
        <v>978</v>
      </c>
      <c r="R138" s="81" t="s">
        <v>332</v>
      </c>
      <c r="S138" s="81" t="s">
        <v>1691</v>
      </c>
      <c r="T138" s="86" t="str">
        <f>HYPERLINK("http://www.youtube.com/channel/UCW1cxUDBPmXb9Uaiw3gcl5g")</f>
        <v>http://www.youtube.com/channel/UCW1cxUDBPmXb9Uaiw3gcl5g</v>
      </c>
      <c r="U138" s="81"/>
      <c r="V138" s="81" t="s">
        <v>2310</v>
      </c>
      <c r="W138" s="86" t="str">
        <f>HYPERLINK("https://www.youtube.com/watch?v=LBkXQ_mBO3Q")</f>
        <v>https://www.youtube.com/watch?v=LBkXQ_mBO3Q</v>
      </c>
      <c r="X138" s="81" t="s">
        <v>2349</v>
      </c>
      <c r="Y138" s="81">
        <v>0</v>
      </c>
      <c r="Z138" s="88">
        <v>44270.94731481482</v>
      </c>
      <c r="AA138" s="88">
        <v>44270.94731481482</v>
      </c>
      <c r="AB138" s="81"/>
      <c r="AC138" s="81"/>
      <c r="AD138" s="84" t="s">
        <v>2390</v>
      </c>
      <c r="AE138" s="82">
        <v>1</v>
      </c>
      <c r="AF138" s="83" t="str">
        <f>REPLACE(INDEX(GroupVertices[Group],MATCH(Edges[[#This Row],[Vertex 1]],GroupVertices[Vertex],0)),1,1,"")</f>
        <v>3</v>
      </c>
      <c r="AG138" s="83" t="str">
        <f>REPLACE(INDEX(GroupVertices[Group],MATCH(Edges[[#This Row],[Vertex 2]],GroupVertices[Vertex],0)),1,1,"")</f>
        <v>3</v>
      </c>
      <c r="AH138" s="111">
        <v>4</v>
      </c>
      <c r="AI138" s="112">
        <v>7.547169811320755</v>
      </c>
      <c r="AJ138" s="111">
        <v>3</v>
      </c>
      <c r="AK138" s="112">
        <v>5.660377358490566</v>
      </c>
      <c r="AL138" s="111">
        <v>0</v>
      </c>
      <c r="AM138" s="112">
        <v>0</v>
      </c>
      <c r="AN138" s="111">
        <v>46</v>
      </c>
      <c r="AO138" s="112">
        <v>86.79245283018868</v>
      </c>
      <c r="AP138" s="111">
        <v>53</v>
      </c>
    </row>
    <row r="139" spans="1:42" ht="15">
      <c r="A139" s="65" t="s">
        <v>333</v>
      </c>
      <c r="B139" s="65" t="s">
        <v>828</v>
      </c>
      <c r="C139" s="66" t="s">
        <v>4651</v>
      </c>
      <c r="D139" s="67">
        <v>3</v>
      </c>
      <c r="E139" s="68"/>
      <c r="F139" s="69">
        <v>40</v>
      </c>
      <c r="G139" s="66"/>
      <c r="H139" s="70"/>
      <c r="I139" s="71"/>
      <c r="J139" s="71"/>
      <c r="K139" s="35" t="s">
        <v>65</v>
      </c>
      <c r="L139" s="79">
        <v>139</v>
      </c>
      <c r="M139" s="79"/>
      <c r="N139" s="73"/>
      <c r="O139" s="81" t="s">
        <v>844</v>
      </c>
      <c r="P139" s="81" t="s">
        <v>199</v>
      </c>
      <c r="Q139" s="84" t="s">
        <v>979</v>
      </c>
      <c r="R139" s="81" t="s">
        <v>333</v>
      </c>
      <c r="S139" s="81" t="s">
        <v>1692</v>
      </c>
      <c r="T139" s="86" t="str">
        <f>HYPERLINK("http://www.youtube.com/channel/UCdeCufBUMozc9vUfN0DiUwg")</f>
        <v>http://www.youtube.com/channel/UCdeCufBUMozc9vUfN0DiUwg</v>
      </c>
      <c r="U139" s="81"/>
      <c r="V139" s="81" t="s">
        <v>2310</v>
      </c>
      <c r="W139" s="86" t="str">
        <f>HYPERLINK("https://www.youtube.com/watch?v=LBkXQ_mBO3Q")</f>
        <v>https://www.youtube.com/watch?v=LBkXQ_mBO3Q</v>
      </c>
      <c r="X139" s="81" t="s">
        <v>2349</v>
      </c>
      <c r="Y139" s="81">
        <v>1</v>
      </c>
      <c r="Z139" s="88">
        <v>44288.150659722225</v>
      </c>
      <c r="AA139" s="88">
        <v>44288.150659722225</v>
      </c>
      <c r="AB139" s="81"/>
      <c r="AC139" s="81"/>
      <c r="AD139" s="84" t="s">
        <v>2390</v>
      </c>
      <c r="AE139" s="82">
        <v>1</v>
      </c>
      <c r="AF139" s="83" t="str">
        <f>REPLACE(INDEX(GroupVertices[Group],MATCH(Edges[[#This Row],[Vertex 1]],GroupVertices[Vertex],0)),1,1,"")</f>
        <v>3</v>
      </c>
      <c r="AG139" s="83" t="str">
        <f>REPLACE(INDEX(GroupVertices[Group],MATCH(Edges[[#This Row],[Vertex 2]],GroupVertices[Vertex],0)),1,1,"")</f>
        <v>3</v>
      </c>
      <c r="AH139" s="111">
        <v>5</v>
      </c>
      <c r="AI139" s="112">
        <v>2.4271844660194173</v>
      </c>
      <c r="AJ139" s="111">
        <v>4</v>
      </c>
      <c r="AK139" s="112">
        <v>1.941747572815534</v>
      </c>
      <c r="AL139" s="111">
        <v>0</v>
      </c>
      <c r="AM139" s="112">
        <v>0</v>
      </c>
      <c r="AN139" s="111">
        <v>197</v>
      </c>
      <c r="AO139" s="112">
        <v>95.63106796116504</v>
      </c>
      <c r="AP139" s="111">
        <v>206</v>
      </c>
    </row>
    <row r="140" spans="1:42" ht="15">
      <c r="A140" s="65" t="s">
        <v>334</v>
      </c>
      <c r="B140" s="65" t="s">
        <v>828</v>
      </c>
      <c r="C140" s="66" t="s">
        <v>4651</v>
      </c>
      <c r="D140" s="67">
        <v>3</v>
      </c>
      <c r="E140" s="68"/>
      <c r="F140" s="69">
        <v>40</v>
      </c>
      <c r="G140" s="66"/>
      <c r="H140" s="70"/>
      <c r="I140" s="71"/>
      <c r="J140" s="71"/>
      <c r="K140" s="35" t="s">
        <v>65</v>
      </c>
      <c r="L140" s="79">
        <v>140</v>
      </c>
      <c r="M140" s="79"/>
      <c r="N140" s="73"/>
      <c r="O140" s="81" t="s">
        <v>844</v>
      </c>
      <c r="P140" s="81" t="s">
        <v>199</v>
      </c>
      <c r="Q140" s="84" t="s">
        <v>980</v>
      </c>
      <c r="R140" s="81" t="s">
        <v>334</v>
      </c>
      <c r="S140" s="81" t="s">
        <v>1693</v>
      </c>
      <c r="T140" s="86" t="str">
        <f>HYPERLINK("http://www.youtube.com/channel/UCyAvQ66sltINGcJeA0gOLZw")</f>
        <v>http://www.youtube.com/channel/UCyAvQ66sltINGcJeA0gOLZw</v>
      </c>
      <c r="U140" s="81"/>
      <c r="V140" s="81" t="s">
        <v>2310</v>
      </c>
      <c r="W140" s="86" t="str">
        <f>HYPERLINK("https://www.youtube.com/watch?v=LBkXQ_mBO3Q")</f>
        <v>https://www.youtube.com/watch?v=LBkXQ_mBO3Q</v>
      </c>
      <c r="X140" s="81" t="s">
        <v>2349</v>
      </c>
      <c r="Y140" s="81">
        <v>4</v>
      </c>
      <c r="Z140" s="88">
        <v>44292.41625</v>
      </c>
      <c r="AA140" s="88">
        <v>44292.41625</v>
      </c>
      <c r="AB140" s="81"/>
      <c r="AC140" s="81"/>
      <c r="AD140" s="84" t="s">
        <v>2390</v>
      </c>
      <c r="AE140" s="82">
        <v>1</v>
      </c>
      <c r="AF140" s="83" t="str">
        <f>REPLACE(INDEX(GroupVertices[Group],MATCH(Edges[[#This Row],[Vertex 1]],GroupVertices[Vertex],0)),1,1,"")</f>
        <v>3</v>
      </c>
      <c r="AG140" s="83" t="str">
        <f>REPLACE(INDEX(GroupVertices[Group],MATCH(Edges[[#This Row],[Vertex 2]],GroupVertices[Vertex],0)),1,1,"")</f>
        <v>3</v>
      </c>
      <c r="AH140" s="111">
        <v>0</v>
      </c>
      <c r="AI140" s="112">
        <v>0</v>
      </c>
      <c r="AJ140" s="111">
        <v>0</v>
      </c>
      <c r="AK140" s="112">
        <v>0</v>
      </c>
      <c r="AL140" s="111">
        <v>0</v>
      </c>
      <c r="AM140" s="112">
        <v>0</v>
      </c>
      <c r="AN140" s="111">
        <v>1</v>
      </c>
      <c r="AO140" s="112">
        <v>100</v>
      </c>
      <c r="AP140" s="111">
        <v>1</v>
      </c>
    </row>
    <row r="141" spans="1:42" ht="15">
      <c r="A141" s="65" t="s">
        <v>335</v>
      </c>
      <c r="B141" s="65" t="s">
        <v>828</v>
      </c>
      <c r="C141" s="66" t="s">
        <v>4651</v>
      </c>
      <c r="D141" s="67">
        <v>3</v>
      </c>
      <c r="E141" s="68"/>
      <c r="F141" s="69">
        <v>40</v>
      </c>
      <c r="G141" s="66"/>
      <c r="H141" s="70"/>
      <c r="I141" s="71"/>
      <c r="J141" s="71"/>
      <c r="K141" s="35" t="s">
        <v>65</v>
      </c>
      <c r="L141" s="79">
        <v>141</v>
      </c>
      <c r="M141" s="79"/>
      <c r="N141" s="73"/>
      <c r="O141" s="81" t="s">
        <v>844</v>
      </c>
      <c r="P141" s="81" t="s">
        <v>199</v>
      </c>
      <c r="Q141" s="84" t="s">
        <v>981</v>
      </c>
      <c r="R141" s="81" t="s">
        <v>335</v>
      </c>
      <c r="S141" s="81" t="s">
        <v>1694</v>
      </c>
      <c r="T141" s="86" t="str">
        <f>HYPERLINK("http://www.youtube.com/channel/UCmcCU9CY86IsTMggOzc9c1w")</f>
        <v>http://www.youtube.com/channel/UCmcCU9CY86IsTMggOzc9c1w</v>
      </c>
      <c r="U141" s="81"/>
      <c r="V141" s="81" t="s">
        <v>2310</v>
      </c>
      <c r="W141" s="86" t="str">
        <f>HYPERLINK("https://www.youtube.com/watch?v=LBkXQ_mBO3Q")</f>
        <v>https://www.youtube.com/watch?v=LBkXQ_mBO3Q</v>
      </c>
      <c r="X141" s="81" t="s">
        <v>2349</v>
      </c>
      <c r="Y141" s="81">
        <v>1</v>
      </c>
      <c r="Z141" s="88">
        <v>44298.23399305555</v>
      </c>
      <c r="AA141" s="88">
        <v>44298.23399305555</v>
      </c>
      <c r="AB141" s="81"/>
      <c r="AC141" s="81"/>
      <c r="AD141" s="84" t="s">
        <v>2390</v>
      </c>
      <c r="AE141" s="82">
        <v>1</v>
      </c>
      <c r="AF141" s="83" t="str">
        <f>REPLACE(INDEX(GroupVertices[Group],MATCH(Edges[[#This Row],[Vertex 1]],GroupVertices[Vertex],0)),1,1,"")</f>
        <v>3</v>
      </c>
      <c r="AG141" s="83" t="str">
        <f>REPLACE(INDEX(GroupVertices[Group],MATCH(Edges[[#This Row],[Vertex 2]],GroupVertices[Vertex],0)),1,1,"")</f>
        <v>3</v>
      </c>
      <c r="AH141" s="111">
        <v>0</v>
      </c>
      <c r="AI141" s="112">
        <v>0</v>
      </c>
      <c r="AJ141" s="111">
        <v>0</v>
      </c>
      <c r="AK141" s="112">
        <v>0</v>
      </c>
      <c r="AL141" s="111">
        <v>0</v>
      </c>
      <c r="AM141" s="112">
        <v>0</v>
      </c>
      <c r="AN141" s="111">
        <v>0</v>
      </c>
      <c r="AO141" s="112">
        <v>0</v>
      </c>
      <c r="AP141" s="111">
        <v>0</v>
      </c>
    </row>
    <row r="142" spans="1:42" ht="15">
      <c r="A142" s="65" t="s">
        <v>336</v>
      </c>
      <c r="B142" s="65" t="s">
        <v>828</v>
      </c>
      <c r="C142" s="66" t="s">
        <v>4651</v>
      </c>
      <c r="D142" s="67">
        <v>3</v>
      </c>
      <c r="E142" s="68"/>
      <c r="F142" s="69">
        <v>40</v>
      </c>
      <c r="G142" s="66"/>
      <c r="H142" s="70"/>
      <c r="I142" s="71"/>
      <c r="J142" s="71"/>
      <c r="K142" s="35" t="s">
        <v>65</v>
      </c>
      <c r="L142" s="79">
        <v>142</v>
      </c>
      <c r="M142" s="79"/>
      <c r="N142" s="73"/>
      <c r="O142" s="81" t="s">
        <v>844</v>
      </c>
      <c r="P142" s="81" t="s">
        <v>199</v>
      </c>
      <c r="Q142" s="84" t="s">
        <v>936</v>
      </c>
      <c r="R142" s="81" t="s">
        <v>336</v>
      </c>
      <c r="S142" s="81" t="s">
        <v>1695</v>
      </c>
      <c r="T142" s="86" t="str">
        <f>HYPERLINK("http://www.youtube.com/channel/UCnq6GOWcAMgieiQL0GoPhPA")</f>
        <v>http://www.youtube.com/channel/UCnq6GOWcAMgieiQL0GoPhPA</v>
      </c>
      <c r="U142" s="81"/>
      <c r="V142" s="81" t="s">
        <v>2310</v>
      </c>
      <c r="W142" s="86" t="str">
        <f>HYPERLINK("https://www.youtube.com/watch?v=LBkXQ_mBO3Q")</f>
        <v>https://www.youtube.com/watch?v=LBkXQ_mBO3Q</v>
      </c>
      <c r="X142" s="81" t="s">
        <v>2349</v>
      </c>
      <c r="Y142" s="81">
        <v>0</v>
      </c>
      <c r="Z142" s="88">
        <v>44298.23782407407</v>
      </c>
      <c r="AA142" s="88">
        <v>44298.23782407407</v>
      </c>
      <c r="AB142" s="81"/>
      <c r="AC142" s="81"/>
      <c r="AD142" s="84" t="s">
        <v>2390</v>
      </c>
      <c r="AE142" s="82">
        <v>1</v>
      </c>
      <c r="AF142" s="83" t="str">
        <f>REPLACE(INDEX(GroupVertices[Group],MATCH(Edges[[#This Row],[Vertex 1]],GroupVertices[Vertex],0)),1,1,"")</f>
        <v>3</v>
      </c>
      <c r="AG142" s="83" t="str">
        <f>REPLACE(INDEX(GroupVertices[Group],MATCH(Edges[[#This Row],[Vertex 2]],GroupVertices[Vertex],0)),1,1,"")</f>
        <v>3</v>
      </c>
      <c r="AH142" s="111">
        <v>0</v>
      </c>
      <c r="AI142" s="112">
        <v>0</v>
      </c>
      <c r="AJ142" s="111">
        <v>0</v>
      </c>
      <c r="AK142" s="112">
        <v>0</v>
      </c>
      <c r="AL142" s="111">
        <v>0</v>
      </c>
      <c r="AM142" s="112">
        <v>0</v>
      </c>
      <c r="AN142" s="111">
        <v>1</v>
      </c>
      <c r="AO142" s="112">
        <v>100</v>
      </c>
      <c r="AP142" s="111">
        <v>1</v>
      </c>
    </row>
    <row r="143" spans="1:42" ht="15">
      <c r="A143" s="65" t="s">
        <v>337</v>
      </c>
      <c r="B143" s="65" t="s">
        <v>828</v>
      </c>
      <c r="C143" s="66" t="s">
        <v>4651</v>
      </c>
      <c r="D143" s="67">
        <v>3</v>
      </c>
      <c r="E143" s="68"/>
      <c r="F143" s="69">
        <v>40</v>
      </c>
      <c r="G143" s="66"/>
      <c r="H143" s="70"/>
      <c r="I143" s="71"/>
      <c r="J143" s="71"/>
      <c r="K143" s="35" t="s">
        <v>65</v>
      </c>
      <c r="L143" s="79">
        <v>143</v>
      </c>
      <c r="M143" s="79"/>
      <c r="N143" s="73"/>
      <c r="O143" s="81" t="s">
        <v>844</v>
      </c>
      <c r="P143" s="81" t="s">
        <v>199</v>
      </c>
      <c r="Q143" s="84" t="s">
        <v>982</v>
      </c>
      <c r="R143" s="81" t="s">
        <v>337</v>
      </c>
      <c r="S143" s="81" t="s">
        <v>1696</v>
      </c>
      <c r="T143" s="86" t="str">
        <f>HYPERLINK("http://www.youtube.com/channel/UCCh2ckjPJ7h0mTb7jsiqEtg")</f>
        <v>http://www.youtube.com/channel/UCCh2ckjPJ7h0mTb7jsiqEtg</v>
      </c>
      <c r="U143" s="81"/>
      <c r="V143" s="81" t="s">
        <v>2310</v>
      </c>
      <c r="W143" s="86" t="str">
        <f>HYPERLINK("https://www.youtube.com/watch?v=LBkXQ_mBO3Q")</f>
        <v>https://www.youtube.com/watch?v=LBkXQ_mBO3Q</v>
      </c>
      <c r="X143" s="81" t="s">
        <v>2349</v>
      </c>
      <c r="Y143" s="81">
        <v>1</v>
      </c>
      <c r="Z143" s="88">
        <v>44302.22119212963</v>
      </c>
      <c r="AA143" s="88">
        <v>44302.22119212963</v>
      </c>
      <c r="AB143" s="81"/>
      <c r="AC143" s="81"/>
      <c r="AD143" s="84" t="s">
        <v>2390</v>
      </c>
      <c r="AE143" s="82">
        <v>1</v>
      </c>
      <c r="AF143" s="83" t="str">
        <f>REPLACE(INDEX(GroupVertices[Group],MATCH(Edges[[#This Row],[Vertex 1]],GroupVertices[Vertex],0)),1,1,"")</f>
        <v>3</v>
      </c>
      <c r="AG143" s="83" t="str">
        <f>REPLACE(INDEX(GroupVertices[Group],MATCH(Edges[[#This Row],[Vertex 2]],GroupVertices[Vertex],0)),1,1,"")</f>
        <v>3</v>
      </c>
      <c r="AH143" s="111">
        <v>2</v>
      </c>
      <c r="AI143" s="112">
        <v>25</v>
      </c>
      <c r="AJ143" s="111">
        <v>0</v>
      </c>
      <c r="AK143" s="112">
        <v>0</v>
      </c>
      <c r="AL143" s="111">
        <v>0</v>
      </c>
      <c r="AM143" s="112">
        <v>0</v>
      </c>
      <c r="AN143" s="111">
        <v>6</v>
      </c>
      <c r="AO143" s="112">
        <v>75</v>
      </c>
      <c r="AP143" s="111">
        <v>8</v>
      </c>
    </row>
    <row r="144" spans="1:42" ht="15">
      <c r="A144" s="65" t="s">
        <v>338</v>
      </c>
      <c r="B144" s="65" t="s">
        <v>828</v>
      </c>
      <c r="C144" s="66" t="s">
        <v>4651</v>
      </c>
      <c r="D144" s="67">
        <v>3</v>
      </c>
      <c r="E144" s="68"/>
      <c r="F144" s="69">
        <v>40</v>
      </c>
      <c r="G144" s="66"/>
      <c r="H144" s="70"/>
      <c r="I144" s="71"/>
      <c r="J144" s="71"/>
      <c r="K144" s="35" t="s">
        <v>65</v>
      </c>
      <c r="L144" s="79">
        <v>144</v>
      </c>
      <c r="M144" s="79"/>
      <c r="N144" s="73"/>
      <c r="O144" s="81" t="s">
        <v>844</v>
      </c>
      <c r="P144" s="81" t="s">
        <v>199</v>
      </c>
      <c r="Q144" s="84" t="s">
        <v>983</v>
      </c>
      <c r="R144" s="81" t="s">
        <v>338</v>
      </c>
      <c r="S144" s="81" t="s">
        <v>1697</v>
      </c>
      <c r="T144" s="86" t="str">
        <f>HYPERLINK("http://www.youtube.com/channel/UCp8ZgTPmxFx3Byn4FrNseNw")</f>
        <v>http://www.youtube.com/channel/UCp8ZgTPmxFx3Byn4FrNseNw</v>
      </c>
      <c r="U144" s="81"/>
      <c r="V144" s="81" t="s">
        <v>2310</v>
      </c>
      <c r="W144" s="86" t="str">
        <f>HYPERLINK("https://www.youtube.com/watch?v=LBkXQ_mBO3Q")</f>
        <v>https://www.youtube.com/watch?v=LBkXQ_mBO3Q</v>
      </c>
      <c r="X144" s="81" t="s">
        <v>2349</v>
      </c>
      <c r="Y144" s="81">
        <v>0</v>
      </c>
      <c r="Z144" s="88">
        <v>44309.5249537037</v>
      </c>
      <c r="AA144" s="88">
        <v>44309.5249537037</v>
      </c>
      <c r="AB144" s="81"/>
      <c r="AC144" s="81"/>
      <c r="AD144" s="84" t="s">
        <v>2390</v>
      </c>
      <c r="AE144" s="82">
        <v>1</v>
      </c>
      <c r="AF144" s="83" t="str">
        <f>REPLACE(INDEX(GroupVertices[Group],MATCH(Edges[[#This Row],[Vertex 1]],GroupVertices[Vertex],0)),1,1,"")</f>
        <v>3</v>
      </c>
      <c r="AG144" s="83" t="str">
        <f>REPLACE(INDEX(GroupVertices[Group],MATCH(Edges[[#This Row],[Vertex 2]],GroupVertices[Vertex],0)),1,1,"")</f>
        <v>3</v>
      </c>
      <c r="AH144" s="111">
        <v>4</v>
      </c>
      <c r="AI144" s="112">
        <v>3.4482758620689653</v>
      </c>
      <c r="AJ144" s="111">
        <v>8</v>
      </c>
      <c r="AK144" s="112">
        <v>6.896551724137931</v>
      </c>
      <c r="AL144" s="111">
        <v>0</v>
      </c>
      <c r="AM144" s="112">
        <v>0</v>
      </c>
      <c r="AN144" s="111">
        <v>104</v>
      </c>
      <c r="AO144" s="112">
        <v>89.65517241379311</v>
      </c>
      <c r="AP144" s="111">
        <v>116</v>
      </c>
    </row>
    <row r="145" spans="1:42" ht="15">
      <c r="A145" s="65" t="s">
        <v>339</v>
      </c>
      <c r="B145" s="65" t="s">
        <v>828</v>
      </c>
      <c r="C145" s="66" t="s">
        <v>4651</v>
      </c>
      <c r="D145" s="67">
        <v>3</v>
      </c>
      <c r="E145" s="68"/>
      <c r="F145" s="69">
        <v>40</v>
      </c>
      <c r="G145" s="66"/>
      <c r="H145" s="70"/>
      <c r="I145" s="71"/>
      <c r="J145" s="71"/>
      <c r="K145" s="35" t="s">
        <v>65</v>
      </c>
      <c r="L145" s="79">
        <v>145</v>
      </c>
      <c r="M145" s="79"/>
      <c r="N145" s="73"/>
      <c r="O145" s="81" t="s">
        <v>844</v>
      </c>
      <c r="P145" s="81" t="s">
        <v>199</v>
      </c>
      <c r="Q145" s="84" t="s">
        <v>914</v>
      </c>
      <c r="R145" s="81" t="s">
        <v>339</v>
      </c>
      <c r="S145" s="81" t="s">
        <v>1698</v>
      </c>
      <c r="T145" s="86" t="str">
        <f>HYPERLINK("http://www.youtube.com/channel/UCje3PxipWZYavjpN0rQ6KIA")</f>
        <v>http://www.youtube.com/channel/UCje3PxipWZYavjpN0rQ6KIA</v>
      </c>
      <c r="U145" s="81"/>
      <c r="V145" s="81" t="s">
        <v>2310</v>
      </c>
      <c r="W145" s="86" t="str">
        <f>HYPERLINK("https://www.youtube.com/watch?v=LBkXQ_mBO3Q")</f>
        <v>https://www.youtube.com/watch?v=LBkXQ_mBO3Q</v>
      </c>
      <c r="X145" s="81" t="s">
        <v>2349</v>
      </c>
      <c r="Y145" s="81">
        <v>0</v>
      </c>
      <c r="Z145" s="88">
        <v>44312.719247685185</v>
      </c>
      <c r="AA145" s="88">
        <v>44312.719247685185</v>
      </c>
      <c r="AB145" s="81"/>
      <c r="AC145" s="81"/>
      <c r="AD145" s="84" t="s">
        <v>2390</v>
      </c>
      <c r="AE145" s="82">
        <v>1</v>
      </c>
      <c r="AF145" s="83" t="str">
        <f>REPLACE(INDEX(GroupVertices[Group],MATCH(Edges[[#This Row],[Vertex 1]],GroupVertices[Vertex],0)),1,1,"")</f>
        <v>3</v>
      </c>
      <c r="AG145" s="83" t="str">
        <f>REPLACE(INDEX(GroupVertices[Group],MATCH(Edges[[#This Row],[Vertex 2]],GroupVertices[Vertex],0)),1,1,"")</f>
        <v>3</v>
      </c>
      <c r="AH145" s="111">
        <v>0</v>
      </c>
      <c r="AI145" s="112">
        <v>0</v>
      </c>
      <c r="AJ145" s="111">
        <v>0</v>
      </c>
      <c r="AK145" s="112">
        <v>0</v>
      </c>
      <c r="AL145" s="111">
        <v>0</v>
      </c>
      <c r="AM145" s="112">
        <v>0</v>
      </c>
      <c r="AN145" s="111">
        <v>1</v>
      </c>
      <c r="AO145" s="112">
        <v>100</v>
      </c>
      <c r="AP145" s="111">
        <v>1</v>
      </c>
    </row>
    <row r="146" spans="1:42" ht="15">
      <c r="A146" s="65" t="s">
        <v>340</v>
      </c>
      <c r="B146" s="65" t="s">
        <v>828</v>
      </c>
      <c r="C146" s="66" t="s">
        <v>4651</v>
      </c>
      <c r="D146" s="67">
        <v>3</v>
      </c>
      <c r="E146" s="68"/>
      <c r="F146" s="69">
        <v>40</v>
      </c>
      <c r="G146" s="66"/>
      <c r="H146" s="70"/>
      <c r="I146" s="71"/>
      <c r="J146" s="71"/>
      <c r="K146" s="35" t="s">
        <v>65</v>
      </c>
      <c r="L146" s="79">
        <v>146</v>
      </c>
      <c r="M146" s="79"/>
      <c r="N146" s="73"/>
      <c r="O146" s="81" t="s">
        <v>844</v>
      </c>
      <c r="P146" s="81" t="s">
        <v>199</v>
      </c>
      <c r="Q146" s="84" t="s">
        <v>984</v>
      </c>
      <c r="R146" s="81" t="s">
        <v>340</v>
      </c>
      <c r="S146" s="81" t="s">
        <v>1699</v>
      </c>
      <c r="T146" s="86" t="str">
        <f>HYPERLINK("http://www.youtube.com/channel/UCJ9K3iJG-Y9q1T1ob7boPWA")</f>
        <v>http://www.youtube.com/channel/UCJ9K3iJG-Y9q1T1ob7boPWA</v>
      </c>
      <c r="U146" s="81"/>
      <c r="V146" s="81" t="s">
        <v>2310</v>
      </c>
      <c r="W146" s="86" t="str">
        <f>HYPERLINK("https://www.youtube.com/watch?v=LBkXQ_mBO3Q")</f>
        <v>https://www.youtube.com/watch?v=LBkXQ_mBO3Q</v>
      </c>
      <c r="X146" s="81" t="s">
        <v>2349</v>
      </c>
      <c r="Y146" s="81">
        <v>0</v>
      </c>
      <c r="Z146" s="88">
        <v>44312.8016087963</v>
      </c>
      <c r="AA146" s="88">
        <v>44312.8016087963</v>
      </c>
      <c r="AB146" s="81"/>
      <c r="AC146" s="81"/>
      <c r="AD146" s="84" t="s">
        <v>2390</v>
      </c>
      <c r="AE146" s="82">
        <v>1</v>
      </c>
      <c r="AF146" s="83" t="str">
        <f>REPLACE(INDEX(GroupVertices[Group],MATCH(Edges[[#This Row],[Vertex 1]],GroupVertices[Vertex],0)),1,1,"")</f>
        <v>3</v>
      </c>
      <c r="AG146" s="83" t="str">
        <f>REPLACE(INDEX(GroupVertices[Group],MATCH(Edges[[#This Row],[Vertex 2]],GroupVertices[Vertex],0)),1,1,"")</f>
        <v>3</v>
      </c>
      <c r="AH146" s="111">
        <v>1</v>
      </c>
      <c r="AI146" s="112">
        <v>20</v>
      </c>
      <c r="AJ146" s="111">
        <v>0</v>
      </c>
      <c r="AK146" s="112">
        <v>0</v>
      </c>
      <c r="AL146" s="111">
        <v>0</v>
      </c>
      <c r="AM146" s="112">
        <v>0</v>
      </c>
      <c r="AN146" s="111">
        <v>4</v>
      </c>
      <c r="AO146" s="112">
        <v>80</v>
      </c>
      <c r="AP146" s="111">
        <v>5</v>
      </c>
    </row>
    <row r="147" spans="1:42" ht="15">
      <c r="A147" s="65" t="s">
        <v>341</v>
      </c>
      <c r="B147" s="65" t="s">
        <v>828</v>
      </c>
      <c r="C147" s="66" t="s">
        <v>4651</v>
      </c>
      <c r="D147" s="67">
        <v>3</v>
      </c>
      <c r="E147" s="68"/>
      <c r="F147" s="69">
        <v>40</v>
      </c>
      <c r="G147" s="66"/>
      <c r="H147" s="70"/>
      <c r="I147" s="71"/>
      <c r="J147" s="71"/>
      <c r="K147" s="35" t="s">
        <v>65</v>
      </c>
      <c r="L147" s="79">
        <v>147</v>
      </c>
      <c r="M147" s="79"/>
      <c r="N147" s="73"/>
      <c r="O147" s="81" t="s">
        <v>844</v>
      </c>
      <c r="P147" s="81" t="s">
        <v>199</v>
      </c>
      <c r="Q147" s="84" t="s">
        <v>985</v>
      </c>
      <c r="R147" s="81" t="s">
        <v>341</v>
      </c>
      <c r="S147" s="81" t="s">
        <v>1700</v>
      </c>
      <c r="T147" s="86" t="str">
        <f>HYPERLINK("http://www.youtube.com/channel/UCegghkfUlTirnZe1VpjgrrQ")</f>
        <v>http://www.youtube.com/channel/UCegghkfUlTirnZe1VpjgrrQ</v>
      </c>
      <c r="U147" s="81"/>
      <c r="V147" s="81" t="s">
        <v>2310</v>
      </c>
      <c r="W147" s="86" t="str">
        <f>HYPERLINK("https://www.youtube.com/watch?v=LBkXQ_mBO3Q")</f>
        <v>https://www.youtube.com/watch?v=LBkXQ_mBO3Q</v>
      </c>
      <c r="X147" s="81" t="s">
        <v>2349</v>
      </c>
      <c r="Y147" s="81">
        <v>0</v>
      </c>
      <c r="Z147" s="88">
        <v>44331.875127314815</v>
      </c>
      <c r="AA147" s="88">
        <v>44331.875127314815</v>
      </c>
      <c r="AB147" s="81"/>
      <c r="AC147" s="81"/>
      <c r="AD147" s="84" t="s">
        <v>2390</v>
      </c>
      <c r="AE147" s="82">
        <v>1</v>
      </c>
      <c r="AF147" s="83" t="str">
        <f>REPLACE(INDEX(GroupVertices[Group],MATCH(Edges[[#This Row],[Vertex 1]],GroupVertices[Vertex],0)),1,1,"")</f>
        <v>3</v>
      </c>
      <c r="AG147" s="83" t="str">
        <f>REPLACE(INDEX(GroupVertices[Group],MATCH(Edges[[#This Row],[Vertex 2]],GroupVertices[Vertex],0)),1,1,"")</f>
        <v>3</v>
      </c>
      <c r="AH147" s="111">
        <v>1</v>
      </c>
      <c r="AI147" s="112">
        <v>6.25</v>
      </c>
      <c r="AJ147" s="111">
        <v>0</v>
      </c>
      <c r="AK147" s="112">
        <v>0</v>
      </c>
      <c r="AL147" s="111">
        <v>0</v>
      </c>
      <c r="AM147" s="112">
        <v>0</v>
      </c>
      <c r="AN147" s="111">
        <v>15</v>
      </c>
      <c r="AO147" s="112">
        <v>93.75</v>
      </c>
      <c r="AP147" s="111">
        <v>16</v>
      </c>
    </row>
    <row r="148" spans="1:42" ht="15">
      <c r="A148" s="65" t="s">
        <v>342</v>
      </c>
      <c r="B148" s="65" t="s">
        <v>828</v>
      </c>
      <c r="C148" s="66" t="s">
        <v>4651</v>
      </c>
      <c r="D148" s="67">
        <v>3</v>
      </c>
      <c r="E148" s="68"/>
      <c r="F148" s="69">
        <v>40</v>
      </c>
      <c r="G148" s="66"/>
      <c r="H148" s="70"/>
      <c r="I148" s="71"/>
      <c r="J148" s="71"/>
      <c r="K148" s="35" t="s">
        <v>65</v>
      </c>
      <c r="L148" s="79">
        <v>148</v>
      </c>
      <c r="M148" s="79"/>
      <c r="N148" s="73"/>
      <c r="O148" s="81" t="s">
        <v>844</v>
      </c>
      <c r="P148" s="81" t="s">
        <v>199</v>
      </c>
      <c r="Q148" s="84" t="s">
        <v>986</v>
      </c>
      <c r="R148" s="81" t="s">
        <v>342</v>
      </c>
      <c r="S148" s="81" t="s">
        <v>1701</v>
      </c>
      <c r="T148" s="86" t="str">
        <f>HYPERLINK("http://www.youtube.com/channel/UCFxc9HtSJfGsoM343LVWIYw")</f>
        <v>http://www.youtube.com/channel/UCFxc9HtSJfGsoM343LVWIYw</v>
      </c>
      <c r="U148" s="81"/>
      <c r="V148" s="81" t="s">
        <v>2310</v>
      </c>
      <c r="W148" s="86" t="str">
        <f>HYPERLINK("https://www.youtube.com/watch?v=LBkXQ_mBO3Q")</f>
        <v>https://www.youtube.com/watch?v=LBkXQ_mBO3Q</v>
      </c>
      <c r="X148" s="81" t="s">
        <v>2349</v>
      </c>
      <c r="Y148" s="81">
        <v>0</v>
      </c>
      <c r="Z148" s="88">
        <v>44333.68298611111</v>
      </c>
      <c r="AA148" s="88">
        <v>44333.68298611111</v>
      </c>
      <c r="AB148" s="81" t="s">
        <v>2357</v>
      </c>
      <c r="AC148" s="81" t="s">
        <v>2382</v>
      </c>
      <c r="AD148" s="84" t="s">
        <v>2390</v>
      </c>
      <c r="AE148" s="82">
        <v>1</v>
      </c>
      <c r="AF148" s="83" t="str">
        <f>REPLACE(INDEX(GroupVertices[Group],MATCH(Edges[[#This Row],[Vertex 1]],GroupVertices[Vertex],0)),1,1,"")</f>
        <v>3</v>
      </c>
      <c r="AG148" s="83" t="str">
        <f>REPLACE(INDEX(GroupVertices[Group],MATCH(Edges[[#This Row],[Vertex 2]],GroupVertices[Vertex],0)),1,1,"")</f>
        <v>3</v>
      </c>
      <c r="AH148" s="111">
        <v>7</v>
      </c>
      <c r="AI148" s="112">
        <v>6.481481481481482</v>
      </c>
      <c r="AJ148" s="111">
        <v>1</v>
      </c>
      <c r="AK148" s="112">
        <v>0.9259259259259259</v>
      </c>
      <c r="AL148" s="111">
        <v>0</v>
      </c>
      <c r="AM148" s="112">
        <v>0</v>
      </c>
      <c r="AN148" s="111">
        <v>100</v>
      </c>
      <c r="AO148" s="112">
        <v>92.5925925925926</v>
      </c>
      <c r="AP148" s="111">
        <v>108</v>
      </c>
    </row>
    <row r="149" spans="1:42" ht="15">
      <c r="A149" s="65" t="s">
        <v>343</v>
      </c>
      <c r="B149" s="65" t="s">
        <v>828</v>
      </c>
      <c r="C149" s="66" t="s">
        <v>4651</v>
      </c>
      <c r="D149" s="67">
        <v>3</v>
      </c>
      <c r="E149" s="68"/>
      <c r="F149" s="69">
        <v>40</v>
      </c>
      <c r="G149" s="66"/>
      <c r="H149" s="70"/>
      <c r="I149" s="71"/>
      <c r="J149" s="71"/>
      <c r="K149" s="35" t="s">
        <v>65</v>
      </c>
      <c r="L149" s="79">
        <v>149</v>
      </c>
      <c r="M149" s="79"/>
      <c r="N149" s="73"/>
      <c r="O149" s="81" t="s">
        <v>844</v>
      </c>
      <c r="P149" s="81" t="s">
        <v>199</v>
      </c>
      <c r="Q149" s="84" t="s">
        <v>987</v>
      </c>
      <c r="R149" s="81" t="s">
        <v>343</v>
      </c>
      <c r="S149" s="81" t="s">
        <v>1702</v>
      </c>
      <c r="T149" s="86" t="str">
        <f>HYPERLINK("http://www.youtube.com/channel/UCMy1HbkjoOgpHJYtdMENr_w")</f>
        <v>http://www.youtube.com/channel/UCMy1HbkjoOgpHJYtdMENr_w</v>
      </c>
      <c r="U149" s="81"/>
      <c r="V149" s="81" t="s">
        <v>2310</v>
      </c>
      <c r="W149" s="86" t="str">
        <f>HYPERLINK("https://www.youtube.com/watch?v=LBkXQ_mBO3Q")</f>
        <v>https://www.youtube.com/watch?v=LBkXQ_mBO3Q</v>
      </c>
      <c r="X149" s="81" t="s">
        <v>2349</v>
      </c>
      <c r="Y149" s="81">
        <v>0</v>
      </c>
      <c r="Z149" s="88">
        <v>44336.688125</v>
      </c>
      <c r="AA149" s="88">
        <v>44336.688125</v>
      </c>
      <c r="AB149" s="81"/>
      <c r="AC149" s="81"/>
      <c r="AD149" s="84" t="s">
        <v>2390</v>
      </c>
      <c r="AE149" s="82">
        <v>1</v>
      </c>
      <c r="AF149" s="83" t="str">
        <f>REPLACE(INDEX(GroupVertices[Group],MATCH(Edges[[#This Row],[Vertex 1]],GroupVertices[Vertex],0)),1,1,"")</f>
        <v>3</v>
      </c>
      <c r="AG149" s="83" t="str">
        <f>REPLACE(INDEX(GroupVertices[Group],MATCH(Edges[[#This Row],[Vertex 2]],GroupVertices[Vertex],0)),1,1,"")</f>
        <v>3</v>
      </c>
      <c r="AH149" s="111">
        <v>1</v>
      </c>
      <c r="AI149" s="112">
        <v>6.25</v>
      </c>
      <c r="AJ149" s="111">
        <v>1</v>
      </c>
      <c r="AK149" s="112">
        <v>6.25</v>
      </c>
      <c r="AL149" s="111">
        <v>0</v>
      </c>
      <c r="AM149" s="112">
        <v>0</v>
      </c>
      <c r="AN149" s="111">
        <v>14</v>
      </c>
      <c r="AO149" s="112">
        <v>87.5</v>
      </c>
      <c r="AP149" s="111">
        <v>16</v>
      </c>
    </row>
    <row r="150" spans="1:42" ht="15">
      <c r="A150" s="65" t="s">
        <v>344</v>
      </c>
      <c r="B150" s="65" t="s">
        <v>347</v>
      </c>
      <c r="C150" s="66" t="s">
        <v>4651</v>
      </c>
      <c r="D150" s="67">
        <v>3</v>
      </c>
      <c r="E150" s="68"/>
      <c r="F150" s="69">
        <v>40</v>
      </c>
      <c r="G150" s="66"/>
      <c r="H150" s="70"/>
      <c r="I150" s="71"/>
      <c r="J150" s="71"/>
      <c r="K150" s="35" t="s">
        <v>65</v>
      </c>
      <c r="L150" s="79">
        <v>150</v>
      </c>
      <c r="M150" s="79"/>
      <c r="N150" s="73"/>
      <c r="O150" s="81" t="s">
        <v>845</v>
      </c>
      <c r="P150" s="81" t="s">
        <v>847</v>
      </c>
      <c r="Q150" s="84" t="s">
        <v>988</v>
      </c>
      <c r="R150" s="81" t="s">
        <v>344</v>
      </c>
      <c r="S150" s="81" t="s">
        <v>1703</v>
      </c>
      <c r="T150" s="86" t="str">
        <f>HYPERLINK("http://www.youtube.com/channel/UC87q_c5ZLiL--c2y5ecFsXQ")</f>
        <v>http://www.youtube.com/channel/UC87q_c5ZLiL--c2y5ecFsXQ</v>
      </c>
      <c r="U150" s="81" t="s">
        <v>2199</v>
      </c>
      <c r="V150" s="81" t="s">
        <v>2311</v>
      </c>
      <c r="W150" s="86" t="str">
        <f>HYPERLINK("https://www.youtube.com/watch?v=iy-47a68P60")</f>
        <v>https://www.youtube.com/watch?v=iy-47a68P60</v>
      </c>
      <c r="X150" s="81" t="s">
        <v>2349</v>
      </c>
      <c r="Y150" s="81">
        <v>1</v>
      </c>
      <c r="Z150" s="88">
        <v>44018.731574074074</v>
      </c>
      <c r="AA150" s="88">
        <v>44018.731574074074</v>
      </c>
      <c r="AB150" s="81"/>
      <c r="AC150" s="81"/>
      <c r="AD150" s="84" t="s">
        <v>2390</v>
      </c>
      <c r="AE150" s="82">
        <v>1</v>
      </c>
      <c r="AF150" s="83" t="str">
        <f>REPLACE(INDEX(GroupVertices[Group],MATCH(Edges[[#This Row],[Vertex 1]],GroupVertices[Vertex],0)),1,1,"")</f>
        <v>8</v>
      </c>
      <c r="AG150" s="83" t="str">
        <f>REPLACE(INDEX(GroupVertices[Group],MATCH(Edges[[#This Row],[Vertex 2]],GroupVertices[Vertex],0)),1,1,"")</f>
        <v>8</v>
      </c>
      <c r="AH150" s="111">
        <v>0</v>
      </c>
      <c r="AI150" s="112">
        <v>0</v>
      </c>
      <c r="AJ150" s="111">
        <v>0</v>
      </c>
      <c r="AK150" s="112">
        <v>0</v>
      </c>
      <c r="AL150" s="111">
        <v>0</v>
      </c>
      <c r="AM150" s="112">
        <v>0</v>
      </c>
      <c r="AN150" s="111">
        <v>9</v>
      </c>
      <c r="AO150" s="112">
        <v>100</v>
      </c>
      <c r="AP150" s="111">
        <v>9</v>
      </c>
    </row>
    <row r="151" spans="1:42" ht="15">
      <c r="A151" s="65" t="s">
        <v>345</v>
      </c>
      <c r="B151" s="65" t="s">
        <v>347</v>
      </c>
      <c r="C151" s="66" t="s">
        <v>4651</v>
      </c>
      <c r="D151" s="67">
        <v>3</v>
      </c>
      <c r="E151" s="68"/>
      <c r="F151" s="69">
        <v>40</v>
      </c>
      <c r="G151" s="66"/>
      <c r="H151" s="70"/>
      <c r="I151" s="71"/>
      <c r="J151" s="71"/>
      <c r="K151" s="35" t="s">
        <v>66</v>
      </c>
      <c r="L151" s="79">
        <v>151</v>
      </c>
      <c r="M151" s="79"/>
      <c r="N151" s="73"/>
      <c r="O151" s="81" t="s">
        <v>845</v>
      </c>
      <c r="P151" s="81" t="s">
        <v>847</v>
      </c>
      <c r="Q151" s="84" t="s">
        <v>989</v>
      </c>
      <c r="R151" s="81" t="s">
        <v>345</v>
      </c>
      <c r="S151" s="81" t="s">
        <v>1704</v>
      </c>
      <c r="T151" s="86" t="str">
        <f>HYPERLINK("http://www.youtube.com/channel/UCaGEe4KXZrjou9kQx6ezG2w")</f>
        <v>http://www.youtube.com/channel/UCaGEe4KXZrjou9kQx6ezG2w</v>
      </c>
      <c r="U151" s="81" t="s">
        <v>2199</v>
      </c>
      <c r="V151" s="81" t="s">
        <v>2311</v>
      </c>
      <c r="W151" s="86" t="str">
        <f>HYPERLINK("https://www.youtube.com/watch?v=iy-47a68P60")</f>
        <v>https://www.youtube.com/watch?v=iy-47a68P60</v>
      </c>
      <c r="X151" s="81" t="s">
        <v>2349</v>
      </c>
      <c r="Y151" s="81">
        <v>5</v>
      </c>
      <c r="Z151" s="88">
        <v>43780.4969212963</v>
      </c>
      <c r="AA151" s="88">
        <v>43780.4969212963</v>
      </c>
      <c r="AB151" s="81"/>
      <c r="AC151" s="81"/>
      <c r="AD151" s="84" t="s">
        <v>2390</v>
      </c>
      <c r="AE151" s="82">
        <v>1</v>
      </c>
      <c r="AF151" s="83" t="str">
        <f>REPLACE(INDEX(GroupVertices[Group],MATCH(Edges[[#This Row],[Vertex 1]],GroupVertices[Vertex],0)),1,1,"")</f>
        <v>8</v>
      </c>
      <c r="AG151" s="83" t="str">
        <f>REPLACE(INDEX(GroupVertices[Group],MATCH(Edges[[#This Row],[Vertex 2]],GroupVertices[Vertex],0)),1,1,"")</f>
        <v>8</v>
      </c>
      <c r="AH151" s="111">
        <v>5</v>
      </c>
      <c r="AI151" s="112">
        <v>15.625</v>
      </c>
      <c r="AJ151" s="111">
        <v>0</v>
      </c>
      <c r="AK151" s="112">
        <v>0</v>
      </c>
      <c r="AL151" s="111">
        <v>0</v>
      </c>
      <c r="AM151" s="112">
        <v>0</v>
      </c>
      <c r="AN151" s="111">
        <v>27</v>
      </c>
      <c r="AO151" s="112">
        <v>84.375</v>
      </c>
      <c r="AP151" s="111">
        <v>32</v>
      </c>
    </row>
    <row r="152" spans="1:42" ht="15">
      <c r="A152" s="65" t="s">
        <v>346</v>
      </c>
      <c r="B152" s="65" t="s">
        <v>347</v>
      </c>
      <c r="C152" s="66" t="s">
        <v>4651</v>
      </c>
      <c r="D152" s="67">
        <v>3</v>
      </c>
      <c r="E152" s="68"/>
      <c r="F152" s="69">
        <v>40</v>
      </c>
      <c r="G152" s="66"/>
      <c r="H152" s="70"/>
      <c r="I152" s="71"/>
      <c r="J152" s="71"/>
      <c r="K152" s="35" t="s">
        <v>65</v>
      </c>
      <c r="L152" s="79">
        <v>152</v>
      </c>
      <c r="M152" s="79"/>
      <c r="N152" s="73"/>
      <c r="O152" s="81" t="s">
        <v>845</v>
      </c>
      <c r="P152" s="81" t="s">
        <v>847</v>
      </c>
      <c r="Q152" s="84" t="s">
        <v>990</v>
      </c>
      <c r="R152" s="81" t="s">
        <v>346</v>
      </c>
      <c r="S152" s="81" t="s">
        <v>1705</v>
      </c>
      <c r="T152" s="86" t="str">
        <f>HYPERLINK("http://www.youtube.com/channel/UC6fFQW6FPEYzN3hpzQ2Aa1A")</f>
        <v>http://www.youtube.com/channel/UC6fFQW6FPEYzN3hpzQ2Aa1A</v>
      </c>
      <c r="U152" s="81" t="s">
        <v>2199</v>
      </c>
      <c r="V152" s="81" t="s">
        <v>2311</v>
      </c>
      <c r="W152" s="86" t="str">
        <f>HYPERLINK("https://www.youtube.com/watch?v=iy-47a68P60")</f>
        <v>https://www.youtube.com/watch?v=iy-47a68P60</v>
      </c>
      <c r="X152" s="81" t="s">
        <v>2349</v>
      </c>
      <c r="Y152" s="81">
        <v>2</v>
      </c>
      <c r="Z152" s="88">
        <v>43992.2778125</v>
      </c>
      <c r="AA152" s="88">
        <v>43992.2778125</v>
      </c>
      <c r="AB152" s="81"/>
      <c r="AC152" s="81"/>
      <c r="AD152" s="84" t="s">
        <v>2390</v>
      </c>
      <c r="AE152" s="82">
        <v>1</v>
      </c>
      <c r="AF152" s="83" t="str">
        <f>REPLACE(INDEX(GroupVertices[Group],MATCH(Edges[[#This Row],[Vertex 1]],GroupVertices[Vertex],0)),1,1,"")</f>
        <v>8</v>
      </c>
      <c r="AG152" s="83" t="str">
        <f>REPLACE(INDEX(GroupVertices[Group],MATCH(Edges[[#This Row],[Vertex 2]],GroupVertices[Vertex],0)),1,1,"")</f>
        <v>8</v>
      </c>
      <c r="AH152" s="111">
        <v>0</v>
      </c>
      <c r="AI152" s="112">
        <v>0</v>
      </c>
      <c r="AJ152" s="111">
        <v>1</v>
      </c>
      <c r="AK152" s="112">
        <v>33.333333333333336</v>
      </c>
      <c r="AL152" s="111">
        <v>0</v>
      </c>
      <c r="AM152" s="112">
        <v>0</v>
      </c>
      <c r="AN152" s="111">
        <v>2</v>
      </c>
      <c r="AO152" s="112">
        <v>66.66666666666667</v>
      </c>
      <c r="AP152" s="111">
        <v>3</v>
      </c>
    </row>
    <row r="153" spans="1:42" ht="15">
      <c r="A153" s="65" t="s">
        <v>347</v>
      </c>
      <c r="B153" s="65" t="s">
        <v>345</v>
      </c>
      <c r="C153" s="66" t="s">
        <v>4651</v>
      </c>
      <c r="D153" s="67">
        <v>3</v>
      </c>
      <c r="E153" s="68"/>
      <c r="F153" s="69">
        <v>40</v>
      </c>
      <c r="G153" s="66"/>
      <c r="H153" s="70"/>
      <c r="I153" s="71"/>
      <c r="J153" s="71"/>
      <c r="K153" s="35" t="s">
        <v>66</v>
      </c>
      <c r="L153" s="79">
        <v>153</v>
      </c>
      <c r="M153" s="79"/>
      <c r="N153" s="73"/>
      <c r="O153" s="81" t="s">
        <v>844</v>
      </c>
      <c r="P153" s="81" t="s">
        <v>199</v>
      </c>
      <c r="Q153" s="84" t="s">
        <v>991</v>
      </c>
      <c r="R153" s="81" t="s">
        <v>347</v>
      </c>
      <c r="S153" s="81" t="s">
        <v>1706</v>
      </c>
      <c r="T153" s="86" t="str">
        <f>HYPERLINK("http://www.youtube.com/channel/UCJyxx3causzxZ0ia8ZrS7kw")</f>
        <v>http://www.youtube.com/channel/UCJyxx3causzxZ0ia8ZrS7kw</v>
      </c>
      <c r="U153" s="81"/>
      <c r="V153" s="81" t="s">
        <v>2311</v>
      </c>
      <c r="W153" s="86" t="str">
        <f>HYPERLINK("https://www.youtube.com/watch?v=iy-47a68P60")</f>
        <v>https://www.youtube.com/watch?v=iy-47a68P60</v>
      </c>
      <c r="X153" s="81" t="s">
        <v>2349</v>
      </c>
      <c r="Y153" s="81">
        <v>15</v>
      </c>
      <c r="Z153" s="88">
        <v>43779.837546296294</v>
      </c>
      <c r="AA153" s="88">
        <v>43779.837546296294</v>
      </c>
      <c r="AB153" s="81"/>
      <c r="AC153" s="81"/>
      <c r="AD153" s="84" t="s">
        <v>2390</v>
      </c>
      <c r="AE153" s="82">
        <v>1</v>
      </c>
      <c r="AF153" s="83" t="str">
        <f>REPLACE(INDEX(GroupVertices[Group],MATCH(Edges[[#This Row],[Vertex 1]],GroupVertices[Vertex],0)),1,1,"")</f>
        <v>8</v>
      </c>
      <c r="AG153" s="83" t="str">
        <f>REPLACE(INDEX(GroupVertices[Group],MATCH(Edges[[#This Row],[Vertex 2]],GroupVertices[Vertex],0)),1,1,"")</f>
        <v>8</v>
      </c>
      <c r="AH153" s="111">
        <v>0</v>
      </c>
      <c r="AI153" s="112">
        <v>0</v>
      </c>
      <c r="AJ153" s="111">
        <v>0</v>
      </c>
      <c r="AK153" s="112">
        <v>0</v>
      </c>
      <c r="AL153" s="111">
        <v>0</v>
      </c>
      <c r="AM153" s="112">
        <v>0</v>
      </c>
      <c r="AN153" s="111">
        <v>6</v>
      </c>
      <c r="AO153" s="112">
        <v>100</v>
      </c>
      <c r="AP153" s="111">
        <v>6</v>
      </c>
    </row>
    <row r="154" spans="1:42" ht="15">
      <c r="A154" s="65" t="s">
        <v>345</v>
      </c>
      <c r="B154" s="65" t="s">
        <v>348</v>
      </c>
      <c r="C154" s="66" t="s">
        <v>4651</v>
      </c>
      <c r="D154" s="67">
        <v>3</v>
      </c>
      <c r="E154" s="68"/>
      <c r="F154" s="69">
        <v>40</v>
      </c>
      <c r="G154" s="66"/>
      <c r="H154" s="70"/>
      <c r="I154" s="71"/>
      <c r="J154" s="71"/>
      <c r="K154" s="35" t="s">
        <v>66</v>
      </c>
      <c r="L154" s="79">
        <v>154</v>
      </c>
      <c r="M154" s="79"/>
      <c r="N154" s="73"/>
      <c r="O154" s="81" t="s">
        <v>845</v>
      </c>
      <c r="P154" s="81" t="s">
        <v>847</v>
      </c>
      <c r="Q154" s="84" t="s">
        <v>992</v>
      </c>
      <c r="R154" s="81" t="s">
        <v>345</v>
      </c>
      <c r="S154" s="81" t="s">
        <v>1704</v>
      </c>
      <c r="T154" s="86" t="str">
        <f>HYPERLINK("http://www.youtube.com/channel/UCaGEe4KXZrjou9kQx6ezG2w")</f>
        <v>http://www.youtube.com/channel/UCaGEe4KXZrjou9kQx6ezG2w</v>
      </c>
      <c r="U154" s="81" t="s">
        <v>2200</v>
      </c>
      <c r="V154" s="81" t="s">
        <v>2311</v>
      </c>
      <c r="W154" s="86" t="str">
        <f>HYPERLINK("https://www.youtube.com/watch?v=iy-47a68P60")</f>
        <v>https://www.youtube.com/watch?v=iy-47a68P60</v>
      </c>
      <c r="X154" s="81" t="s">
        <v>2349</v>
      </c>
      <c r="Y154" s="81">
        <v>5</v>
      </c>
      <c r="Z154" s="88">
        <v>43867.95532407407</v>
      </c>
      <c r="AA154" s="88">
        <v>43867.95532407407</v>
      </c>
      <c r="AB154" s="81"/>
      <c r="AC154" s="81"/>
      <c r="AD154" s="84" t="s">
        <v>2390</v>
      </c>
      <c r="AE154" s="82">
        <v>1</v>
      </c>
      <c r="AF154" s="83" t="str">
        <f>REPLACE(INDEX(GroupVertices[Group],MATCH(Edges[[#This Row],[Vertex 1]],GroupVertices[Vertex],0)),1,1,"")</f>
        <v>8</v>
      </c>
      <c r="AG154" s="83" t="str">
        <f>REPLACE(INDEX(GroupVertices[Group],MATCH(Edges[[#This Row],[Vertex 2]],GroupVertices[Vertex],0)),1,1,"")</f>
        <v>8</v>
      </c>
      <c r="AH154" s="111">
        <v>1</v>
      </c>
      <c r="AI154" s="112">
        <v>16.666666666666668</v>
      </c>
      <c r="AJ154" s="111">
        <v>0</v>
      </c>
      <c r="AK154" s="112">
        <v>0</v>
      </c>
      <c r="AL154" s="111">
        <v>0</v>
      </c>
      <c r="AM154" s="112">
        <v>0</v>
      </c>
      <c r="AN154" s="111">
        <v>5</v>
      </c>
      <c r="AO154" s="112">
        <v>83.33333333333333</v>
      </c>
      <c r="AP154" s="111">
        <v>6</v>
      </c>
    </row>
    <row r="155" spans="1:42" ht="15">
      <c r="A155" s="65" t="s">
        <v>348</v>
      </c>
      <c r="B155" s="65" t="s">
        <v>345</v>
      </c>
      <c r="C155" s="66" t="s">
        <v>4651</v>
      </c>
      <c r="D155" s="67">
        <v>3</v>
      </c>
      <c r="E155" s="68"/>
      <c r="F155" s="69">
        <v>40</v>
      </c>
      <c r="G155" s="66"/>
      <c r="H155" s="70"/>
      <c r="I155" s="71"/>
      <c r="J155" s="71"/>
      <c r="K155" s="35" t="s">
        <v>66</v>
      </c>
      <c r="L155" s="79">
        <v>155</v>
      </c>
      <c r="M155" s="79"/>
      <c r="N155" s="73"/>
      <c r="O155" s="81" t="s">
        <v>844</v>
      </c>
      <c r="P155" s="81" t="s">
        <v>199</v>
      </c>
      <c r="Q155" s="84" t="s">
        <v>993</v>
      </c>
      <c r="R155" s="81" t="s">
        <v>348</v>
      </c>
      <c r="S155" s="81" t="s">
        <v>1707</v>
      </c>
      <c r="T155" s="86" t="str">
        <f>HYPERLINK("http://www.youtube.com/channel/UCTiTw_hbT1GeA4lqCvmVYOw")</f>
        <v>http://www.youtube.com/channel/UCTiTw_hbT1GeA4lqCvmVYOw</v>
      </c>
      <c r="U155" s="81"/>
      <c r="V155" s="81" t="s">
        <v>2311</v>
      </c>
      <c r="W155" s="86" t="str">
        <f>HYPERLINK("https://www.youtube.com/watch?v=iy-47a68P60")</f>
        <v>https://www.youtube.com/watch?v=iy-47a68P60</v>
      </c>
      <c r="X155" s="81" t="s">
        <v>2349</v>
      </c>
      <c r="Y155" s="81">
        <v>14</v>
      </c>
      <c r="Z155" s="88">
        <v>43867.36739583333</v>
      </c>
      <c r="AA155" s="88">
        <v>43867.36739583333</v>
      </c>
      <c r="AB155" s="81"/>
      <c r="AC155" s="81"/>
      <c r="AD155" s="84" t="s">
        <v>2390</v>
      </c>
      <c r="AE155" s="82">
        <v>1</v>
      </c>
      <c r="AF155" s="83" t="str">
        <f>REPLACE(INDEX(GroupVertices[Group],MATCH(Edges[[#This Row],[Vertex 1]],GroupVertices[Vertex],0)),1,1,"")</f>
        <v>8</v>
      </c>
      <c r="AG155" s="83" t="str">
        <f>REPLACE(INDEX(GroupVertices[Group],MATCH(Edges[[#This Row],[Vertex 2]],GroupVertices[Vertex],0)),1,1,"")</f>
        <v>8</v>
      </c>
      <c r="AH155" s="111">
        <v>1</v>
      </c>
      <c r="AI155" s="112">
        <v>20</v>
      </c>
      <c r="AJ155" s="111">
        <v>0</v>
      </c>
      <c r="AK155" s="112">
        <v>0</v>
      </c>
      <c r="AL155" s="111">
        <v>0</v>
      </c>
      <c r="AM155" s="112">
        <v>0</v>
      </c>
      <c r="AN155" s="111">
        <v>4</v>
      </c>
      <c r="AO155" s="112">
        <v>80</v>
      </c>
      <c r="AP155" s="111">
        <v>5</v>
      </c>
    </row>
    <row r="156" spans="1:42" ht="15">
      <c r="A156" s="65" t="s">
        <v>349</v>
      </c>
      <c r="B156" s="65" t="s">
        <v>350</v>
      </c>
      <c r="C156" s="66" t="s">
        <v>4651</v>
      </c>
      <c r="D156" s="67">
        <v>3</v>
      </c>
      <c r="E156" s="68"/>
      <c r="F156" s="69">
        <v>40</v>
      </c>
      <c r="G156" s="66"/>
      <c r="H156" s="70"/>
      <c r="I156" s="71"/>
      <c r="J156" s="71"/>
      <c r="K156" s="35" t="s">
        <v>65</v>
      </c>
      <c r="L156" s="79">
        <v>156</v>
      </c>
      <c r="M156" s="79"/>
      <c r="N156" s="73"/>
      <c r="O156" s="81" t="s">
        <v>845</v>
      </c>
      <c r="P156" s="81" t="s">
        <v>847</v>
      </c>
      <c r="Q156" s="84" t="s">
        <v>994</v>
      </c>
      <c r="R156" s="81" t="s">
        <v>349</v>
      </c>
      <c r="S156" s="81" t="s">
        <v>1708</v>
      </c>
      <c r="T156" s="86" t="str">
        <f>HYPERLINK("http://www.youtube.com/channel/UChTFk9B9ufIln_tsgG1wdvg")</f>
        <v>http://www.youtube.com/channel/UChTFk9B9ufIln_tsgG1wdvg</v>
      </c>
      <c r="U156" s="81" t="s">
        <v>2201</v>
      </c>
      <c r="V156" s="81" t="s">
        <v>2311</v>
      </c>
      <c r="W156" s="86" t="str">
        <f>HYPERLINK("https://www.youtube.com/watch?v=iy-47a68P60")</f>
        <v>https://www.youtube.com/watch?v=iy-47a68P60</v>
      </c>
      <c r="X156" s="81" t="s">
        <v>2349</v>
      </c>
      <c r="Y156" s="81">
        <v>0</v>
      </c>
      <c r="Z156" s="88">
        <v>44134.73881944444</v>
      </c>
      <c r="AA156" s="88">
        <v>44134.73881944444</v>
      </c>
      <c r="AB156" s="81"/>
      <c r="AC156" s="81"/>
      <c r="AD156" s="84" t="s">
        <v>2390</v>
      </c>
      <c r="AE156" s="82">
        <v>1</v>
      </c>
      <c r="AF156" s="83" t="str">
        <f>REPLACE(INDEX(GroupVertices[Group],MATCH(Edges[[#This Row],[Vertex 1]],GroupVertices[Vertex],0)),1,1,"")</f>
        <v>8</v>
      </c>
      <c r="AG156" s="83" t="str">
        <f>REPLACE(INDEX(GroupVertices[Group],MATCH(Edges[[#This Row],[Vertex 2]],GroupVertices[Vertex],0)),1,1,"")</f>
        <v>8</v>
      </c>
      <c r="AH156" s="111">
        <v>0</v>
      </c>
      <c r="AI156" s="112">
        <v>0</v>
      </c>
      <c r="AJ156" s="111">
        <v>0</v>
      </c>
      <c r="AK156" s="112">
        <v>0</v>
      </c>
      <c r="AL156" s="111">
        <v>0</v>
      </c>
      <c r="AM156" s="112">
        <v>0</v>
      </c>
      <c r="AN156" s="111">
        <v>6</v>
      </c>
      <c r="AO156" s="112">
        <v>100</v>
      </c>
      <c r="AP156" s="111">
        <v>6</v>
      </c>
    </row>
    <row r="157" spans="1:42" ht="15">
      <c r="A157" s="65" t="s">
        <v>350</v>
      </c>
      <c r="B157" s="65" t="s">
        <v>345</v>
      </c>
      <c r="C157" s="66" t="s">
        <v>4651</v>
      </c>
      <c r="D157" s="67">
        <v>3</v>
      </c>
      <c r="E157" s="68"/>
      <c r="F157" s="69">
        <v>40</v>
      </c>
      <c r="G157" s="66"/>
      <c r="H157" s="70"/>
      <c r="I157" s="71"/>
      <c r="J157" s="71"/>
      <c r="K157" s="35" t="s">
        <v>65</v>
      </c>
      <c r="L157" s="79">
        <v>157</v>
      </c>
      <c r="M157" s="79"/>
      <c r="N157" s="73"/>
      <c r="O157" s="81" t="s">
        <v>844</v>
      </c>
      <c r="P157" s="81" t="s">
        <v>199</v>
      </c>
      <c r="Q157" s="84" t="s">
        <v>995</v>
      </c>
      <c r="R157" s="81" t="s">
        <v>350</v>
      </c>
      <c r="S157" s="81" t="s">
        <v>1709</v>
      </c>
      <c r="T157" s="86" t="str">
        <f>HYPERLINK("http://www.youtube.com/channel/UC5SyxPuKWP1YO_ArRAYulCA")</f>
        <v>http://www.youtube.com/channel/UC5SyxPuKWP1YO_ArRAYulCA</v>
      </c>
      <c r="U157" s="81"/>
      <c r="V157" s="81" t="s">
        <v>2311</v>
      </c>
      <c r="W157" s="86" t="str">
        <f>HYPERLINK("https://www.youtube.com/watch?v=iy-47a68P60")</f>
        <v>https://www.youtube.com/watch?v=iy-47a68P60</v>
      </c>
      <c r="X157" s="81" t="s">
        <v>2349</v>
      </c>
      <c r="Y157" s="81">
        <v>9</v>
      </c>
      <c r="Z157" s="88">
        <v>43965.470659722225</v>
      </c>
      <c r="AA157" s="88">
        <v>43965.470659722225</v>
      </c>
      <c r="AB157" s="81"/>
      <c r="AC157" s="81"/>
      <c r="AD157" s="84" t="s">
        <v>2390</v>
      </c>
      <c r="AE157" s="82">
        <v>1</v>
      </c>
      <c r="AF157" s="83" t="str">
        <f>REPLACE(INDEX(GroupVertices[Group],MATCH(Edges[[#This Row],[Vertex 1]],GroupVertices[Vertex],0)),1,1,"")</f>
        <v>8</v>
      </c>
      <c r="AG157" s="83" t="str">
        <f>REPLACE(INDEX(GroupVertices[Group],MATCH(Edges[[#This Row],[Vertex 2]],GroupVertices[Vertex],0)),1,1,"")</f>
        <v>8</v>
      </c>
      <c r="AH157" s="111">
        <v>1</v>
      </c>
      <c r="AI157" s="112">
        <v>14.285714285714286</v>
      </c>
      <c r="AJ157" s="111">
        <v>0</v>
      </c>
      <c r="AK157" s="112">
        <v>0</v>
      </c>
      <c r="AL157" s="111">
        <v>0</v>
      </c>
      <c r="AM157" s="112">
        <v>0</v>
      </c>
      <c r="AN157" s="111">
        <v>6</v>
      </c>
      <c r="AO157" s="112">
        <v>85.71428571428571</v>
      </c>
      <c r="AP157" s="111">
        <v>7</v>
      </c>
    </row>
    <row r="158" spans="1:42" ht="15">
      <c r="A158" s="65" t="s">
        <v>351</v>
      </c>
      <c r="B158" s="65" t="s">
        <v>345</v>
      </c>
      <c r="C158" s="66" t="s">
        <v>4651</v>
      </c>
      <c r="D158" s="67">
        <v>3</v>
      </c>
      <c r="E158" s="68"/>
      <c r="F158" s="69">
        <v>40</v>
      </c>
      <c r="G158" s="66"/>
      <c r="H158" s="70"/>
      <c r="I158" s="71"/>
      <c r="J158" s="71"/>
      <c r="K158" s="35" t="s">
        <v>65</v>
      </c>
      <c r="L158" s="79">
        <v>158</v>
      </c>
      <c r="M158" s="79"/>
      <c r="N158" s="73"/>
      <c r="O158" s="81" t="s">
        <v>844</v>
      </c>
      <c r="P158" s="81" t="s">
        <v>199</v>
      </c>
      <c r="Q158" s="84" t="s">
        <v>996</v>
      </c>
      <c r="R158" s="81" t="s">
        <v>351</v>
      </c>
      <c r="S158" s="81" t="s">
        <v>1710</v>
      </c>
      <c r="T158" s="86" t="str">
        <f>HYPERLINK("http://www.youtube.com/channel/UCt87IY3pyScZ-Rt-qhc7l-w")</f>
        <v>http://www.youtube.com/channel/UCt87IY3pyScZ-Rt-qhc7l-w</v>
      </c>
      <c r="U158" s="81"/>
      <c r="V158" s="81" t="s">
        <v>2311</v>
      </c>
      <c r="W158" s="86" t="str">
        <f>HYPERLINK("https://www.youtube.com/watch?v=iy-47a68P60")</f>
        <v>https://www.youtube.com/watch?v=iy-47a68P60</v>
      </c>
      <c r="X158" s="81" t="s">
        <v>2349</v>
      </c>
      <c r="Y158" s="81">
        <v>3</v>
      </c>
      <c r="Z158" s="88">
        <v>43992.26917824074</v>
      </c>
      <c r="AA158" s="88">
        <v>43992.26917824074</v>
      </c>
      <c r="AB158" s="81"/>
      <c r="AC158" s="81"/>
      <c r="AD158" s="84" t="s">
        <v>2390</v>
      </c>
      <c r="AE158" s="82">
        <v>1</v>
      </c>
      <c r="AF158" s="83" t="str">
        <f>REPLACE(INDEX(GroupVertices[Group],MATCH(Edges[[#This Row],[Vertex 1]],GroupVertices[Vertex],0)),1,1,"")</f>
        <v>8</v>
      </c>
      <c r="AG158" s="83" t="str">
        <f>REPLACE(INDEX(GroupVertices[Group],MATCH(Edges[[#This Row],[Vertex 2]],GroupVertices[Vertex],0)),1,1,"")</f>
        <v>8</v>
      </c>
      <c r="AH158" s="111">
        <v>0</v>
      </c>
      <c r="AI158" s="112">
        <v>0</v>
      </c>
      <c r="AJ158" s="111">
        <v>0</v>
      </c>
      <c r="AK158" s="112">
        <v>0</v>
      </c>
      <c r="AL158" s="111">
        <v>0</v>
      </c>
      <c r="AM158" s="112">
        <v>0</v>
      </c>
      <c r="AN158" s="111">
        <v>3</v>
      </c>
      <c r="AO158" s="112">
        <v>100</v>
      </c>
      <c r="AP158" s="111">
        <v>3</v>
      </c>
    </row>
    <row r="159" spans="1:42" ht="15">
      <c r="A159" s="65" t="s">
        <v>346</v>
      </c>
      <c r="B159" s="65" t="s">
        <v>352</v>
      </c>
      <c r="C159" s="66" t="s">
        <v>4651</v>
      </c>
      <c r="D159" s="67">
        <v>3</v>
      </c>
      <c r="E159" s="68"/>
      <c r="F159" s="69">
        <v>40</v>
      </c>
      <c r="G159" s="66"/>
      <c r="H159" s="70"/>
      <c r="I159" s="71"/>
      <c r="J159" s="71"/>
      <c r="K159" s="35" t="s">
        <v>65</v>
      </c>
      <c r="L159" s="79">
        <v>159</v>
      </c>
      <c r="M159" s="79"/>
      <c r="N159" s="73"/>
      <c r="O159" s="81" t="s">
        <v>845</v>
      </c>
      <c r="P159" s="81" t="s">
        <v>847</v>
      </c>
      <c r="Q159" s="84" t="s">
        <v>997</v>
      </c>
      <c r="R159" s="81" t="s">
        <v>346</v>
      </c>
      <c r="S159" s="81" t="s">
        <v>1705</v>
      </c>
      <c r="T159" s="86" t="str">
        <f>HYPERLINK("http://www.youtube.com/channel/UC6fFQW6FPEYzN3hpzQ2Aa1A")</f>
        <v>http://www.youtube.com/channel/UC6fFQW6FPEYzN3hpzQ2Aa1A</v>
      </c>
      <c r="U159" s="81" t="s">
        <v>2202</v>
      </c>
      <c r="V159" s="81" t="s">
        <v>2311</v>
      </c>
      <c r="W159" s="86" t="str">
        <f>HYPERLINK("https://www.youtube.com/watch?v=iy-47a68P60")</f>
        <v>https://www.youtube.com/watch?v=iy-47a68P60</v>
      </c>
      <c r="X159" s="81" t="s">
        <v>2349</v>
      </c>
      <c r="Y159" s="81">
        <v>0</v>
      </c>
      <c r="Z159" s="88">
        <v>43992.27556712963</v>
      </c>
      <c r="AA159" s="88">
        <v>43992.27556712963</v>
      </c>
      <c r="AB159" s="81"/>
      <c r="AC159" s="81"/>
      <c r="AD159" s="84" t="s">
        <v>2390</v>
      </c>
      <c r="AE159" s="82">
        <v>1</v>
      </c>
      <c r="AF159" s="83" t="str">
        <f>REPLACE(INDEX(GroupVertices[Group],MATCH(Edges[[#This Row],[Vertex 1]],GroupVertices[Vertex],0)),1,1,"")</f>
        <v>8</v>
      </c>
      <c r="AG159" s="83" t="str">
        <f>REPLACE(INDEX(GroupVertices[Group],MATCH(Edges[[#This Row],[Vertex 2]],GroupVertices[Vertex],0)),1,1,"")</f>
        <v>8</v>
      </c>
      <c r="AH159" s="111">
        <v>0</v>
      </c>
      <c r="AI159" s="112">
        <v>0</v>
      </c>
      <c r="AJ159" s="111">
        <v>0</v>
      </c>
      <c r="AK159" s="112">
        <v>0</v>
      </c>
      <c r="AL159" s="111">
        <v>0</v>
      </c>
      <c r="AM159" s="112">
        <v>0</v>
      </c>
      <c r="AN159" s="111">
        <v>5</v>
      </c>
      <c r="AO159" s="112">
        <v>100</v>
      </c>
      <c r="AP159" s="111">
        <v>5</v>
      </c>
    </row>
    <row r="160" spans="1:42" ht="15">
      <c r="A160" s="65" t="s">
        <v>352</v>
      </c>
      <c r="B160" s="65" t="s">
        <v>345</v>
      </c>
      <c r="C160" s="66" t="s">
        <v>4613</v>
      </c>
      <c r="D160" s="67">
        <v>10</v>
      </c>
      <c r="E160" s="68"/>
      <c r="F160" s="69">
        <v>15</v>
      </c>
      <c r="G160" s="66"/>
      <c r="H160" s="70"/>
      <c r="I160" s="71"/>
      <c r="J160" s="71"/>
      <c r="K160" s="35" t="s">
        <v>65</v>
      </c>
      <c r="L160" s="79">
        <v>160</v>
      </c>
      <c r="M160" s="79"/>
      <c r="N160" s="73"/>
      <c r="O160" s="81" t="s">
        <v>844</v>
      </c>
      <c r="P160" s="81" t="s">
        <v>199</v>
      </c>
      <c r="Q160" s="84" t="s">
        <v>998</v>
      </c>
      <c r="R160" s="81" t="s">
        <v>352</v>
      </c>
      <c r="S160" s="81" t="s">
        <v>1711</v>
      </c>
      <c r="T160" s="86" t="str">
        <f>HYPERLINK("http://www.youtube.com/channel/UC9Ja7kVyx1c4iXmhhXOV44A")</f>
        <v>http://www.youtube.com/channel/UC9Ja7kVyx1c4iXmhhXOV44A</v>
      </c>
      <c r="U160" s="81"/>
      <c r="V160" s="81" t="s">
        <v>2311</v>
      </c>
      <c r="W160" s="86" t="str">
        <f>HYPERLINK("https://www.youtube.com/watch?v=iy-47a68P60")</f>
        <v>https://www.youtube.com/watch?v=iy-47a68P60</v>
      </c>
      <c r="X160" s="81" t="s">
        <v>2349</v>
      </c>
      <c r="Y160" s="81">
        <v>6</v>
      </c>
      <c r="Z160" s="88">
        <v>43992.26994212963</v>
      </c>
      <c r="AA160" s="88">
        <v>43992.26994212963</v>
      </c>
      <c r="AB160" s="81"/>
      <c r="AC160" s="81"/>
      <c r="AD160" s="84" t="s">
        <v>2390</v>
      </c>
      <c r="AE160" s="82">
        <v>2</v>
      </c>
      <c r="AF160" s="83" t="str">
        <f>REPLACE(INDEX(GroupVertices[Group],MATCH(Edges[[#This Row],[Vertex 1]],GroupVertices[Vertex],0)),1,1,"")</f>
        <v>8</v>
      </c>
      <c r="AG160" s="83" t="str">
        <f>REPLACE(INDEX(GroupVertices[Group],MATCH(Edges[[#This Row],[Vertex 2]],GroupVertices[Vertex],0)),1,1,"")</f>
        <v>8</v>
      </c>
      <c r="AH160" s="111">
        <v>0</v>
      </c>
      <c r="AI160" s="112">
        <v>0</v>
      </c>
      <c r="AJ160" s="111">
        <v>0</v>
      </c>
      <c r="AK160" s="112">
        <v>0</v>
      </c>
      <c r="AL160" s="111">
        <v>0</v>
      </c>
      <c r="AM160" s="112">
        <v>0</v>
      </c>
      <c r="AN160" s="111">
        <v>4</v>
      </c>
      <c r="AO160" s="112">
        <v>100</v>
      </c>
      <c r="AP160" s="111">
        <v>4</v>
      </c>
    </row>
    <row r="161" spans="1:42" ht="15">
      <c r="A161" s="65" t="s">
        <v>352</v>
      </c>
      <c r="B161" s="65" t="s">
        <v>345</v>
      </c>
      <c r="C161" s="66" t="s">
        <v>4613</v>
      </c>
      <c r="D161" s="67">
        <v>10</v>
      </c>
      <c r="E161" s="68"/>
      <c r="F161" s="69">
        <v>15</v>
      </c>
      <c r="G161" s="66"/>
      <c r="H161" s="70"/>
      <c r="I161" s="71"/>
      <c r="J161" s="71"/>
      <c r="K161" s="35" t="s">
        <v>65</v>
      </c>
      <c r="L161" s="79">
        <v>161</v>
      </c>
      <c r="M161" s="79"/>
      <c r="N161" s="73"/>
      <c r="O161" s="81" t="s">
        <v>844</v>
      </c>
      <c r="P161" s="81" t="s">
        <v>199</v>
      </c>
      <c r="Q161" s="84" t="s">
        <v>999</v>
      </c>
      <c r="R161" s="81" t="s">
        <v>352</v>
      </c>
      <c r="S161" s="81" t="s">
        <v>1711</v>
      </c>
      <c r="T161" s="86" t="str">
        <f>HYPERLINK("http://www.youtube.com/channel/UC9Ja7kVyx1c4iXmhhXOV44A")</f>
        <v>http://www.youtube.com/channel/UC9Ja7kVyx1c4iXmhhXOV44A</v>
      </c>
      <c r="U161" s="81"/>
      <c r="V161" s="81" t="s">
        <v>2311</v>
      </c>
      <c r="W161" s="86" t="str">
        <f>HYPERLINK("https://www.youtube.com/watch?v=iy-47a68P60")</f>
        <v>https://www.youtube.com/watch?v=iy-47a68P60</v>
      </c>
      <c r="X161" s="81" t="s">
        <v>2349</v>
      </c>
      <c r="Y161" s="81">
        <v>0</v>
      </c>
      <c r="Z161" s="88">
        <v>43992.27197916667</v>
      </c>
      <c r="AA161" s="88">
        <v>43992.27197916667</v>
      </c>
      <c r="AB161" s="81"/>
      <c r="AC161" s="81"/>
      <c r="AD161" s="84" t="s">
        <v>2390</v>
      </c>
      <c r="AE161" s="82">
        <v>2</v>
      </c>
      <c r="AF161" s="83" t="str">
        <f>REPLACE(INDEX(GroupVertices[Group],MATCH(Edges[[#This Row],[Vertex 1]],GroupVertices[Vertex],0)),1,1,"")</f>
        <v>8</v>
      </c>
      <c r="AG161" s="83" t="str">
        <f>REPLACE(INDEX(GroupVertices[Group],MATCH(Edges[[#This Row],[Vertex 2]],GroupVertices[Vertex],0)),1,1,"")</f>
        <v>8</v>
      </c>
      <c r="AH161" s="111">
        <v>0</v>
      </c>
      <c r="AI161" s="112">
        <v>0</v>
      </c>
      <c r="AJ161" s="111">
        <v>1</v>
      </c>
      <c r="AK161" s="112">
        <v>7.142857142857143</v>
      </c>
      <c r="AL161" s="111">
        <v>0</v>
      </c>
      <c r="AM161" s="112">
        <v>0</v>
      </c>
      <c r="AN161" s="111">
        <v>13</v>
      </c>
      <c r="AO161" s="112">
        <v>92.85714285714286</v>
      </c>
      <c r="AP161" s="111">
        <v>14</v>
      </c>
    </row>
    <row r="162" spans="1:42" ht="15">
      <c r="A162" s="65" t="s">
        <v>353</v>
      </c>
      <c r="B162" s="65" t="s">
        <v>345</v>
      </c>
      <c r="C162" s="66" t="s">
        <v>4651</v>
      </c>
      <c r="D162" s="67">
        <v>3</v>
      </c>
      <c r="E162" s="68"/>
      <c r="F162" s="69">
        <v>40</v>
      </c>
      <c r="G162" s="66"/>
      <c r="H162" s="70"/>
      <c r="I162" s="71"/>
      <c r="J162" s="71"/>
      <c r="K162" s="35" t="s">
        <v>65</v>
      </c>
      <c r="L162" s="79">
        <v>162</v>
      </c>
      <c r="M162" s="79"/>
      <c r="N162" s="73"/>
      <c r="O162" s="81" t="s">
        <v>844</v>
      </c>
      <c r="P162" s="81" t="s">
        <v>199</v>
      </c>
      <c r="Q162" s="84" t="s">
        <v>1000</v>
      </c>
      <c r="R162" s="81" t="s">
        <v>353</v>
      </c>
      <c r="S162" s="81" t="s">
        <v>1712</v>
      </c>
      <c r="T162" s="86" t="str">
        <f>HYPERLINK("http://www.youtube.com/channel/UC-C8T0nZiwU0BHa_udThlIw")</f>
        <v>http://www.youtube.com/channel/UC-C8T0nZiwU0BHa_udThlIw</v>
      </c>
      <c r="U162" s="81"/>
      <c r="V162" s="81" t="s">
        <v>2311</v>
      </c>
      <c r="W162" s="86" t="str">
        <f>HYPERLINK("https://www.youtube.com/watch?v=iy-47a68P60")</f>
        <v>https://www.youtube.com/watch?v=iy-47a68P60</v>
      </c>
      <c r="X162" s="81" t="s">
        <v>2349</v>
      </c>
      <c r="Y162" s="81">
        <v>6</v>
      </c>
      <c r="Z162" s="88">
        <v>43992.269421296296</v>
      </c>
      <c r="AA162" s="88">
        <v>43992.269421296296</v>
      </c>
      <c r="AB162" s="81"/>
      <c r="AC162" s="81"/>
      <c r="AD162" s="84" t="s">
        <v>2390</v>
      </c>
      <c r="AE162" s="82">
        <v>1</v>
      </c>
      <c r="AF162" s="83" t="str">
        <f>REPLACE(INDEX(GroupVertices[Group],MATCH(Edges[[#This Row],[Vertex 1]],GroupVertices[Vertex],0)),1,1,"")</f>
        <v>8</v>
      </c>
      <c r="AG162" s="83" t="str">
        <f>REPLACE(INDEX(GroupVertices[Group],MATCH(Edges[[#This Row],[Vertex 2]],GroupVertices[Vertex],0)),1,1,"")</f>
        <v>8</v>
      </c>
      <c r="AH162" s="111">
        <v>0</v>
      </c>
      <c r="AI162" s="112">
        <v>0</v>
      </c>
      <c r="AJ162" s="111">
        <v>0</v>
      </c>
      <c r="AK162" s="112">
        <v>0</v>
      </c>
      <c r="AL162" s="111">
        <v>0</v>
      </c>
      <c r="AM162" s="112">
        <v>0</v>
      </c>
      <c r="AN162" s="111">
        <v>1</v>
      </c>
      <c r="AO162" s="112">
        <v>100</v>
      </c>
      <c r="AP162" s="111">
        <v>1</v>
      </c>
    </row>
    <row r="163" spans="1:42" ht="15">
      <c r="A163" s="65" t="s">
        <v>353</v>
      </c>
      <c r="B163" s="65" t="s">
        <v>354</v>
      </c>
      <c r="C163" s="66" t="s">
        <v>4651</v>
      </c>
      <c r="D163" s="67">
        <v>3</v>
      </c>
      <c r="E163" s="68"/>
      <c r="F163" s="69">
        <v>40</v>
      </c>
      <c r="G163" s="66"/>
      <c r="H163" s="70"/>
      <c r="I163" s="71"/>
      <c r="J163" s="71"/>
      <c r="K163" s="35" t="s">
        <v>65</v>
      </c>
      <c r="L163" s="79">
        <v>163</v>
      </c>
      <c r="M163" s="79"/>
      <c r="N163" s="73"/>
      <c r="O163" s="81" t="s">
        <v>845</v>
      </c>
      <c r="P163" s="81" t="s">
        <v>847</v>
      </c>
      <c r="Q163" s="84" t="s">
        <v>1001</v>
      </c>
      <c r="R163" s="81" t="s">
        <v>353</v>
      </c>
      <c r="S163" s="81" t="s">
        <v>1712</v>
      </c>
      <c r="T163" s="86" t="str">
        <f>HYPERLINK("http://www.youtube.com/channel/UC-C8T0nZiwU0BHa_udThlIw")</f>
        <v>http://www.youtube.com/channel/UC-C8T0nZiwU0BHa_udThlIw</v>
      </c>
      <c r="U163" s="81" t="s">
        <v>2203</v>
      </c>
      <c r="V163" s="81" t="s">
        <v>2311</v>
      </c>
      <c r="W163" s="86" t="str">
        <f>HYPERLINK("https://www.youtube.com/watch?v=iy-47a68P60")</f>
        <v>https://www.youtube.com/watch?v=iy-47a68P60</v>
      </c>
      <c r="X163" s="81" t="s">
        <v>2349</v>
      </c>
      <c r="Y163" s="81">
        <v>1</v>
      </c>
      <c r="Z163" s="88">
        <v>43992.474444444444</v>
      </c>
      <c r="AA163" s="88">
        <v>43992.474444444444</v>
      </c>
      <c r="AB163" s="81"/>
      <c r="AC163" s="81"/>
      <c r="AD163" s="84" t="s">
        <v>2390</v>
      </c>
      <c r="AE163" s="82">
        <v>1</v>
      </c>
      <c r="AF163" s="83" t="str">
        <f>REPLACE(INDEX(GroupVertices[Group],MATCH(Edges[[#This Row],[Vertex 1]],GroupVertices[Vertex],0)),1,1,"")</f>
        <v>8</v>
      </c>
      <c r="AG163" s="83" t="str">
        <f>REPLACE(INDEX(GroupVertices[Group],MATCH(Edges[[#This Row],[Vertex 2]],GroupVertices[Vertex],0)),1,1,"")</f>
        <v>8</v>
      </c>
      <c r="AH163" s="111">
        <v>0</v>
      </c>
      <c r="AI163" s="112">
        <v>0</v>
      </c>
      <c r="AJ163" s="111">
        <v>0</v>
      </c>
      <c r="AK163" s="112">
        <v>0</v>
      </c>
      <c r="AL163" s="111">
        <v>0</v>
      </c>
      <c r="AM163" s="112">
        <v>0</v>
      </c>
      <c r="AN163" s="111">
        <v>2</v>
      </c>
      <c r="AO163" s="112">
        <v>100</v>
      </c>
      <c r="AP163" s="111">
        <v>2</v>
      </c>
    </row>
    <row r="164" spans="1:42" ht="15">
      <c r="A164" s="65" t="s">
        <v>346</v>
      </c>
      <c r="B164" s="65" t="s">
        <v>345</v>
      </c>
      <c r="C164" s="66" t="s">
        <v>4613</v>
      </c>
      <c r="D164" s="67">
        <v>10</v>
      </c>
      <c r="E164" s="68"/>
      <c r="F164" s="69">
        <v>15</v>
      </c>
      <c r="G164" s="66"/>
      <c r="H164" s="70"/>
      <c r="I164" s="71"/>
      <c r="J164" s="71"/>
      <c r="K164" s="35" t="s">
        <v>65</v>
      </c>
      <c r="L164" s="79">
        <v>164</v>
      </c>
      <c r="M164" s="79"/>
      <c r="N164" s="73"/>
      <c r="O164" s="81" t="s">
        <v>844</v>
      </c>
      <c r="P164" s="81" t="s">
        <v>199</v>
      </c>
      <c r="Q164" s="84" t="s">
        <v>1002</v>
      </c>
      <c r="R164" s="81" t="s">
        <v>346</v>
      </c>
      <c r="S164" s="81" t="s">
        <v>1705</v>
      </c>
      <c r="T164" s="86" t="str">
        <f>HYPERLINK("http://www.youtube.com/channel/UC6fFQW6FPEYzN3hpzQ2Aa1A")</f>
        <v>http://www.youtube.com/channel/UC6fFQW6FPEYzN3hpzQ2Aa1A</v>
      </c>
      <c r="U164" s="81"/>
      <c r="V164" s="81" t="s">
        <v>2311</v>
      </c>
      <c r="W164" s="86" t="str">
        <f>HYPERLINK("https://www.youtube.com/watch?v=iy-47a68P60")</f>
        <v>https://www.youtube.com/watch?v=iy-47a68P60</v>
      </c>
      <c r="X164" s="81" t="s">
        <v>2349</v>
      </c>
      <c r="Y164" s="81">
        <v>5</v>
      </c>
      <c r="Z164" s="88">
        <v>43992.26799768519</v>
      </c>
      <c r="AA164" s="88">
        <v>43992.26799768519</v>
      </c>
      <c r="AB164" s="81"/>
      <c r="AC164" s="81"/>
      <c r="AD164" s="84" t="s">
        <v>2390</v>
      </c>
      <c r="AE164" s="82">
        <v>2</v>
      </c>
      <c r="AF164" s="83" t="str">
        <f>REPLACE(INDEX(GroupVertices[Group],MATCH(Edges[[#This Row],[Vertex 1]],GroupVertices[Vertex],0)),1,1,"")</f>
        <v>8</v>
      </c>
      <c r="AG164" s="83" t="str">
        <f>REPLACE(INDEX(GroupVertices[Group],MATCH(Edges[[#This Row],[Vertex 2]],GroupVertices[Vertex],0)),1,1,"")</f>
        <v>8</v>
      </c>
      <c r="AH164" s="111">
        <v>0</v>
      </c>
      <c r="AI164" s="112">
        <v>0</v>
      </c>
      <c r="AJ164" s="111">
        <v>0</v>
      </c>
      <c r="AK164" s="112">
        <v>0</v>
      </c>
      <c r="AL164" s="111">
        <v>0</v>
      </c>
      <c r="AM164" s="112">
        <v>0</v>
      </c>
      <c r="AN164" s="111">
        <v>1</v>
      </c>
      <c r="AO164" s="112">
        <v>100</v>
      </c>
      <c r="AP164" s="111">
        <v>1</v>
      </c>
    </row>
    <row r="165" spans="1:42" ht="15">
      <c r="A165" s="65" t="s">
        <v>346</v>
      </c>
      <c r="B165" s="65" t="s">
        <v>345</v>
      </c>
      <c r="C165" s="66" t="s">
        <v>4613</v>
      </c>
      <c r="D165" s="67">
        <v>10</v>
      </c>
      <c r="E165" s="68"/>
      <c r="F165" s="69">
        <v>15</v>
      </c>
      <c r="G165" s="66"/>
      <c r="H165" s="70"/>
      <c r="I165" s="71"/>
      <c r="J165" s="71"/>
      <c r="K165" s="35" t="s">
        <v>65</v>
      </c>
      <c r="L165" s="79">
        <v>165</v>
      </c>
      <c r="M165" s="79"/>
      <c r="N165" s="73"/>
      <c r="O165" s="81" t="s">
        <v>844</v>
      </c>
      <c r="P165" s="81" t="s">
        <v>199</v>
      </c>
      <c r="Q165" s="84" t="s">
        <v>1003</v>
      </c>
      <c r="R165" s="81" t="s">
        <v>346</v>
      </c>
      <c r="S165" s="81" t="s">
        <v>1705</v>
      </c>
      <c r="T165" s="86" t="str">
        <f>HYPERLINK("http://www.youtube.com/channel/UC6fFQW6FPEYzN3hpzQ2Aa1A")</f>
        <v>http://www.youtube.com/channel/UC6fFQW6FPEYzN3hpzQ2Aa1A</v>
      </c>
      <c r="U165" s="81"/>
      <c r="V165" s="81" t="s">
        <v>2311</v>
      </c>
      <c r="W165" s="86" t="str">
        <f>HYPERLINK("https://www.youtube.com/watch?v=iy-47a68P60")</f>
        <v>https://www.youtube.com/watch?v=iy-47a68P60</v>
      </c>
      <c r="X165" s="81" t="s">
        <v>2349</v>
      </c>
      <c r="Y165" s="81">
        <v>4</v>
      </c>
      <c r="Z165" s="88">
        <v>43992.26935185185</v>
      </c>
      <c r="AA165" s="88">
        <v>43992.26935185185</v>
      </c>
      <c r="AB165" s="81"/>
      <c r="AC165" s="81"/>
      <c r="AD165" s="84" t="s">
        <v>2390</v>
      </c>
      <c r="AE165" s="82">
        <v>2</v>
      </c>
      <c r="AF165" s="83" t="str">
        <f>REPLACE(INDEX(GroupVertices[Group],MATCH(Edges[[#This Row],[Vertex 1]],GroupVertices[Vertex],0)),1,1,"")</f>
        <v>8</v>
      </c>
      <c r="AG165" s="83" t="str">
        <f>REPLACE(INDEX(GroupVertices[Group],MATCH(Edges[[#This Row],[Vertex 2]],GroupVertices[Vertex],0)),1,1,"")</f>
        <v>8</v>
      </c>
      <c r="AH165" s="111">
        <v>0</v>
      </c>
      <c r="AI165" s="112">
        <v>0</v>
      </c>
      <c r="AJ165" s="111">
        <v>0</v>
      </c>
      <c r="AK165" s="112">
        <v>0</v>
      </c>
      <c r="AL165" s="111">
        <v>0</v>
      </c>
      <c r="AM165" s="112">
        <v>0</v>
      </c>
      <c r="AN165" s="111">
        <v>3</v>
      </c>
      <c r="AO165" s="112">
        <v>100</v>
      </c>
      <c r="AP165" s="111">
        <v>3</v>
      </c>
    </row>
    <row r="166" spans="1:42" ht="15">
      <c r="A166" s="65" t="s">
        <v>346</v>
      </c>
      <c r="B166" s="65" t="s">
        <v>354</v>
      </c>
      <c r="C166" s="66" t="s">
        <v>4613</v>
      </c>
      <c r="D166" s="67">
        <v>10</v>
      </c>
      <c r="E166" s="68"/>
      <c r="F166" s="69">
        <v>15</v>
      </c>
      <c r="G166" s="66"/>
      <c r="H166" s="70"/>
      <c r="I166" s="71"/>
      <c r="J166" s="71"/>
      <c r="K166" s="35" t="s">
        <v>65</v>
      </c>
      <c r="L166" s="79">
        <v>166</v>
      </c>
      <c r="M166" s="79"/>
      <c r="N166" s="73"/>
      <c r="O166" s="81" t="s">
        <v>845</v>
      </c>
      <c r="P166" s="81" t="s">
        <v>847</v>
      </c>
      <c r="Q166" s="84" t="s">
        <v>936</v>
      </c>
      <c r="R166" s="81" t="s">
        <v>346</v>
      </c>
      <c r="S166" s="81" t="s">
        <v>1705</v>
      </c>
      <c r="T166" s="86" t="str">
        <f>HYPERLINK("http://www.youtube.com/channel/UC6fFQW6FPEYzN3hpzQ2Aa1A")</f>
        <v>http://www.youtube.com/channel/UC6fFQW6FPEYzN3hpzQ2Aa1A</v>
      </c>
      <c r="U166" s="81" t="s">
        <v>2203</v>
      </c>
      <c r="V166" s="81" t="s">
        <v>2311</v>
      </c>
      <c r="W166" s="86" t="str">
        <f>HYPERLINK("https://www.youtube.com/watch?v=iy-47a68P60")</f>
        <v>https://www.youtube.com/watch?v=iy-47a68P60</v>
      </c>
      <c r="X166" s="81" t="s">
        <v>2349</v>
      </c>
      <c r="Y166" s="81">
        <v>1</v>
      </c>
      <c r="Z166" s="88">
        <v>43992.27569444444</v>
      </c>
      <c r="AA166" s="88">
        <v>43992.27569444444</v>
      </c>
      <c r="AB166" s="81"/>
      <c r="AC166" s="81"/>
      <c r="AD166" s="84" t="s">
        <v>2390</v>
      </c>
      <c r="AE166" s="82">
        <v>2</v>
      </c>
      <c r="AF166" s="83" t="str">
        <f>REPLACE(INDEX(GroupVertices[Group],MATCH(Edges[[#This Row],[Vertex 1]],GroupVertices[Vertex],0)),1,1,"")</f>
        <v>8</v>
      </c>
      <c r="AG166" s="83" t="str">
        <f>REPLACE(INDEX(GroupVertices[Group],MATCH(Edges[[#This Row],[Vertex 2]],GroupVertices[Vertex],0)),1,1,"")</f>
        <v>8</v>
      </c>
      <c r="AH166" s="111">
        <v>0</v>
      </c>
      <c r="AI166" s="112">
        <v>0</v>
      </c>
      <c r="AJ166" s="111">
        <v>0</v>
      </c>
      <c r="AK166" s="112">
        <v>0</v>
      </c>
      <c r="AL166" s="111">
        <v>0</v>
      </c>
      <c r="AM166" s="112">
        <v>0</v>
      </c>
      <c r="AN166" s="111">
        <v>1</v>
      </c>
      <c r="AO166" s="112">
        <v>100</v>
      </c>
      <c r="AP166" s="111">
        <v>1</v>
      </c>
    </row>
    <row r="167" spans="1:42" ht="15">
      <c r="A167" s="65" t="s">
        <v>346</v>
      </c>
      <c r="B167" s="65" t="s">
        <v>354</v>
      </c>
      <c r="C167" s="66" t="s">
        <v>4613</v>
      </c>
      <c r="D167" s="67">
        <v>10</v>
      </c>
      <c r="E167" s="68"/>
      <c r="F167" s="69">
        <v>15</v>
      </c>
      <c r="G167" s="66"/>
      <c r="H167" s="70"/>
      <c r="I167" s="71"/>
      <c r="J167" s="71"/>
      <c r="K167" s="35" t="s">
        <v>65</v>
      </c>
      <c r="L167" s="79">
        <v>167</v>
      </c>
      <c r="M167" s="79"/>
      <c r="N167" s="73"/>
      <c r="O167" s="81" t="s">
        <v>845</v>
      </c>
      <c r="P167" s="81" t="s">
        <v>847</v>
      </c>
      <c r="Q167" s="84" t="s">
        <v>1004</v>
      </c>
      <c r="R167" s="81" t="s">
        <v>346</v>
      </c>
      <c r="S167" s="81" t="s">
        <v>1705</v>
      </c>
      <c r="T167" s="86" t="str">
        <f>HYPERLINK("http://www.youtube.com/channel/UC6fFQW6FPEYzN3hpzQ2Aa1A")</f>
        <v>http://www.youtube.com/channel/UC6fFQW6FPEYzN3hpzQ2Aa1A</v>
      </c>
      <c r="U167" s="81" t="s">
        <v>2203</v>
      </c>
      <c r="V167" s="81" t="s">
        <v>2311</v>
      </c>
      <c r="W167" s="86" t="str">
        <f>HYPERLINK("https://www.youtube.com/watch?v=iy-47a68P60")</f>
        <v>https://www.youtube.com/watch?v=iy-47a68P60</v>
      </c>
      <c r="X167" s="81" t="s">
        <v>2349</v>
      </c>
      <c r="Y167" s="81">
        <v>1</v>
      </c>
      <c r="Z167" s="88">
        <v>43992.48582175926</v>
      </c>
      <c r="AA167" s="88">
        <v>43992.48582175926</v>
      </c>
      <c r="AB167" s="81"/>
      <c r="AC167" s="81"/>
      <c r="AD167" s="84" t="s">
        <v>2390</v>
      </c>
      <c r="AE167" s="82">
        <v>2</v>
      </c>
      <c r="AF167" s="83" t="str">
        <f>REPLACE(INDEX(GroupVertices[Group],MATCH(Edges[[#This Row],[Vertex 1]],GroupVertices[Vertex],0)),1,1,"")</f>
        <v>8</v>
      </c>
      <c r="AG167" s="83" t="str">
        <f>REPLACE(INDEX(GroupVertices[Group],MATCH(Edges[[#This Row],[Vertex 2]],GroupVertices[Vertex],0)),1,1,"")</f>
        <v>8</v>
      </c>
      <c r="AH167" s="111">
        <v>0</v>
      </c>
      <c r="AI167" s="112">
        <v>0</v>
      </c>
      <c r="AJ167" s="111">
        <v>0</v>
      </c>
      <c r="AK167" s="112">
        <v>0</v>
      </c>
      <c r="AL167" s="111">
        <v>0</v>
      </c>
      <c r="AM167" s="112">
        <v>0</v>
      </c>
      <c r="AN167" s="111">
        <v>1</v>
      </c>
      <c r="AO167" s="112">
        <v>100</v>
      </c>
      <c r="AP167" s="111">
        <v>1</v>
      </c>
    </row>
    <row r="168" spans="1:42" ht="15">
      <c r="A168" s="65" t="s">
        <v>354</v>
      </c>
      <c r="B168" s="65" t="s">
        <v>354</v>
      </c>
      <c r="C168" s="66" t="s">
        <v>4651</v>
      </c>
      <c r="D168" s="67">
        <v>3</v>
      </c>
      <c r="E168" s="68"/>
      <c r="F168" s="69">
        <v>40</v>
      </c>
      <c r="G168" s="66"/>
      <c r="H168" s="70"/>
      <c r="I168" s="71"/>
      <c r="J168" s="71"/>
      <c r="K168" s="35" t="s">
        <v>65</v>
      </c>
      <c r="L168" s="79">
        <v>168</v>
      </c>
      <c r="M168" s="79"/>
      <c r="N168" s="73"/>
      <c r="O168" s="81" t="s">
        <v>845</v>
      </c>
      <c r="P168" s="81" t="s">
        <v>847</v>
      </c>
      <c r="Q168" s="84" t="s">
        <v>1005</v>
      </c>
      <c r="R168" s="81" t="s">
        <v>354</v>
      </c>
      <c r="S168" s="81" t="s">
        <v>1713</v>
      </c>
      <c r="T168" s="86" t="str">
        <f>HYPERLINK("http://www.youtube.com/channel/UCx8pBVLDTEfBfEt8hT7NRxA")</f>
        <v>http://www.youtube.com/channel/UCx8pBVLDTEfBfEt8hT7NRxA</v>
      </c>
      <c r="U168" s="81" t="s">
        <v>2203</v>
      </c>
      <c r="V168" s="81" t="s">
        <v>2311</v>
      </c>
      <c r="W168" s="86" t="str">
        <f>HYPERLINK("https://www.youtube.com/watch?v=iy-47a68P60")</f>
        <v>https://www.youtube.com/watch?v=iy-47a68P60</v>
      </c>
      <c r="X168" s="81" t="s">
        <v>2349</v>
      </c>
      <c r="Y168" s="81">
        <v>0</v>
      </c>
      <c r="Z168" s="88">
        <v>43992.27664351852</v>
      </c>
      <c r="AA168" s="88">
        <v>43992.27664351852</v>
      </c>
      <c r="AB168" s="81"/>
      <c r="AC168" s="81"/>
      <c r="AD168" s="84" t="s">
        <v>2390</v>
      </c>
      <c r="AE168" s="82">
        <v>1</v>
      </c>
      <c r="AF168" s="83" t="str">
        <f>REPLACE(INDEX(GroupVertices[Group],MATCH(Edges[[#This Row],[Vertex 1]],GroupVertices[Vertex],0)),1,1,"")</f>
        <v>8</v>
      </c>
      <c r="AG168" s="83" t="str">
        <f>REPLACE(INDEX(GroupVertices[Group],MATCH(Edges[[#This Row],[Vertex 2]],GroupVertices[Vertex],0)),1,1,"")</f>
        <v>8</v>
      </c>
      <c r="AH168" s="111">
        <v>0</v>
      </c>
      <c r="AI168" s="112">
        <v>0</v>
      </c>
      <c r="AJ168" s="111">
        <v>0</v>
      </c>
      <c r="AK168" s="112">
        <v>0</v>
      </c>
      <c r="AL168" s="111">
        <v>0</v>
      </c>
      <c r="AM168" s="112">
        <v>0</v>
      </c>
      <c r="AN168" s="111">
        <v>3</v>
      </c>
      <c r="AO168" s="112">
        <v>100</v>
      </c>
      <c r="AP168" s="111">
        <v>3</v>
      </c>
    </row>
    <row r="169" spans="1:42" ht="15">
      <c r="A169" s="65" t="s">
        <v>354</v>
      </c>
      <c r="B169" s="65" t="s">
        <v>345</v>
      </c>
      <c r="C169" s="66" t="s">
        <v>4651</v>
      </c>
      <c r="D169" s="67">
        <v>3</v>
      </c>
      <c r="E169" s="68"/>
      <c r="F169" s="69">
        <v>40</v>
      </c>
      <c r="G169" s="66"/>
      <c r="H169" s="70"/>
      <c r="I169" s="71"/>
      <c r="J169" s="71"/>
      <c r="K169" s="35" t="s">
        <v>65</v>
      </c>
      <c r="L169" s="79">
        <v>169</v>
      </c>
      <c r="M169" s="79"/>
      <c r="N169" s="73"/>
      <c r="O169" s="81" t="s">
        <v>844</v>
      </c>
      <c r="P169" s="81" t="s">
        <v>199</v>
      </c>
      <c r="Q169" s="84" t="s">
        <v>1006</v>
      </c>
      <c r="R169" s="81" t="s">
        <v>354</v>
      </c>
      <c r="S169" s="81" t="s">
        <v>1713</v>
      </c>
      <c r="T169" s="86" t="str">
        <f>HYPERLINK("http://www.youtube.com/channel/UCx8pBVLDTEfBfEt8hT7NRxA")</f>
        <v>http://www.youtube.com/channel/UCx8pBVLDTEfBfEt8hT7NRxA</v>
      </c>
      <c r="U169" s="81"/>
      <c r="V169" s="81" t="s">
        <v>2311</v>
      </c>
      <c r="W169" s="86" t="str">
        <f>HYPERLINK("https://www.youtube.com/watch?v=iy-47a68P60")</f>
        <v>https://www.youtube.com/watch?v=iy-47a68P60</v>
      </c>
      <c r="X169" s="81" t="s">
        <v>2349</v>
      </c>
      <c r="Y169" s="81">
        <v>2</v>
      </c>
      <c r="Z169" s="88">
        <v>43992.275034722225</v>
      </c>
      <c r="AA169" s="88">
        <v>43992.275034722225</v>
      </c>
      <c r="AB169" s="81"/>
      <c r="AC169" s="81"/>
      <c r="AD169" s="84" t="s">
        <v>2390</v>
      </c>
      <c r="AE169" s="82">
        <v>1</v>
      </c>
      <c r="AF169" s="83" t="str">
        <f>REPLACE(INDEX(GroupVertices[Group],MATCH(Edges[[#This Row],[Vertex 1]],GroupVertices[Vertex],0)),1,1,"")</f>
        <v>8</v>
      </c>
      <c r="AG169" s="83" t="str">
        <f>REPLACE(INDEX(GroupVertices[Group],MATCH(Edges[[#This Row],[Vertex 2]],GroupVertices[Vertex],0)),1,1,"")</f>
        <v>8</v>
      </c>
      <c r="AH169" s="111">
        <v>0</v>
      </c>
      <c r="AI169" s="112">
        <v>0</v>
      </c>
      <c r="AJ169" s="111">
        <v>0</v>
      </c>
      <c r="AK169" s="112">
        <v>0</v>
      </c>
      <c r="AL169" s="111">
        <v>0</v>
      </c>
      <c r="AM169" s="112">
        <v>0</v>
      </c>
      <c r="AN169" s="111">
        <v>2</v>
      </c>
      <c r="AO169" s="112">
        <v>100</v>
      </c>
      <c r="AP169" s="111">
        <v>2</v>
      </c>
    </row>
    <row r="170" spans="1:42" ht="15">
      <c r="A170" s="65" t="s">
        <v>355</v>
      </c>
      <c r="B170" s="65" t="s">
        <v>345</v>
      </c>
      <c r="C170" s="66" t="s">
        <v>4651</v>
      </c>
      <c r="D170" s="67">
        <v>3</v>
      </c>
      <c r="E170" s="68"/>
      <c r="F170" s="69">
        <v>40</v>
      </c>
      <c r="G170" s="66"/>
      <c r="H170" s="70"/>
      <c r="I170" s="71"/>
      <c r="J170" s="71"/>
      <c r="K170" s="35" t="s">
        <v>65</v>
      </c>
      <c r="L170" s="79">
        <v>170</v>
      </c>
      <c r="M170" s="79"/>
      <c r="N170" s="73"/>
      <c r="O170" s="81" t="s">
        <v>844</v>
      </c>
      <c r="P170" s="81" t="s">
        <v>199</v>
      </c>
      <c r="Q170" s="84" t="s">
        <v>1007</v>
      </c>
      <c r="R170" s="81" t="s">
        <v>355</v>
      </c>
      <c r="S170" s="81" t="s">
        <v>1714</v>
      </c>
      <c r="T170" s="86" t="str">
        <f>HYPERLINK("http://www.youtube.com/channel/UCquZCe1F2ez9EO_0-FKj3kA")</f>
        <v>http://www.youtube.com/channel/UCquZCe1F2ez9EO_0-FKj3kA</v>
      </c>
      <c r="U170" s="81"/>
      <c r="V170" s="81" t="s">
        <v>2311</v>
      </c>
      <c r="W170" s="86" t="str">
        <f>HYPERLINK("https://www.youtube.com/watch?v=iy-47a68P60")</f>
        <v>https://www.youtube.com/watch?v=iy-47a68P60</v>
      </c>
      <c r="X170" s="81" t="s">
        <v>2349</v>
      </c>
      <c r="Y170" s="81">
        <v>4</v>
      </c>
      <c r="Z170" s="88">
        <v>44015.501539351855</v>
      </c>
      <c r="AA170" s="88">
        <v>44015.501539351855</v>
      </c>
      <c r="AB170" s="81"/>
      <c r="AC170" s="81"/>
      <c r="AD170" s="84" t="s">
        <v>2390</v>
      </c>
      <c r="AE170" s="82">
        <v>1</v>
      </c>
      <c r="AF170" s="83" t="str">
        <f>REPLACE(INDEX(GroupVertices[Group],MATCH(Edges[[#This Row],[Vertex 1]],GroupVertices[Vertex],0)),1,1,"")</f>
        <v>8</v>
      </c>
      <c r="AG170" s="83" t="str">
        <f>REPLACE(INDEX(GroupVertices[Group],MATCH(Edges[[#This Row],[Vertex 2]],GroupVertices[Vertex],0)),1,1,"")</f>
        <v>8</v>
      </c>
      <c r="AH170" s="111">
        <v>1</v>
      </c>
      <c r="AI170" s="112">
        <v>12.5</v>
      </c>
      <c r="AJ170" s="111">
        <v>0</v>
      </c>
      <c r="AK170" s="112">
        <v>0</v>
      </c>
      <c r="AL170" s="111">
        <v>0</v>
      </c>
      <c r="AM170" s="112">
        <v>0</v>
      </c>
      <c r="AN170" s="111">
        <v>7</v>
      </c>
      <c r="AO170" s="112">
        <v>87.5</v>
      </c>
      <c r="AP170" s="111">
        <v>8</v>
      </c>
    </row>
    <row r="171" spans="1:42" ht="15">
      <c r="A171" s="65" t="s">
        <v>356</v>
      </c>
      <c r="B171" s="65" t="s">
        <v>359</v>
      </c>
      <c r="C171" s="66" t="s">
        <v>4651</v>
      </c>
      <c r="D171" s="67">
        <v>3</v>
      </c>
      <c r="E171" s="68"/>
      <c r="F171" s="69">
        <v>40</v>
      </c>
      <c r="G171" s="66"/>
      <c r="H171" s="70"/>
      <c r="I171" s="71"/>
      <c r="J171" s="71"/>
      <c r="K171" s="35" t="s">
        <v>65</v>
      </c>
      <c r="L171" s="79">
        <v>171</v>
      </c>
      <c r="M171" s="79"/>
      <c r="N171" s="73"/>
      <c r="O171" s="81" t="s">
        <v>845</v>
      </c>
      <c r="P171" s="81" t="s">
        <v>847</v>
      </c>
      <c r="Q171" s="84" t="s">
        <v>1008</v>
      </c>
      <c r="R171" s="81" t="s">
        <v>356</v>
      </c>
      <c r="S171" s="81" t="s">
        <v>1715</v>
      </c>
      <c r="T171" s="86" t="str">
        <f>HYPERLINK("http://www.youtube.com/channel/UCCvEc_XGu9DQ2GGv34u71vw")</f>
        <v>http://www.youtube.com/channel/UCCvEc_XGu9DQ2GGv34u71vw</v>
      </c>
      <c r="U171" s="81" t="s">
        <v>2204</v>
      </c>
      <c r="V171" s="81" t="s">
        <v>2311</v>
      </c>
      <c r="W171" s="86" t="str">
        <f>HYPERLINK("https://www.youtube.com/watch?v=iy-47a68P60")</f>
        <v>https://www.youtube.com/watch?v=iy-47a68P60</v>
      </c>
      <c r="X171" s="81" t="s">
        <v>2349</v>
      </c>
      <c r="Y171" s="81">
        <v>2</v>
      </c>
      <c r="Z171" s="88">
        <v>44188.84027777778</v>
      </c>
      <c r="AA171" s="88">
        <v>44188.84027777778</v>
      </c>
      <c r="AB171" s="81"/>
      <c r="AC171" s="81"/>
      <c r="AD171" s="84" t="s">
        <v>2390</v>
      </c>
      <c r="AE171" s="82">
        <v>1</v>
      </c>
      <c r="AF171" s="83" t="str">
        <f>REPLACE(INDEX(GroupVertices[Group],MATCH(Edges[[#This Row],[Vertex 1]],GroupVertices[Vertex],0)),1,1,"")</f>
        <v>8</v>
      </c>
      <c r="AG171" s="83" t="str">
        <f>REPLACE(INDEX(GroupVertices[Group],MATCH(Edges[[#This Row],[Vertex 2]],GroupVertices[Vertex],0)),1,1,"")</f>
        <v>8</v>
      </c>
      <c r="AH171" s="111">
        <v>0</v>
      </c>
      <c r="AI171" s="112">
        <v>0</v>
      </c>
      <c r="AJ171" s="111">
        <v>0</v>
      </c>
      <c r="AK171" s="112">
        <v>0</v>
      </c>
      <c r="AL171" s="111">
        <v>0</v>
      </c>
      <c r="AM171" s="112">
        <v>0</v>
      </c>
      <c r="AN171" s="111">
        <v>2</v>
      </c>
      <c r="AO171" s="112">
        <v>100</v>
      </c>
      <c r="AP171" s="111">
        <v>2</v>
      </c>
    </row>
    <row r="172" spans="1:42" ht="15">
      <c r="A172" s="65" t="s">
        <v>357</v>
      </c>
      <c r="B172" s="65" t="s">
        <v>359</v>
      </c>
      <c r="C172" s="66" t="s">
        <v>4651</v>
      </c>
      <c r="D172" s="67">
        <v>3</v>
      </c>
      <c r="E172" s="68"/>
      <c r="F172" s="69">
        <v>40</v>
      </c>
      <c r="G172" s="66"/>
      <c r="H172" s="70"/>
      <c r="I172" s="71"/>
      <c r="J172" s="71"/>
      <c r="K172" s="35" t="s">
        <v>65</v>
      </c>
      <c r="L172" s="79">
        <v>172</v>
      </c>
      <c r="M172" s="79"/>
      <c r="N172" s="73"/>
      <c r="O172" s="81" t="s">
        <v>845</v>
      </c>
      <c r="P172" s="81" t="s">
        <v>847</v>
      </c>
      <c r="Q172" s="84" t="s">
        <v>1009</v>
      </c>
      <c r="R172" s="81" t="s">
        <v>357</v>
      </c>
      <c r="S172" s="81" t="s">
        <v>1716</v>
      </c>
      <c r="T172" s="86" t="str">
        <f>HYPERLINK("http://www.youtube.com/channel/UCNBzhuZVqfO4lQS1eSMokLw")</f>
        <v>http://www.youtube.com/channel/UCNBzhuZVqfO4lQS1eSMokLw</v>
      </c>
      <c r="U172" s="81" t="s">
        <v>2204</v>
      </c>
      <c r="V172" s="81" t="s">
        <v>2311</v>
      </c>
      <c r="W172" s="86" t="str">
        <f>HYPERLINK("https://www.youtube.com/watch?v=iy-47a68P60")</f>
        <v>https://www.youtube.com/watch?v=iy-47a68P60</v>
      </c>
      <c r="X172" s="81" t="s">
        <v>2349</v>
      </c>
      <c r="Y172" s="81">
        <v>0</v>
      </c>
      <c r="Z172" s="88">
        <v>44313.353541666664</v>
      </c>
      <c r="AA172" s="88">
        <v>44313.353541666664</v>
      </c>
      <c r="AB172" s="81"/>
      <c r="AC172" s="81"/>
      <c r="AD172" s="84" t="s">
        <v>2390</v>
      </c>
      <c r="AE172" s="82">
        <v>1</v>
      </c>
      <c r="AF172" s="83" t="str">
        <f>REPLACE(INDEX(GroupVertices[Group],MATCH(Edges[[#This Row],[Vertex 1]],GroupVertices[Vertex],0)),1,1,"")</f>
        <v>8</v>
      </c>
      <c r="AG172" s="83" t="str">
        <f>REPLACE(INDEX(GroupVertices[Group],MATCH(Edges[[#This Row],[Vertex 2]],GroupVertices[Vertex],0)),1,1,"")</f>
        <v>8</v>
      </c>
      <c r="AH172" s="111">
        <v>2</v>
      </c>
      <c r="AI172" s="112">
        <v>6.896551724137931</v>
      </c>
      <c r="AJ172" s="111">
        <v>0</v>
      </c>
      <c r="AK172" s="112">
        <v>0</v>
      </c>
      <c r="AL172" s="111">
        <v>0</v>
      </c>
      <c r="AM172" s="112">
        <v>0</v>
      </c>
      <c r="AN172" s="111">
        <v>27</v>
      </c>
      <c r="AO172" s="112">
        <v>93.10344827586206</v>
      </c>
      <c r="AP172" s="111">
        <v>29</v>
      </c>
    </row>
    <row r="173" spans="1:42" ht="15">
      <c r="A173" s="65" t="s">
        <v>358</v>
      </c>
      <c r="B173" s="65" t="s">
        <v>359</v>
      </c>
      <c r="C173" s="66" t="s">
        <v>4651</v>
      </c>
      <c r="D173" s="67">
        <v>3</v>
      </c>
      <c r="E173" s="68"/>
      <c r="F173" s="69">
        <v>40</v>
      </c>
      <c r="G173" s="66"/>
      <c r="H173" s="70"/>
      <c r="I173" s="71"/>
      <c r="J173" s="71"/>
      <c r="K173" s="35" t="s">
        <v>65</v>
      </c>
      <c r="L173" s="79">
        <v>173</v>
      </c>
      <c r="M173" s="79"/>
      <c r="N173" s="73"/>
      <c r="O173" s="81" t="s">
        <v>845</v>
      </c>
      <c r="P173" s="81" t="s">
        <v>847</v>
      </c>
      <c r="Q173" s="84" t="s">
        <v>1010</v>
      </c>
      <c r="R173" s="81" t="s">
        <v>358</v>
      </c>
      <c r="S173" s="81" t="s">
        <v>1717</v>
      </c>
      <c r="T173" s="86" t="str">
        <f>HYPERLINK("http://www.youtube.com/channel/UCHoiWtniOfz8Avpww_0UVnQ")</f>
        <v>http://www.youtube.com/channel/UCHoiWtniOfz8Avpww_0UVnQ</v>
      </c>
      <c r="U173" s="81" t="s">
        <v>2204</v>
      </c>
      <c r="V173" s="81" t="s">
        <v>2311</v>
      </c>
      <c r="W173" s="86" t="str">
        <f>HYPERLINK("https://www.youtube.com/watch?v=iy-47a68P60")</f>
        <v>https://www.youtube.com/watch?v=iy-47a68P60</v>
      </c>
      <c r="X173" s="81" t="s">
        <v>2349</v>
      </c>
      <c r="Y173" s="81">
        <v>1</v>
      </c>
      <c r="Z173" s="88">
        <v>44315.816828703704</v>
      </c>
      <c r="AA173" s="88">
        <v>44315.816828703704</v>
      </c>
      <c r="AB173" s="81"/>
      <c r="AC173" s="81"/>
      <c r="AD173" s="84" t="s">
        <v>2390</v>
      </c>
      <c r="AE173" s="82">
        <v>1</v>
      </c>
      <c r="AF173" s="83" t="str">
        <f>REPLACE(INDEX(GroupVertices[Group],MATCH(Edges[[#This Row],[Vertex 1]],GroupVertices[Vertex],0)),1,1,"")</f>
        <v>8</v>
      </c>
      <c r="AG173" s="83" t="str">
        <f>REPLACE(INDEX(GroupVertices[Group],MATCH(Edges[[#This Row],[Vertex 2]],GroupVertices[Vertex],0)),1,1,"")</f>
        <v>8</v>
      </c>
      <c r="AH173" s="111">
        <v>0</v>
      </c>
      <c r="AI173" s="112">
        <v>0</v>
      </c>
      <c r="AJ173" s="111">
        <v>0</v>
      </c>
      <c r="AK173" s="112">
        <v>0</v>
      </c>
      <c r="AL173" s="111">
        <v>0</v>
      </c>
      <c r="AM173" s="112">
        <v>0</v>
      </c>
      <c r="AN173" s="111">
        <v>6</v>
      </c>
      <c r="AO173" s="112">
        <v>100</v>
      </c>
      <c r="AP173" s="111">
        <v>6</v>
      </c>
    </row>
    <row r="174" spans="1:42" ht="15">
      <c r="A174" s="65" t="s">
        <v>359</v>
      </c>
      <c r="B174" s="65" t="s">
        <v>345</v>
      </c>
      <c r="C174" s="66" t="s">
        <v>4651</v>
      </c>
      <c r="D174" s="67">
        <v>3</v>
      </c>
      <c r="E174" s="68"/>
      <c r="F174" s="69">
        <v>40</v>
      </c>
      <c r="G174" s="66"/>
      <c r="H174" s="70"/>
      <c r="I174" s="71"/>
      <c r="J174" s="71"/>
      <c r="K174" s="35" t="s">
        <v>65</v>
      </c>
      <c r="L174" s="79">
        <v>174</v>
      </c>
      <c r="M174" s="79"/>
      <c r="N174" s="73"/>
      <c r="O174" s="81" t="s">
        <v>844</v>
      </c>
      <c r="P174" s="81" t="s">
        <v>199</v>
      </c>
      <c r="Q174" s="84" t="s">
        <v>1011</v>
      </c>
      <c r="R174" s="81" t="s">
        <v>359</v>
      </c>
      <c r="S174" s="81" t="s">
        <v>1718</v>
      </c>
      <c r="T174" s="86" t="str">
        <f>HYPERLINK("http://www.youtube.com/channel/UClfh30g-tJ5OshRVhyFrGMg")</f>
        <v>http://www.youtube.com/channel/UClfh30g-tJ5OshRVhyFrGMg</v>
      </c>
      <c r="U174" s="81"/>
      <c r="V174" s="81" t="s">
        <v>2311</v>
      </c>
      <c r="W174" s="86" t="str">
        <f>HYPERLINK("https://www.youtube.com/watch?v=iy-47a68P60")</f>
        <v>https://www.youtube.com/watch?v=iy-47a68P60</v>
      </c>
      <c r="X174" s="81" t="s">
        <v>2349</v>
      </c>
      <c r="Y174" s="81">
        <v>9</v>
      </c>
      <c r="Z174" s="88">
        <v>44125.308125</v>
      </c>
      <c r="AA174" s="88">
        <v>44125.308125</v>
      </c>
      <c r="AB174" s="81"/>
      <c r="AC174" s="81"/>
      <c r="AD174" s="84" t="s">
        <v>2390</v>
      </c>
      <c r="AE174" s="82">
        <v>1</v>
      </c>
      <c r="AF174" s="83" t="str">
        <f>REPLACE(INDEX(GroupVertices[Group],MATCH(Edges[[#This Row],[Vertex 1]],GroupVertices[Vertex],0)),1,1,"")</f>
        <v>8</v>
      </c>
      <c r="AG174" s="83" t="str">
        <f>REPLACE(INDEX(GroupVertices[Group],MATCH(Edges[[#This Row],[Vertex 2]],GroupVertices[Vertex],0)),1,1,"")</f>
        <v>8</v>
      </c>
      <c r="AH174" s="111">
        <v>1</v>
      </c>
      <c r="AI174" s="112">
        <v>3.8461538461538463</v>
      </c>
      <c r="AJ174" s="111">
        <v>0</v>
      </c>
      <c r="AK174" s="112">
        <v>0</v>
      </c>
      <c r="AL174" s="111">
        <v>0</v>
      </c>
      <c r="AM174" s="112">
        <v>0</v>
      </c>
      <c r="AN174" s="111">
        <v>25</v>
      </c>
      <c r="AO174" s="112">
        <v>96.15384615384616</v>
      </c>
      <c r="AP174" s="111">
        <v>26</v>
      </c>
    </row>
    <row r="175" spans="1:42" ht="15">
      <c r="A175" s="65" t="s">
        <v>360</v>
      </c>
      <c r="B175" s="65" t="s">
        <v>361</v>
      </c>
      <c r="C175" s="66" t="s">
        <v>4651</v>
      </c>
      <c r="D175" s="67">
        <v>3</v>
      </c>
      <c r="E175" s="68"/>
      <c r="F175" s="69">
        <v>40</v>
      </c>
      <c r="G175" s="66"/>
      <c r="H175" s="70"/>
      <c r="I175" s="71"/>
      <c r="J175" s="71"/>
      <c r="K175" s="35" t="s">
        <v>65</v>
      </c>
      <c r="L175" s="79">
        <v>175</v>
      </c>
      <c r="M175" s="79"/>
      <c r="N175" s="73"/>
      <c r="O175" s="81" t="s">
        <v>845</v>
      </c>
      <c r="P175" s="81" t="s">
        <v>847</v>
      </c>
      <c r="Q175" s="84" t="s">
        <v>1012</v>
      </c>
      <c r="R175" s="81" t="s">
        <v>360</v>
      </c>
      <c r="S175" s="81" t="s">
        <v>1719</v>
      </c>
      <c r="T175" s="86" t="str">
        <f>HYPERLINK("http://www.youtube.com/channel/UCT1QRFUF5lMy0ECMKFIMeDw")</f>
        <v>http://www.youtube.com/channel/UCT1QRFUF5lMy0ECMKFIMeDw</v>
      </c>
      <c r="U175" s="81" t="s">
        <v>2205</v>
      </c>
      <c r="V175" s="81" t="s">
        <v>2311</v>
      </c>
      <c r="W175" s="86" t="str">
        <f>HYPERLINK("https://www.youtube.com/watch?v=iy-47a68P60")</f>
        <v>https://www.youtube.com/watch?v=iy-47a68P60</v>
      </c>
      <c r="X175" s="81" t="s">
        <v>2349</v>
      </c>
      <c r="Y175" s="81">
        <v>2</v>
      </c>
      <c r="Z175" s="88">
        <v>44174.67159722222</v>
      </c>
      <c r="AA175" s="88">
        <v>44174.67159722222</v>
      </c>
      <c r="AB175" s="81"/>
      <c r="AC175" s="81"/>
      <c r="AD175" s="84" t="s">
        <v>2390</v>
      </c>
      <c r="AE175" s="82">
        <v>1</v>
      </c>
      <c r="AF175" s="83" t="str">
        <f>REPLACE(INDEX(GroupVertices[Group],MATCH(Edges[[#This Row],[Vertex 1]],GroupVertices[Vertex],0)),1,1,"")</f>
        <v>8</v>
      </c>
      <c r="AG175" s="83" t="str">
        <f>REPLACE(INDEX(GroupVertices[Group],MATCH(Edges[[#This Row],[Vertex 2]],GroupVertices[Vertex],0)),1,1,"")</f>
        <v>8</v>
      </c>
      <c r="AH175" s="111">
        <v>1</v>
      </c>
      <c r="AI175" s="112">
        <v>16.666666666666668</v>
      </c>
      <c r="AJ175" s="111">
        <v>0</v>
      </c>
      <c r="AK175" s="112">
        <v>0</v>
      </c>
      <c r="AL175" s="111">
        <v>0</v>
      </c>
      <c r="AM175" s="112">
        <v>0</v>
      </c>
      <c r="AN175" s="111">
        <v>5</v>
      </c>
      <c r="AO175" s="112">
        <v>83.33333333333333</v>
      </c>
      <c r="AP175" s="111">
        <v>6</v>
      </c>
    </row>
    <row r="176" spans="1:42" ht="15">
      <c r="A176" s="65" t="s">
        <v>361</v>
      </c>
      <c r="B176" s="65" t="s">
        <v>345</v>
      </c>
      <c r="C176" s="66" t="s">
        <v>4651</v>
      </c>
      <c r="D176" s="67">
        <v>3</v>
      </c>
      <c r="E176" s="68"/>
      <c r="F176" s="69">
        <v>40</v>
      </c>
      <c r="G176" s="66"/>
      <c r="H176" s="70"/>
      <c r="I176" s="71"/>
      <c r="J176" s="71"/>
      <c r="K176" s="35" t="s">
        <v>65</v>
      </c>
      <c r="L176" s="79">
        <v>176</v>
      </c>
      <c r="M176" s="79"/>
      <c r="N176" s="73"/>
      <c r="O176" s="81" t="s">
        <v>844</v>
      </c>
      <c r="P176" s="81" t="s">
        <v>199</v>
      </c>
      <c r="Q176" s="84" t="s">
        <v>1013</v>
      </c>
      <c r="R176" s="81" t="s">
        <v>361</v>
      </c>
      <c r="S176" s="81" t="s">
        <v>1720</v>
      </c>
      <c r="T176" s="86" t="str">
        <f>HYPERLINK("http://www.youtube.com/channel/UCrMaHGk5LbL3alwvmnOM1QA")</f>
        <v>http://www.youtube.com/channel/UCrMaHGk5LbL3alwvmnOM1QA</v>
      </c>
      <c r="U176" s="81"/>
      <c r="V176" s="81" t="s">
        <v>2311</v>
      </c>
      <c r="W176" s="86" t="str">
        <f>HYPERLINK("https://www.youtube.com/watch?v=iy-47a68P60")</f>
        <v>https://www.youtube.com/watch?v=iy-47a68P60</v>
      </c>
      <c r="X176" s="81" t="s">
        <v>2349</v>
      </c>
      <c r="Y176" s="81">
        <v>7</v>
      </c>
      <c r="Z176" s="88">
        <v>44132.536828703705</v>
      </c>
      <c r="AA176" s="88">
        <v>44132.536828703705</v>
      </c>
      <c r="AB176" s="81"/>
      <c r="AC176" s="81"/>
      <c r="AD176" s="84" t="s">
        <v>2390</v>
      </c>
      <c r="AE176" s="82">
        <v>1</v>
      </c>
      <c r="AF176" s="83" t="str">
        <f>REPLACE(INDEX(GroupVertices[Group],MATCH(Edges[[#This Row],[Vertex 1]],GroupVertices[Vertex],0)),1,1,"")</f>
        <v>8</v>
      </c>
      <c r="AG176" s="83" t="str">
        <f>REPLACE(INDEX(GroupVertices[Group],MATCH(Edges[[#This Row],[Vertex 2]],GroupVertices[Vertex],0)),1,1,"")</f>
        <v>8</v>
      </c>
      <c r="AH176" s="111">
        <v>0</v>
      </c>
      <c r="AI176" s="112">
        <v>0</v>
      </c>
      <c r="AJ176" s="111">
        <v>1</v>
      </c>
      <c r="AK176" s="112">
        <v>7.6923076923076925</v>
      </c>
      <c r="AL176" s="111">
        <v>0</v>
      </c>
      <c r="AM176" s="112">
        <v>0</v>
      </c>
      <c r="AN176" s="111">
        <v>12</v>
      </c>
      <c r="AO176" s="112">
        <v>92.3076923076923</v>
      </c>
      <c r="AP176" s="111">
        <v>13</v>
      </c>
    </row>
    <row r="177" spans="1:42" ht="15">
      <c r="A177" s="65" t="s">
        <v>362</v>
      </c>
      <c r="B177" s="65" t="s">
        <v>345</v>
      </c>
      <c r="C177" s="66" t="s">
        <v>4651</v>
      </c>
      <c r="D177" s="67">
        <v>3</v>
      </c>
      <c r="E177" s="68"/>
      <c r="F177" s="69">
        <v>40</v>
      </c>
      <c r="G177" s="66"/>
      <c r="H177" s="70"/>
      <c r="I177" s="71"/>
      <c r="J177" s="71"/>
      <c r="K177" s="35" t="s">
        <v>65</v>
      </c>
      <c r="L177" s="79">
        <v>177</v>
      </c>
      <c r="M177" s="79"/>
      <c r="N177" s="73"/>
      <c r="O177" s="81" t="s">
        <v>844</v>
      </c>
      <c r="P177" s="81" t="s">
        <v>199</v>
      </c>
      <c r="Q177" s="84" t="s">
        <v>1014</v>
      </c>
      <c r="R177" s="81" t="s">
        <v>362</v>
      </c>
      <c r="S177" s="81" t="s">
        <v>1721</v>
      </c>
      <c r="T177" s="86" t="str">
        <f>HYPERLINK("http://www.youtube.com/channel/UCg4d6l9MowtoLE4uqrcBnxA")</f>
        <v>http://www.youtube.com/channel/UCg4d6l9MowtoLE4uqrcBnxA</v>
      </c>
      <c r="U177" s="81"/>
      <c r="V177" s="81" t="s">
        <v>2311</v>
      </c>
      <c r="W177" s="86" t="str">
        <f>HYPERLINK("https://www.youtube.com/watch?v=iy-47a68P60")</f>
        <v>https://www.youtube.com/watch?v=iy-47a68P60</v>
      </c>
      <c r="X177" s="81" t="s">
        <v>2349</v>
      </c>
      <c r="Y177" s="81">
        <v>0</v>
      </c>
      <c r="Z177" s="88">
        <v>44146.098344907405</v>
      </c>
      <c r="AA177" s="88">
        <v>44146.098344907405</v>
      </c>
      <c r="AB177" s="81" t="s">
        <v>2358</v>
      </c>
      <c r="AC177" s="81" t="s">
        <v>2383</v>
      </c>
      <c r="AD177" s="84" t="s">
        <v>2390</v>
      </c>
      <c r="AE177" s="82">
        <v>1</v>
      </c>
      <c r="AF177" s="83" t="str">
        <f>REPLACE(INDEX(GroupVertices[Group],MATCH(Edges[[#This Row],[Vertex 1]],GroupVertices[Vertex],0)),1,1,"")</f>
        <v>8</v>
      </c>
      <c r="AG177" s="83" t="str">
        <f>REPLACE(INDEX(GroupVertices[Group],MATCH(Edges[[#This Row],[Vertex 2]],GroupVertices[Vertex],0)),1,1,"")</f>
        <v>8</v>
      </c>
      <c r="AH177" s="111">
        <v>2</v>
      </c>
      <c r="AI177" s="112">
        <v>8</v>
      </c>
      <c r="AJ177" s="111">
        <v>0</v>
      </c>
      <c r="AK177" s="112">
        <v>0</v>
      </c>
      <c r="AL177" s="111">
        <v>0</v>
      </c>
      <c r="AM177" s="112">
        <v>0</v>
      </c>
      <c r="AN177" s="111">
        <v>23</v>
      </c>
      <c r="AO177" s="112">
        <v>92</v>
      </c>
      <c r="AP177" s="111">
        <v>25</v>
      </c>
    </row>
    <row r="178" spans="1:42" ht="15">
      <c r="A178" s="65" t="s">
        <v>363</v>
      </c>
      <c r="B178" s="65" t="s">
        <v>345</v>
      </c>
      <c r="C178" s="66" t="s">
        <v>4651</v>
      </c>
      <c r="D178" s="67">
        <v>3</v>
      </c>
      <c r="E178" s="68"/>
      <c r="F178" s="69">
        <v>40</v>
      </c>
      <c r="G178" s="66"/>
      <c r="H178" s="70"/>
      <c r="I178" s="71"/>
      <c r="J178" s="71"/>
      <c r="K178" s="35" t="s">
        <v>65</v>
      </c>
      <c r="L178" s="79">
        <v>178</v>
      </c>
      <c r="M178" s="79"/>
      <c r="N178" s="73"/>
      <c r="O178" s="81" t="s">
        <v>844</v>
      </c>
      <c r="P178" s="81" t="s">
        <v>199</v>
      </c>
      <c r="Q178" s="84" t="s">
        <v>1015</v>
      </c>
      <c r="R178" s="81" t="s">
        <v>363</v>
      </c>
      <c r="S178" s="81" t="s">
        <v>1722</v>
      </c>
      <c r="T178" s="86" t="str">
        <f>HYPERLINK("http://www.youtube.com/channel/UC-FODGYAtQLqV-hJyi7ruUg")</f>
        <v>http://www.youtube.com/channel/UC-FODGYAtQLqV-hJyi7ruUg</v>
      </c>
      <c r="U178" s="81"/>
      <c r="V178" s="81" t="s">
        <v>2311</v>
      </c>
      <c r="W178" s="86" t="str">
        <f>HYPERLINK("https://www.youtube.com/watch?v=iy-47a68P60")</f>
        <v>https://www.youtube.com/watch?v=iy-47a68P60</v>
      </c>
      <c r="X178" s="81" t="s">
        <v>2349</v>
      </c>
      <c r="Y178" s="81">
        <v>12</v>
      </c>
      <c r="Z178" s="88">
        <v>44167.55296296296</v>
      </c>
      <c r="AA178" s="88">
        <v>44167.55296296296</v>
      </c>
      <c r="AB178" s="81" t="s">
        <v>2359</v>
      </c>
      <c r="AC178" s="81" t="s">
        <v>2379</v>
      </c>
      <c r="AD178" s="84" t="s">
        <v>2390</v>
      </c>
      <c r="AE178" s="82">
        <v>1</v>
      </c>
      <c r="AF178" s="83" t="str">
        <f>REPLACE(INDEX(GroupVertices[Group],MATCH(Edges[[#This Row],[Vertex 1]],GroupVertices[Vertex],0)),1,1,"")</f>
        <v>8</v>
      </c>
      <c r="AG178" s="83" t="str">
        <f>REPLACE(INDEX(GroupVertices[Group],MATCH(Edges[[#This Row],[Vertex 2]],GroupVertices[Vertex],0)),1,1,"")</f>
        <v>8</v>
      </c>
      <c r="AH178" s="111">
        <v>1</v>
      </c>
      <c r="AI178" s="112">
        <v>2.380952380952381</v>
      </c>
      <c r="AJ178" s="111">
        <v>1</v>
      </c>
      <c r="AK178" s="112">
        <v>2.380952380952381</v>
      </c>
      <c r="AL178" s="111">
        <v>0</v>
      </c>
      <c r="AM178" s="112">
        <v>0</v>
      </c>
      <c r="AN178" s="111">
        <v>40</v>
      </c>
      <c r="AO178" s="112">
        <v>95.23809523809524</v>
      </c>
      <c r="AP178" s="111">
        <v>42</v>
      </c>
    </row>
    <row r="179" spans="1:42" ht="15">
      <c r="A179" s="65" t="s">
        <v>364</v>
      </c>
      <c r="B179" s="65" t="s">
        <v>366</v>
      </c>
      <c r="C179" s="66" t="s">
        <v>4651</v>
      </c>
      <c r="D179" s="67">
        <v>3</v>
      </c>
      <c r="E179" s="68"/>
      <c r="F179" s="69">
        <v>40</v>
      </c>
      <c r="G179" s="66"/>
      <c r="H179" s="70"/>
      <c r="I179" s="71"/>
      <c r="J179" s="71"/>
      <c r="K179" s="35" t="s">
        <v>65</v>
      </c>
      <c r="L179" s="79">
        <v>179</v>
      </c>
      <c r="M179" s="79"/>
      <c r="N179" s="73"/>
      <c r="O179" s="81" t="s">
        <v>845</v>
      </c>
      <c r="P179" s="81" t="s">
        <v>847</v>
      </c>
      <c r="Q179" s="84" t="s">
        <v>1016</v>
      </c>
      <c r="R179" s="81" t="s">
        <v>364</v>
      </c>
      <c r="S179" s="81" t="s">
        <v>1723</v>
      </c>
      <c r="T179" s="86" t="str">
        <f>HYPERLINK("http://www.youtube.com/channel/UCLZGKzxpgCoNQapxvw-l3yg")</f>
        <v>http://www.youtube.com/channel/UCLZGKzxpgCoNQapxvw-l3yg</v>
      </c>
      <c r="U179" s="81" t="s">
        <v>2206</v>
      </c>
      <c r="V179" s="81" t="s">
        <v>2311</v>
      </c>
      <c r="W179" s="86" t="str">
        <f>HYPERLINK("https://www.youtube.com/watch?v=iy-47a68P60")</f>
        <v>https://www.youtube.com/watch?v=iy-47a68P60</v>
      </c>
      <c r="X179" s="81" t="s">
        <v>2349</v>
      </c>
      <c r="Y179" s="81">
        <v>2</v>
      </c>
      <c r="Z179" s="88">
        <v>44320.6365625</v>
      </c>
      <c r="AA179" s="88">
        <v>44320.6365625</v>
      </c>
      <c r="AB179" s="81"/>
      <c r="AC179" s="81"/>
      <c r="AD179" s="84" t="s">
        <v>2390</v>
      </c>
      <c r="AE179" s="82">
        <v>1</v>
      </c>
      <c r="AF179" s="83" t="str">
        <f>REPLACE(INDEX(GroupVertices[Group],MATCH(Edges[[#This Row],[Vertex 1]],GroupVertices[Vertex],0)),1,1,"")</f>
        <v>8</v>
      </c>
      <c r="AG179" s="83" t="str">
        <f>REPLACE(INDEX(GroupVertices[Group],MATCH(Edges[[#This Row],[Vertex 2]],GroupVertices[Vertex],0)),1,1,"")</f>
        <v>8</v>
      </c>
      <c r="AH179" s="111">
        <v>0</v>
      </c>
      <c r="AI179" s="112">
        <v>0</v>
      </c>
      <c r="AJ179" s="111">
        <v>0</v>
      </c>
      <c r="AK179" s="112">
        <v>0</v>
      </c>
      <c r="AL179" s="111">
        <v>0</v>
      </c>
      <c r="AM179" s="112">
        <v>0</v>
      </c>
      <c r="AN179" s="111">
        <v>15</v>
      </c>
      <c r="AO179" s="112">
        <v>100</v>
      </c>
      <c r="AP179" s="111">
        <v>15</v>
      </c>
    </row>
    <row r="180" spans="1:42" ht="15">
      <c r="A180" s="65" t="s">
        <v>365</v>
      </c>
      <c r="B180" s="65" t="s">
        <v>366</v>
      </c>
      <c r="C180" s="66" t="s">
        <v>4651</v>
      </c>
      <c r="D180" s="67">
        <v>3</v>
      </c>
      <c r="E180" s="68"/>
      <c r="F180" s="69">
        <v>40</v>
      </c>
      <c r="G180" s="66"/>
      <c r="H180" s="70"/>
      <c r="I180" s="71"/>
      <c r="J180" s="71"/>
      <c r="K180" s="35" t="s">
        <v>65</v>
      </c>
      <c r="L180" s="79">
        <v>180</v>
      </c>
      <c r="M180" s="79"/>
      <c r="N180" s="73"/>
      <c r="O180" s="81" t="s">
        <v>845</v>
      </c>
      <c r="P180" s="81" t="s">
        <v>847</v>
      </c>
      <c r="Q180" s="84" t="s">
        <v>1017</v>
      </c>
      <c r="R180" s="81" t="s">
        <v>365</v>
      </c>
      <c r="S180" s="81" t="s">
        <v>1724</v>
      </c>
      <c r="T180" s="86" t="str">
        <f>HYPERLINK("http://www.youtube.com/channel/UCd5710HgazmFpHjs2qhyQSQ")</f>
        <v>http://www.youtube.com/channel/UCd5710HgazmFpHjs2qhyQSQ</v>
      </c>
      <c r="U180" s="81" t="s">
        <v>2206</v>
      </c>
      <c r="V180" s="81" t="s">
        <v>2311</v>
      </c>
      <c r="W180" s="86" t="str">
        <f>HYPERLINK("https://www.youtube.com/watch?v=iy-47a68P60")</f>
        <v>https://www.youtube.com/watch?v=iy-47a68P60</v>
      </c>
      <c r="X180" s="81" t="s">
        <v>2349</v>
      </c>
      <c r="Y180" s="81">
        <v>1</v>
      </c>
      <c r="Z180" s="88">
        <v>44343.87929398148</v>
      </c>
      <c r="AA180" s="88">
        <v>44343.87929398148</v>
      </c>
      <c r="AB180" s="81"/>
      <c r="AC180" s="81"/>
      <c r="AD180" s="84" t="s">
        <v>2390</v>
      </c>
      <c r="AE180" s="82">
        <v>1</v>
      </c>
      <c r="AF180" s="83" t="str">
        <f>REPLACE(INDEX(GroupVertices[Group],MATCH(Edges[[#This Row],[Vertex 1]],GroupVertices[Vertex],0)),1,1,"")</f>
        <v>8</v>
      </c>
      <c r="AG180" s="83" t="str">
        <f>REPLACE(INDEX(GroupVertices[Group],MATCH(Edges[[#This Row],[Vertex 2]],GroupVertices[Vertex],0)),1,1,"")</f>
        <v>8</v>
      </c>
      <c r="AH180" s="111">
        <v>0</v>
      </c>
      <c r="AI180" s="112">
        <v>0</v>
      </c>
      <c r="AJ180" s="111">
        <v>1</v>
      </c>
      <c r="AK180" s="112">
        <v>12.5</v>
      </c>
      <c r="AL180" s="111">
        <v>0</v>
      </c>
      <c r="AM180" s="112">
        <v>0</v>
      </c>
      <c r="AN180" s="111">
        <v>7</v>
      </c>
      <c r="AO180" s="112">
        <v>87.5</v>
      </c>
      <c r="AP180" s="111">
        <v>8</v>
      </c>
    </row>
    <row r="181" spans="1:42" ht="15">
      <c r="A181" s="65" t="s">
        <v>366</v>
      </c>
      <c r="B181" s="65" t="s">
        <v>345</v>
      </c>
      <c r="C181" s="66" t="s">
        <v>4651</v>
      </c>
      <c r="D181" s="67">
        <v>3</v>
      </c>
      <c r="E181" s="68"/>
      <c r="F181" s="69">
        <v>40</v>
      </c>
      <c r="G181" s="66"/>
      <c r="H181" s="70"/>
      <c r="I181" s="71"/>
      <c r="J181" s="71"/>
      <c r="K181" s="35" t="s">
        <v>65</v>
      </c>
      <c r="L181" s="79">
        <v>181</v>
      </c>
      <c r="M181" s="79"/>
      <c r="N181" s="73"/>
      <c r="O181" s="81" t="s">
        <v>844</v>
      </c>
      <c r="P181" s="81" t="s">
        <v>199</v>
      </c>
      <c r="Q181" s="84" t="s">
        <v>1018</v>
      </c>
      <c r="R181" s="81" t="s">
        <v>366</v>
      </c>
      <c r="S181" s="81" t="s">
        <v>1725</v>
      </c>
      <c r="T181" s="86" t="str">
        <f>HYPERLINK("http://www.youtube.com/channel/UCcBdotqqwzvvVi_YKbWgYEQ")</f>
        <v>http://www.youtube.com/channel/UCcBdotqqwzvvVi_YKbWgYEQ</v>
      </c>
      <c r="U181" s="81"/>
      <c r="V181" s="81" t="s">
        <v>2311</v>
      </c>
      <c r="W181" s="86" t="str">
        <f>HYPERLINK("https://www.youtube.com/watch?v=iy-47a68P60")</f>
        <v>https://www.youtube.com/watch?v=iy-47a68P60</v>
      </c>
      <c r="X181" s="81" t="s">
        <v>2349</v>
      </c>
      <c r="Y181" s="81">
        <v>22</v>
      </c>
      <c r="Z181" s="88">
        <v>44200.70315972222</v>
      </c>
      <c r="AA181" s="88">
        <v>44200.70315972222</v>
      </c>
      <c r="AB181" s="81"/>
      <c r="AC181" s="81"/>
      <c r="AD181" s="84" t="s">
        <v>2390</v>
      </c>
      <c r="AE181" s="82">
        <v>1</v>
      </c>
      <c r="AF181" s="83" t="str">
        <f>REPLACE(INDEX(GroupVertices[Group],MATCH(Edges[[#This Row],[Vertex 1]],GroupVertices[Vertex],0)),1,1,"")</f>
        <v>8</v>
      </c>
      <c r="AG181" s="83" t="str">
        <f>REPLACE(INDEX(GroupVertices[Group],MATCH(Edges[[#This Row],[Vertex 2]],GroupVertices[Vertex],0)),1,1,"")</f>
        <v>8</v>
      </c>
      <c r="AH181" s="111">
        <v>0</v>
      </c>
      <c r="AI181" s="112">
        <v>0</v>
      </c>
      <c r="AJ181" s="111">
        <v>1</v>
      </c>
      <c r="AK181" s="112">
        <v>6.666666666666667</v>
      </c>
      <c r="AL181" s="111">
        <v>0</v>
      </c>
      <c r="AM181" s="112">
        <v>0</v>
      </c>
      <c r="AN181" s="111">
        <v>14</v>
      </c>
      <c r="AO181" s="112">
        <v>93.33333333333333</v>
      </c>
      <c r="AP181" s="111">
        <v>15</v>
      </c>
    </row>
    <row r="182" spans="1:42" ht="15">
      <c r="A182" s="65" t="s">
        <v>367</v>
      </c>
      <c r="B182" s="65" t="s">
        <v>345</v>
      </c>
      <c r="C182" s="66" t="s">
        <v>4651</v>
      </c>
      <c r="D182" s="67">
        <v>3</v>
      </c>
      <c r="E182" s="68"/>
      <c r="F182" s="69">
        <v>40</v>
      </c>
      <c r="G182" s="66"/>
      <c r="H182" s="70"/>
      <c r="I182" s="71"/>
      <c r="J182" s="71"/>
      <c r="K182" s="35" t="s">
        <v>65</v>
      </c>
      <c r="L182" s="79">
        <v>182</v>
      </c>
      <c r="M182" s="79"/>
      <c r="N182" s="73"/>
      <c r="O182" s="81" t="s">
        <v>844</v>
      </c>
      <c r="P182" s="81" t="s">
        <v>199</v>
      </c>
      <c r="Q182" s="84" t="s">
        <v>1019</v>
      </c>
      <c r="R182" s="81" t="s">
        <v>367</v>
      </c>
      <c r="S182" s="81" t="s">
        <v>1726</v>
      </c>
      <c r="T182" s="86" t="str">
        <f>HYPERLINK("http://www.youtube.com/channel/UCxD0CiqPOHP_TSayw3Fb9ZA")</f>
        <v>http://www.youtube.com/channel/UCxD0CiqPOHP_TSayw3Fb9ZA</v>
      </c>
      <c r="U182" s="81"/>
      <c r="V182" s="81" t="s">
        <v>2311</v>
      </c>
      <c r="W182" s="86" t="str">
        <f>HYPERLINK("https://www.youtube.com/watch?v=iy-47a68P60")</f>
        <v>https://www.youtube.com/watch?v=iy-47a68P60</v>
      </c>
      <c r="X182" s="81" t="s">
        <v>2349</v>
      </c>
      <c r="Y182" s="81">
        <v>1</v>
      </c>
      <c r="Z182" s="88">
        <v>44252.76583333333</v>
      </c>
      <c r="AA182" s="88">
        <v>44252.76583333333</v>
      </c>
      <c r="AB182" s="81"/>
      <c r="AC182" s="81"/>
      <c r="AD182" s="84" t="s">
        <v>2390</v>
      </c>
      <c r="AE182" s="82">
        <v>1</v>
      </c>
      <c r="AF182" s="83" t="str">
        <f>REPLACE(INDEX(GroupVertices[Group],MATCH(Edges[[#This Row],[Vertex 1]],GroupVertices[Vertex],0)),1,1,"")</f>
        <v>8</v>
      </c>
      <c r="AG182" s="83" t="str">
        <f>REPLACE(INDEX(GroupVertices[Group],MATCH(Edges[[#This Row],[Vertex 2]],GroupVertices[Vertex],0)),1,1,"")</f>
        <v>8</v>
      </c>
      <c r="AH182" s="111">
        <v>0</v>
      </c>
      <c r="AI182" s="112">
        <v>0</v>
      </c>
      <c r="AJ182" s="111">
        <v>0</v>
      </c>
      <c r="AK182" s="112">
        <v>0</v>
      </c>
      <c r="AL182" s="111">
        <v>0</v>
      </c>
      <c r="AM182" s="112">
        <v>0</v>
      </c>
      <c r="AN182" s="111">
        <v>1</v>
      </c>
      <c r="AO182" s="112">
        <v>100</v>
      </c>
      <c r="AP182" s="111">
        <v>1</v>
      </c>
    </row>
    <row r="183" spans="1:42" ht="15">
      <c r="A183" s="65" t="s">
        <v>368</v>
      </c>
      <c r="B183" s="65" t="s">
        <v>345</v>
      </c>
      <c r="C183" s="66" t="s">
        <v>4651</v>
      </c>
      <c r="D183" s="67">
        <v>3</v>
      </c>
      <c r="E183" s="68"/>
      <c r="F183" s="69">
        <v>40</v>
      </c>
      <c r="G183" s="66"/>
      <c r="H183" s="70"/>
      <c r="I183" s="71"/>
      <c r="J183" s="71"/>
      <c r="K183" s="35" t="s">
        <v>65</v>
      </c>
      <c r="L183" s="79">
        <v>183</v>
      </c>
      <c r="M183" s="79"/>
      <c r="N183" s="73"/>
      <c r="O183" s="81" t="s">
        <v>844</v>
      </c>
      <c r="P183" s="81" t="s">
        <v>199</v>
      </c>
      <c r="Q183" s="84" t="s">
        <v>1020</v>
      </c>
      <c r="R183" s="81" t="s">
        <v>368</v>
      </c>
      <c r="S183" s="81" t="s">
        <v>1727</v>
      </c>
      <c r="T183" s="86" t="str">
        <f>HYPERLINK("http://www.youtube.com/channel/UCUl9KDDIT4qcONZlN-PC_GQ")</f>
        <v>http://www.youtube.com/channel/UCUl9KDDIT4qcONZlN-PC_GQ</v>
      </c>
      <c r="U183" s="81"/>
      <c r="V183" s="81" t="s">
        <v>2311</v>
      </c>
      <c r="W183" s="86" t="str">
        <f>HYPERLINK("https://www.youtube.com/watch?v=iy-47a68P60")</f>
        <v>https://www.youtube.com/watch?v=iy-47a68P60</v>
      </c>
      <c r="X183" s="81" t="s">
        <v>2349</v>
      </c>
      <c r="Y183" s="81">
        <v>4</v>
      </c>
      <c r="Z183" s="88">
        <v>44253.564108796294</v>
      </c>
      <c r="AA183" s="88">
        <v>44253.564108796294</v>
      </c>
      <c r="AB183" s="81"/>
      <c r="AC183" s="81"/>
      <c r="AD183" s="84" t="s">
        <v>2390</v>
      </c>
      <c r="AE183" s="82">
        <v>1</v>
      </c>
      <c r="AF183" s="83" t="str">
        <f>REPLACE(INDEX(GroupVertices[Group],MATCH(Edges[[#This Row],[Vertex 1]],GroupVertices[Vertex],0)),1,1,"")</f>
        <v>8</v>
      </c>
      <c r="AG183" s="83" t="str">
        <f>REPLACE(INDEX(GroupVertices[Group],MATCH(Edges[[#This Row],[Vertex 2]],GroupVertices[Vertex],0)),1,1,"")</f>
        <v>8</v>
      </c>
      <c r="AH183" s="111">
        <v>0</v>
      </c>
      <c r="AI183" s="112">
        <v>0</v>
      </c>
      <c r="AJ183" s="111">
        <v>0</v>
      </c>
      <c r="AK183" s="112">
        <v>0</v>
      </c>
      <c r="AL183" s="111">
        <v>0</v>
      </c>
      <c r="AM183" s="112">
        <v>0</v>
      </c>
      <c r="AN183" s="111">
        <v>6</v>
      </c>
      <c r="AO183" s="112">
        <v>100</v>
      </c>
      <c r="AP183" s="111">
        <v>6</v>
      </c>
    </row>
    <row r="184" spans="1:42" ht="15">
      <c r="A184" s="65" t="s">
        <v>369</v>
      </c>
      <c r="B184" s="65" t="s">
        <v>345</v>
      </c>
      <c r="C184" s="66" t="s">
        <v>4651</v>
      </c>
      <c r="D184" s="67">
        <v>3</v>
      </c>
      <c r="E184" s="68"/>
      <c r="F184" s="69">
        <v>40</v>
      </c>
      <c r="G184" s="66"/>
      <c r="H184" s="70"/>
      <c r="I184" s="71"/>
      <c r="J184" s="71"/>
      <c r="K184" s="35" t="s">
        <v>65</v>
      </c>
      <c r="L184" s="79">
        <v>184</v>
      </c>
      <c r="M184" s="79"/>
      <c r="N184" s="73"/>
      <c r="O184" s="81" t="s">
        <v>844</v>
      </c>
      <c r="P184" s="81" t="s">
        <v>199</v>
      </c>
      <c r="Q184" s="84" t="s">
        <v>1021</v>
      </c>
      <c r="R184" s="81" t="s">
        <v>369</v>
      </c>
      <c r="S184" s="81" t="s">
        <v>1728</v>
      </c>
      <c r="T184" s="86" t="str">
        <f>HYPERLINK("http://www.youtube.com/channel/UCog_Pc1wioSN5u5VND3Ua_w")</f>
        <v>http://www.youtube.com/channel/UCog_Pc1wioSN5u5VND3Ua_w</v>
      </c>
      <c r="U184" s="81"/>
      <c r="V184" s="81" t="s">
        <v>2311</v>
      </c>
      <c r="W184" s="86" t="str">
        <f>HYPERLINK("https://www.youtube.com/watch?v=iy-47a68P60")</f>
        <v>https://www.youtube.com/watch?v=iy-47a68P60</v>
      </c>
      <c r="X184" s="81" t="s">
        <v>2349</v>
      </c>
      <c r="Y184" s="81">
        <v>5</v>
      </c>
      <c r="Z184" s="88">
        <v>44258.45038194444</v>
      </c>
      <c r="AA184" s="88">
        <v>44258.450578703705</v>
      </c>
      <c r="AB184" s="81"/>
      <c r="AC184" s="81"/>
      <c r="AD184" s="84" t="s">
        <v>2390</v>
      </c>
      <c r="AE184" s="82">
        <v>1</v>
      </c>
      <c r="AF184" s="83" t="str">
        <f>REPLACE(INDEX(GroupVertices[Group],MATCH(Edges[[#This Row],[Vertex 1]],GroupVertices[Vertex],0)),1,1,"")</f>
        <v>8</v>
      </c>
      <c r="AG184" s="83" t="str">
        <f>REPLACE(INDEX(GroupVertices[Group],MATCH(Edges[[#This Row],[Vertex 2]],GroupVertices[Vertex],0)),1,1,"")</f>
        <v>8</v>
      </c>
      <c r="AH184" s="111">
        <v>0</v>
      </c>
      <c r="AI184" s="112">
        <v>0</v>
      </c>
      <c r="AJ184" s="111">
        <v>0</v>
      </c>
      <c r="AK184" s="112">
        <v>0</v>
      </c>
      <c r="AL184" s="111">
        <v>0</v>
      </c>
      <c r="AM184" s="112">
        <v>0</v>
      </c>
      <c r="AN184" s="111">
        <v>9</v>
      </c>
      <c r="AO184" s="112">
        <v>100</v>
      </c>
      <c r="AP184" s="111">
        <v>9</v>
      </c>
    </row>
    <row r="185" spans="1:42" ht="15">
      <c r="A185" s="65" t="s">
        <v>357</v>
      </c>
      <c r="B185" s="65" t="s">
        <v>823</v>
      </c>
      <c r="C185" s="66" t="s">
        <v>4651</v>
      </c>
      <c r="D185" s="67">
        <v>3</v>
      </c>
      <c r="E185" s="68"/>
      <c r="F185" s="69">
        <v>40</v>
      </c>
      <c r="G185" s="66"/>
      <c r="H185" s="70"/>
      <c r="I185" s="71"/>
      <c r="J185" s="71"/>
      <c r="K185" s="35" t="s">
        <v>65</v>
      </c>
      <c r="L185" s="79">
        <v>185</v>
      </c>
      <c r="M185" s="79"/>
      <c r="N185" s="73"/>
      <c r="O185" s="81" t="s">
        <v>845</v>
      </c>
      <c r="P185" s="81" t="s">
        <v>847</v>
      </c>
      <c r="Q185" s="84" t="s">
        <v>1022</v>
      </c>
      <c r="R185" s="81" t="s">
        <v>357</v>
      </c>
      <c r="S185" s="81" t="s">
        <v>1716</v>
      </c>
      <c r="T185" s="86" t="str">
        <f>HYPERLINK("http://www.youtube.com/channel/UCNBzhuZVqfO4lQS1eSMokLw")</f>
        <v>http://www.youtube.com/channel/UCNBzhuZVqfO4lQS1eSMokLw</v>
      </c>
      <c r="U185" s="81" t="s">
        <v>2207</v>
      </c>
      <c r="V185" s="81" t="s">
        <v>2311</v>
      </c>
      <c r="W185" s="86" t="str">
        <f>HYPERLINK("https://www.youtube.com/watch?v=iy-47a68P60")</f>
        <v>https://www.youtube.com/watch?v=iy-47a68P60</v>
      </c>
      <c r="X185" s="81" t="s">
        <v>2349</v>
      </c>
      <c r="Y185" s="81">
        <v>0</v>
      </c>
      <c r="Z185" s="88">
        <v>44313.35192129629</v>
      </c>
      <c r="AA185" s="88">
        <v>44313.35192129629</v>
      </c>
      <c r="AB185" s="81"/>
      <c r="AC185" s="81"/>
      <c r="AD185" s="84" t="s">
        <v>2390</v>
      </c>
      <c r="AE185" s="82">
        <v>1</v>
      </c>
      <c r="AF185" s="83" t="str">
        <f>REPLACE(INDEX(GroupVertices[Group],MATCH(Edges[[#This Row],[Vertex 1]],GroupVertices[Vertex],0)),1,1,"")</f>
        <v>8</v>
      </c>
      <c r="AG185" s="83" t="str">
        <f>REPLACE(INDEX(GroupVertices[Group],MATCH(Edges[[#This Row],[Vertex 2]],GroupVertices[Vertex],0)),1,1,"")</f>
        <v>8</v>
      </c>
      <c r="AH185" s="111">
        <v>2</v>
      </c>
      <c r="AI185" s="112">
        <v>6.896551724137931</v>
      </c>
      <c r="AJ185" s="111">
        <v>0</v>
      </c>
      <c r="AK185" s="112">
        <v>0</v>
      </c>
      <c r="AL185" s="111">
        <v>0</v>
      </c>
      <c r="AM185" s="112">
        <v>0</v>
      </c>
      <c r="AN185" s="111">
        <v>27</v>
      </c>
      <c r="AO185" s="112">
        <v>93.10344827586206</v>
      </c>
      <c r="AP185" s="111">
        <v>29</v>
      </c>
    </row>
    <row r="186" spans="1:42" ht="15">
      <c r="A186" s="65" t="s">
        <v>345</v>
      </c>
      <c r="B186" s="65" t="s">
        <v>370</v>
      </c>
      <c r="C186" s="66" t="s">
        <v>4651</v>
      </c>
      <c r="D186" s="67">
        <v>3</v>
      </c>
      <c r="E186" s="68"/>
      <c r="F186" s="69">
        <v>40</v>
      </c>
      <c r="G186" s="66"/>
      <c r="H186" s="70"/>
      <c r="I186" s="71"/>
      <c r="J186" s="71"/>
      <c r="K186" s="35" t="s">
        <v>66</v>
      </c>
      <c r="L186" s="79">
        <v>186</v>
      </c>
      <c r="M186" s="79"/>
      <c r="N186" s="73"/>
      <c r="O186" s="81" t="s">
        <v>845</v>
      </c>
      <c r="P186" s="81" t="s">
        <v>847</v>
      </c>
      <c r="Q186" s="84" t="s">
        <v>1023</v>
      </c>
      <c r="R186" s="81" t="s">
        <v>345</v>
      </c>
      <c r="S186" s="81" t="s">
        <v>1704</v>
      </c>
      <c r="T186" s="86" t="str">
        <f>HYPERLINK("http://www.youtube.com/channel/UCaGEe4KXZrjou9kQx6ezG2w")</f>
        <v>http://www.youtube.com/channel/UCaGEe4KXZrjou9kQx6ezG2w</v>
      </c>
      <c r="U186" s="81" t="s">
        <v>2208</v>
      </c>
      <c r="V186" s="81" t="s">
        <v>2311</v>
      </c>
      <c r="W186" s="86" t="str">
        <f>HYPERLINK("https://www.youtube.com/watch?v=iy-47a68P60")</f>
        <v>https://www.youtube.com/watch?v=iy-47a68P60</v>
      </c>
      <c r="X186" s="81" t="s">
        <v>2349</v>
      </c>
      <c r="Y186" s="81">
        <v>0</v>
      </c>
      <c r="Z186" s="88">
        <v>44313.450162037036</v>
      </c>
      <c r="AA186" s="88">
        <v>44313.450162037036</v>
      </c>
      <c r="AB186" s="81"/>
      <c r="AC186" s="81"/>
      <c r="AD186" s="84" t="s">
        <v>2390</v>
      </c>
      <c r="AE186" s="82">
        <v>1</v>
      </c>
      <c r="AF186" s="83" t="str">
        <f>REPLACE(INDEX(GroupVertices[Group],MATCH(Edges[[#This Row],[Vertex 1]],GroupVertices[Vertex],0)),1,1,"")</f>
        <v>8</v>
      </c>
      <c r="AG186" s="83" t="str">
        <f>REPLACE(INDEX(GroupVertices[Group],MATCH(Edges[[#This Row],[Vertex 2]],GroupVertices[Vertex],0)),1,1,"")</f>
        <v>8</v>
      </c>
      <c r="AH186" s="111">
        <v>3</v>
      </c>
      <c r="AI186" s="112">
        <v>23.076923076923077</v>
      </c>
      <c r="AJ186" s="111">
        <v>0</v>
      </c>
      <c r="AK186" s="112">
        <v>0</v>
      </c>
      <c r="AL186" s="111">
        <v>0</v>
      </c>
      <c r="AM186" s="112">
        <v>0</v>
      </c>
      <c r="AN186" s="111">
        <v>10</v>
      </c>
      <c r="AO186" s="112">
        <v>76.92307692307692</v>
      </c>
      <c r="AP186" s="111">
        <v>13</v>
      </c>
    </row>
    <row r="187" spans="1:42" ht="15">
      <c r="A187" s="65" t="s">
        <v>370</v>
      </c>
      <c r="B187" s="65" t="s">
        <v>345</v>
      </c>
      <c r="C187" s="66" t="s">
        <v>4651</v>
      </c>
      <c r="D187" s="67">
        <v>3</v>
      </c>
      <c r="E187" s="68"/>
      <c r="F187" s="69">
        <v>40</v>
      </c>
      <c r="G187" s="66"/>
      <c r="H187" s="70"/>
      <c r="I187" s="71"/>
      <c r="J187" s="71"/>
      <c r="K187" s="35" t="s">
        <v>66</v>
      </c>
      <c r="L187" s="79">
        <v>187</v>
      </c>
      <c r="M187" s="79"/>
      <c r="N187" s="73"/>
      <c r="O187" s="81" t="s">
        <v>844</v>
      </c>
      <c r="P187" s="81" t="s">
        <v>199</v>
      </c>
      <c r="Q187" s="84" t="s">
        <v>1024</v>
      </c>
      <c r="R187" s="81" t="s">
        <v>370</v>
      </c>
      <c r="S187" s="81" t="s">
        <v>1729</v>
      </c>
      <c r="T187" s="86" t="str">
        <f>HYPERLINK("http://www.youtube.com/channel/UCN8v8nA8KPlvLKvu2hjBqXQ")</f>
        <v>http://www.youtube.com/channel/UCN8v8nA8KPlvLKvu2hjBqXQ</v>
      </c>
      <c r="U187" s="81"/>
      <c r="V187" s="81" t="s">
        <v>2311</v>
      </c>
      <c r="W187" s="86" t="str">
        <f>HYPERLINK("https://www.youtube.com/watch?v=iy-47a68P60")</f>
        <v>https://www.youtube.com/watch?v=iy-47a68P60</v>
      </c>
      <c r="X187" s="81" t="s">
        <v>2349</v>
      </c>
      <c r="Y187" s="81">
        <v>3</v>
      </c>
      <c r="Z187" s="88">
        <v>44312.894583333335</v>
      </c>
      <c r="AA187" s="88">
        <v>44312.894583333335</v>
      </c>
      <c r="AB187" s="81"/>
      <c r="AC187" s="81"/>
      <c r="AD187" s="84" t="s">
        <v>2390</v>
      </c>
      <c r="AE187" s="82">
        <v>1</v>
      </c>
      <c r="AF187" s="83" t="str">
        <f>REPLACE(INDEX(GroupVertices[Group],MATCH(Edges[[#This Row],[Vertex 1]],GroupVertices[Vertex],0)),1,1,"")</f>
        <v>8</v>
      </c>
      <c r="AG187" s="83" t="str">
        <f>REPLACE(INDEX(GroupVertices[Group],MATCH(Edges[[#This Row],[Vertex 2]],GroupVertices[Vertex],0)),1,1,"")</f>
        <v>8</v>
      </c>
      <c r="AH187" s="111">
        <v>1</v>
      </c>
      <c r="AI187" s="112">
        <v>4.761904761904762</v>
      </c>
      <c r="AJ187" s="111">
        <v>1</v>
      </c>
      <c r="AK187" s="112">
        <v>4.761904761904762</v>
      </c>
      <c r="AL187" s="111">
        <v>0</v>
      </c>
      <c r="AM187" s="112">
        <v>0</v>
      </c>
      <c r="AN187" s="111">
        <v>19</v>
      </c>
      <c r="AO187" s="112">
        <v>90.47619047619048</v>
      </c>
      <c r="AP187" s="111">
        <v>21</v>
      </c>
    </row>
    <row r="188" spans="1:42" ht="15">
      <c r="A188" s="65" t="s">
        <v>358</v>
      </c>
      <c r="B188" s="65" t="s">
        <v>345</v>
      </c>
      <c r="C188" s="66" t="s">
        <v>4651</v>
      </c>
      <c r="D188" s="67">
        <v>3</v>
      </c>
      <c r="E188" s="68"/>
      <c r="F188" s="69">
        <v>40</v>
      </c>
      <c r="G188" s="66"/>
      <c r="H188" s="70"/>
      <c r="I188" s="71"/>
      <c r="J188" s="71"/>
      <c r="K188" s="35" t="s">
        <v>65</v>
      </c>
      <c r="L188" s="79">
        <v>188</v>
      </c>
      <c r="M188" s="79"/>
      <c r="N188" s="73"/>
      <c r="O188" s="81" t="s">
        <v>844</v>
      </c>
      <c r="P188" s="81" t="s">
        <v>199</v>
      </c>
      <c r="Q188" s="84" t="s">
        <v>1025</v>
      </c>
      <c r="R188" s="81" t="s">
        <v>358</v>
      </c>
      <c r="S188" s="81" t="s">
        <v>1717</v>
      </c>
      <c r="T188" s="86" t="str">
        <f>HYPERLINK("http://www.youtube.com/channel/UCHoiWtniOfz8Avpww_0UVnQ")</f>
        <v>http://www.youtube.com/channel/UCHoiWtniOfz8Avpww_0UVnQ</v>
      </c>
      <c r="U188" s="81"/>
      <c r="V188" s="81" t="s">
        <v>2311</v>
      </c>
      <c r="W188" s="86" t="str">
        <f>HYPERLINK("https://www.youtube.com/watch?v=iy-47a68P60")</f>
        <v>https://www.youtube.com/watch?v=iy-47a68P60</v>
      </c>
      <c r="X188" s="81" t="s">
        <v>2349</v>
      </c>
      <c r="Y188" s="81">
        <v>0</v>
      </c>
      <c r="Z188" s="88">
        <v>44315.81891203704</v>
      </c>
      <c r="AA188" s="88">
        <v>44315.81891203704</v>
      </c>
      <c r="AB188" s="81" t="s">
        <v>2360</v>
      </c>
      <c r="AC188" s="81" t="s">
        <v>2379</v>
      </c>
      <c r="AD188" s="84" t="s">
        <v>2390</v>
      </c>
      <c r="AE188" s="82">
        <v>1</v>
      </c>
      <c r="AF188" s="83" t="str">
        <f>REPLACE(INDEX(GroupVertices[Group],MATCH(Edges[[#This Row],[Vertex 1]],GroupVertices[Vertex],0)),1,1,"")</f>
        <v>8</v>
      </c>
      <c r="AG188" s="83" t="str">
        <f>REPLACE(INDEX(GroupVertices[Group],MATCH(Edges[[#This Row],[Vertex 2]],GroupVertices[Vertex],0)),1,1,"")</f>
        <v>8</v>
      </c>
      <c r="AH188" s="111">
        <v>0</v>
      </c>
      <c r="AI188" s="112">
        <v>0</v>
      </c>
      <c r="AJ188" s="111">
        <v>0</v>
      </c>
      <c r="AK188" s="112">
        <v>0</v>
      </c>
      <c r="AL188" s="111">
        <v>0</v>
      </c>
      <c r="AM188" s="112">
        <v>0</v>
      </c>
      <c r="AN188" s="111">
        <v>23</v>
      </c>
      <c r="AO188" s="112">
        <v>100</v>
      </c>
      <c r="AP188" s="111">
        <v>23</v>
      </c>
    </row>
    <row r="189" spans="1:42" ht="15">
      <c r="A189" s="65" t="s">
        <v>371</v>
      </c>
      <c r="B189" s="65" t="s">
        <v>345</v>
      </c>
      <c r="C189" s="66" t="s">
        <v>4651</v>
      </c>
      <c r="D189" s="67">
        <v>3</v>
      </c>
      <c r="E189" s="68"/>
      <c r="F189" s="69">
        <v>40</v>
      </c>
      <c r="G189" s="66"/>
      <c r="H189" s="70"/>
      <c r="I189" s="71"/>
      <c r="J189" s="71"/>
      <c r="K189" s="35" t="s">
        <v>65</v>
      </c>
      <c r="L189" s="79">
        <v>189</v>
      </c>
      <c r="M189" s="79"/>
      <c r="N189" s="73"/>
      <c r="O189" s="81" t="s">
        <v>844</v>
      </c>
      <c r="P189" s="81" t="s">
        <v>199</v>
      </c>
      <c r="Q189" s="84" t="s">
        <v>1026</v>
      </c>
      <c r="R189" s="81" t="s">
        <v>371</v>
      </c>
      <c r="S189" s="81" t="s">
        <v>1730</v>
      </c>
      <c r="T189" s="86" t="str">
        <f>HYPERLINK("http://www.youtube.com/channel/UCGpGyrZukGxN7EqHaLZ3tww")</f>
        <v>http://www.youtube.com/channel/UCGpGyrZukGxN7EqHaLZ3tww</v>
      </c>
      <c r="U189" s="81"/>
      <c r="V189" s="81" t="s">
        <v>2311</v>
      </c>
      <c r="W189" s="86" t="str">
        <f>HYPERLINK("https://www.youtube.com/watch?v=iy-47a68P60")</f>
        <v>https://www.youtube.com/watch?v=iy-47a68P60</v>
      </c>
      <c r="X189" s="81" t="s">
        <v>2349</v>
      </c>
      <c r="Y189" s="81">
        <v>0</v>
      </c>
      <c r="Z189" s="88">
        <v>44327.65675925926</v>
      </c>
      <c r="AA189" s="88">
        <v>44327.65675925926</v>
      </c>
      <c r="AB189" s="81"/>
      <c r="AC189" s="81"/>
      <c r="AD189" s="84" t="s">
        <v>2390</v>
      </c>
      <c r="AE189" s="82">
        <v>1</v>
      </c>
      <c r="AF189" s="83" t="str">
        <f>REPLACE(INDEX(GroupVertices[Group],MATCH(Edges[[#This Row],[Vertex 1]],GroupVertices[Vertex],0)),1,1,"")</f>
        <v>8</v>
      </c>
      <c r="AG189" s="83" t="str">
        <f>REPLACE(INDEX(GroupVertices[Group],MATCH(Edges[[#This Row],[Vertex 2]],GroupVertices[Vertex],0)),1,1,"")</f>
        <v>8</v>
      </c>
      <c r="AH189" s="111">
        <v>0</v>
      </c>
      <c r="AI189" s="112">
        <v>0</v>
      </c>
      <c r="AJ189" s="111">
        <v>0</v>
      </c>
      <c r="AK189" s="112">
        <v>0</v>
      </c>
      <c r="AL189" s="111">
        <v>0</v>
      </c>
      <c r="AM189" s="112">
        <v>0</v>
      </c>
      <c r="AN189" s="111">
        <v>8</v>
      </c>
      <c r="AO189" s="112">
        <v>100</v>
      </c>
      <c r="AP189" s="111">
        <v>8</v>
      </c>
    </row>
    <row r="190" spans="1:42" ht="15">
      <c r="A190" s="65" t="s">
        <v>345</v>
      </c>
      <c r="B190" s="65" t="s">
        <v>372</v>
      </c>
      <c r="C190" s="66" t="s">
        <v>4651</v>
      </c>
      <c r="D190" s="67">
        <v>3</v>
      </c>
      <c r="E190" s="68"/>
      <c r="F190" s="69">
        <v>40</v>
      </c>
      <c r="G190" s="66"/>
      <c r="H190" s="70"/>
      <c r="I190" s="71"/>
      <c r="J190" s="71"/>
      <c r="K190" s="35" t="s">
        <v>66</v>
      </c>
      <c r="L190" s="79">
        <v>190</v>
      </c>
      <c r="M190" s="79"/>
      <c r="N190" s="73"/>
      <c r="O190" s="81" t="s">
        <v>845</v>
      </c>
      <c r="P190" s="81" t="s">
        <v>847</v>
      </c>
      <c r="Q190" s="84" t="s">
        <v>1027</v>
      </c>
      <c r="R190" s="81" t="s">
        <v>345</v>
      </c>
      <c r="S190" s="81" t="s">
        <v>1704</v>
      </c>
      <c r="T190" s="86" t="str">
        <f>HYPERLINK("http://www.youtube.com/channel/UCaGEe4KXZrjou9kQx6ezG2w")</f>
        <v>http://www.youtube.com/channel/UCaGEe4KXZrjou9kQx6ezG2w</v>
      </c>
      <c r="U190" s="81" t="s">
        <v>2209</v>
      </c>
      <c r="V190" s="81" t="s">
        <v>2311</v>
      </c>
      <c r="W190" s="86" t="str">
        <f>HYPERLINK("https://www.youtube.com/watch?v=iy-47a68P60")</f>
        <v>https://www.youtube.com/watch?v=iy-47a68P60</v>
      </c>
      <c r="X190" s="81" t="s">
        <v>2349</v>
      </c>
      <c r="Y190" s="81">
        <v>1</v>
      </c>
      <c r="Z190" s="88">
        <v>44343.40131944444</v>
      </c>
      <c r="AA190" s="88">
        <v>44343.40131944444</v>
      </c>
      <c r="AB190" s="81"/>
      <c r="AC190" s="81"/>
      <c r="AD190" s="84" t="s">
        <v>2390</v>
      </c>
      <c r="AE190" s="82">
        <v>1</v>
      </c>
      <c r="AF190" s="83" t="str">
        <f>REPLACE(INDEX(GroupVertices[Group],MATCH(Edges[[#This Row],[Vertex 1]],GroupVertices[Vertex],0)),1,1,"")</f>
        <v>8</v>
      </c>
      <c r="AG190" s="83" t="str">
        <f>REPLACE(INDEX(GroupVertices[Group],MATCH(Edges[[#This Row],[Vertex 2]],GroupVertices[Vertex],0)),1,1,"")</f>
        <v>8</v>
      </c>
      <c r="AH190" s="111">
        <v>3</v>
      </c>
      <c r="AI190" s="112">
        <v>27.272727272727273</v>
      </c>
      <c r="AJ190" s="111">
        <v>0</v>
      </c>
      <c r="AK190" s="112">
        <v>0</v>
      </c>
      <c r="AL190" s="111">
        <v>0</v>
      </c>
      <c r="AM190" s="112">
        <v>0</v>
      </c>
      <c r="AN190" s="111">
        <v>8</v>
      </c>
      <c r="AO190" s="112">
        <v>72.72727272727273</v>
      </c>
      <c r="AP190" s="111">
        <v>11</v>
      </c>
    </row>
    <row r="191" spans="1:42" ht="15">
      <c r="A191" s="65" t="s">
        <v>372</v>
      </c>
      <c r="B191" s="65" t="s">
        <v>345</v>
      </c>
      <c r="C191" s="66" t="s">
        <v>4651</v>
      </c>
      <c r="D191" s="67">
        <v>3</v>
      </c>
      <c r="E191" s="68"/>
      <c r="F191" s="69">
        <v>40</v>
      </c>
      <c r="G191" s="66"/>
      <c r="H191" s="70"/>
      <c r="I191" s="71"/>
      <c r="J191" s="71"/>
      <c r="K191" s="35" t="s">
        <v>66</v>
      </c>
      <c r="L191" s="79">
        <v>191</v>
      </c>
      <c r="M191" s="79"/>
      <c r="N191" s="73"/>
      <c r="O191" s="81" t="s">
        <v>844</v>
      </c>
      <c r="P191" s="81" t="s">
        <v>199</v>
      </c>
      <c r="Q191" s="84" t="s">
        <v>1028</v>
      </c>
      <c r="R191" s="81" t="s">
        <v>372</v>
      </c>
      <c r="S191" s="81" t="s">
        <v>1731</v>
      </c>
      <c r="T191" s="86" t="str">
        <f>HYPERLINK("http://www.youtube.com/channel/UCNBgyqCMQA5ZDLlJ0vPUx0g")</f>
        <v>http://www.youtube.com/channel/UCNBgyqCMQA5ZDLlJ0vPUx0g</v>
      </c>
      <c r="U191" s="81"/>
      <c r="V191" s="81" t="s">
        <v>2311</v>
      </c>
      <c r="W191" s="86" t="str">
        <f>HYPERLINK("https://www.youtube.com/watch?v=iy-47a68P60")</f>
        <v>https://www.youtube.com/watch?v=iy-47a68P60</v>
      </c>
      <c r="X191" s="81" t="s">
        <v>2349</v>
      </c>
      <c r="Y191" s="81">
        <v>1</v>
      </c>
      <c r="Z191" s="88">
        <v>44343.00755787037</v>
      </c>
      <c r="AA191" s="88">
        <v>44343.00755787037</v>
      </c>
      <c r="AB191" s="81"/>
      <c r="AC191" s="81"/>
      <c r="AD191" s="84" t="s">
        <v>2390</v>
      </c>
      <c r="AE191" s="82">
        <v>1</v>
      </c>
      <c r="AF191" s="83" t="str">
        <f>REPLACE(INDEX(GroupVertices[Group],MATCH(Edges[[#This Row],[Vertex 1]],GroupVertices[Vertex],0)),1,1,"")</f>
        <v>8</v>
      </c>
      <c r="AG191" s="83" t="str">
        <f>REPLACE(INDEX(GroupVertices[Group],MATCH(Edges[[#This Row],[Vertex 2]],GroupVertices[Vertex],0)),1,1,"")</f>
        <v>8</v>
      </c>
      <c r="AH191" s="111">
        <v>0</v>
      </c>
      <c r="AI191" s="112">
        <v>0</v>
      </c>
      <c r="AJ191" s="111">
        <v>1</v>
      </c>
      <c r="AK191" s="112">
        <v>6.666666666666667</v>
      </c>
      <c r="AL191" s="111">
        <v>0</v>
      </c>
      <c r="AM191" s="112">
        <v>0</v>
      </c>
      <c r="AN191" s="111">
        <v>14</v>
      </c>
      <c r="AO191" s="112">
        <v>93.33333333333333</v>
      </c>
      <c r="AP191" s="111">
        <v>15</v>
      </c>
    </row>
    <row r="192" spans="1:42" ht="15">
      <c r="A192" s="65" t="s">
        <v>373</v>
      </c>
      <c r="B192" s="65" t="s">
        <v>374</v>
      </c>
      <c r="C192" s="66" t="s">
        <v>4651</v>
      </c>
      <c r="D192" s="67">
        <v>3</v>
      </c>
      <c r="E192" s="68"/>
      <c r="F192" s="69">
        <v>40</v>
      </c>
      <c r="G192" s="66"/>
      <c r="H192" s="70"/>
      <c r="I192" s="71"/>
      <c r="J192" s="71"/>
      <c r="K192" s="35" t="s">
        <v>65</v>
      </c>
      <c r="L192" s="79">
        <v>192</v>
      </c>
      <c r="M192" s="79"/>
      <c r="N192" s="73"/>
      <c r="O192" s="81" t="s">
        <v>845</v>
      </c>
      <c r="P192" s="81" t="s">
        <v>847</v>
      </c>
      <c r="Q192" s="84" t="s">
        <v>1029</v>
      </c>
      <c r="R192" s="81" t="s">
        <v>373</v>
      </c>
      <c r="S192" s="81" t="s">
        <v>1732</v>
      </c>
      <c r="T192" s="86" t="str">
        <f>HYPERLINK("http://www.youtube.com/channel/UCbe-qpl6Hqfkw7zhko17fZw")</f>
        <v>http://www.youtube.com/channel/UCbe-qpl6Hqfkw7zhko17fZw</v>
      </c>
      <c r="U192" s="81" t="s">
        <v>2210</v>
      </c>
      <c r="V192" s="81" t="s">
        <v>2312</v>
      </c>
      <c r="W192" s="86" t="str">
        <f>HYPERLINK("https://www.youtube.com/watch?v=vpEAos0blyw")</f>
        <v>https://www.youtube.com/watch?v=vpEAos0blyw</v>
      </c>
      <c r="X192" s="81" t="s">
        <v>2349</v>
      </c>
      <c r="Y192" s="81">
        <v>0</v>
      </c>
      <c r="Z192" s="88">
        <v>44131.660405092596</v>
      </c>
      <c r="AA192" s="88">
        <v>44131.660405092596</v>
      </c>
      <c r="AB192" s="81"/>
      <c r="AC192" s="81"/>
      <c r="AD192" s="84" t="s">
        <v>2390</v>
      </c>
      <c r="AE192" s="82">
        <v>1</v>
      </c>
      <c r="AF192" s="83" t="str">
        <f>REPLACE(INDEX(GroupVertices[Group],MATCH(Edges[[#This Row],[Vertex 1]],GroupVertices[Vertex],0)),1,1,"")</f>
        <v>4</v>
      </c>
      <c r="AG192" s="83" t="str">
        <f>REPLACE(INDEX(GroupVertices[Group],MATCH(Edges[[#This Row],[Vertex 2]],GroupVertices[Vertex],0)),1,1,"")</f>
        <v>4</v>
      </c>
      <c r="AH192" s="111">
        <v>0</v>
      </c>
      <c r="AI192" s="112">
        <v>0</v>
      </c>
      <c r="AJ192" s="111">
        <v>0</v>
      </c>
      <c r="AK192" s="112">
        <v>0</v>
      </c>
      <c r="AL192" s="111">
        <v>0</v>
      </c>
      <c r="AM192" s="112">
        <v>0</v>
      </c>
      <c r="AN192" s="111">
        <v>1</v>
      </c>
      <c r="AO192" s="112">
        <v>100</v>
      </c>
      <c r="AP192" s="111">
        <v>1</v>
      </c>
    </row>
    <row r="193" spans="1:42" ht="15">
      <c r="A193" s="65" t="s">
        <v>374</v>
      </c>
      <c r="B193" s="65" t="s">
        <v>840</v>
      </c>
      <c r="C193" s="66" t="s">
        <v>4651</v>
      </c>
      <c r="D193" s="67">
        <v>3</v>
      </c>
      <c r="E193" s="68"/>
      <c r="F193" s="69">
        <v>40</v>
      </c>
      <c r="G193" s="66"/>
      <c r="H193" s="70"/>
      <c r="I193" s="71"/>
      <c r="J193" s="71"/>
      <c r="K193" s="35" t="s">
        <v>65</v>
      </c>
      <c r="L193" s="79">
        <v>193</v>
      </c>
      <c r="M193" s="79"/>
      <c r="N193" s="73"/>
      <c r="O193" s="81" t="s">
        <v>844</v>
      </c>
      <c r="P193" s="81" t="s">
        <v>199</v>
      </c>
      <c r="Q193" s="84" t="s">
        <v>1030</v>
      </c>
      <c r="R193" s="81" t="s">
        <v>374</v>
      </c>
      <c r="S193" s="81" t="s">
        <v>1733</v>
      </c>
      <c r="T193" s="86" t="str">
        <f>HYPERLINK("http://www.youtube.com/channel/UCQk56KBdgzcZalZlDKPKRQQ")</f>
        <v>http://www.youtube.com/channel/UCQk56KBdgzcZalZlDKPKRQQ</v>
      </c>
      <c r="U193" s="81"/>
      <c r="V193" s="81" t="s">
        <v>2312</v>
      </c>
      <c r="W193" s="86" t="str">
        <f>HYPERLINK("https://www.youtube.com/watch?v=vpEAos0blyw")</f>
        <v>https://www.youtube.com/watch?v=vpEAos0blyw</v>
      </c>
      <c r="X193" s="81" t="s">
        <v>2349</v>
      </c>
      <c r="Y193" s="81">
        <v>0</v>
      </c>
      <c r="Z193" s="88">
        <v>42856.876064814816</v>
      </c>
      <c r="AA193" s="88">
        <v>42856.876064814816</v>
      </c>
      <c r="AB193" s="81"/>
      <c r="AC193" s="81"/>
      <c r="AD193" s="84" t="s">
        <v>2390</v>
      </c>
      <c r="AE193" s="82">
        <v>1</v>
      </c>
      <c r="AF193" s="83" t="str">
        <f>REPLACE(INDEX(GroupVertices[Group],MATCH(Edges[[#This Row],[Vertex 1]],GroupVertices[Vertex],0)),1,1,"")</f>
        <v>4</v>
      </c>
      <c r="AG193" s="83" t="str">
        <f>REPLACE(INDEX(GroupVertices[Group],MATCH(Edges[[#This Row],[Vertex 2]],GroupVertices[Vertex],0)),1,1,"")</f>
        <v>4</v>
      </c>
      <c r="AH193" s="111">
        <v>1</v>
      </c>
      <c r="AI193" s="112">
        <v>100</v>
      </c>
      <c r="AJ193" s="111">
        <v>0</v>
      </c>
      <c r="AK193" s="112">
        <v>0</v>
      </c>
      <c r="AL193" s="111">
        <v>0</v>
      </c>
      <c r="AM193" s="112">
        <v>0</v>
      </c>
      <c r="AN193" s="111">
        <v>0</v>
      </c>
      <c r="AO193" s="112">
        <v>0</v>
      </c>
      <c r="AP193" s="111">
        <v>1</v>
      </c>
    </row>
    <row r="194" spans="1:42" ht="15">
      <c r="A194" s="65" t="s">
        <v>375</v>
      </c>
      <c r="B194" s="65" t="s">
        <v>840</v>
      </c>
      <c r="C194" s="66" t="s">
        <v>4651</v>
      </c>
      <c r="D194" s="67">
        <v>3</v>
      </c>
      <c r="E194" s="68"/>
      <c r="F194" s="69">
        <v>40</v>
      </c>
      <c r="G194" s="66"/>
      <c r="H194" s="70"/>
      <c r="I194" s="71"/>
      <c r="J194" s="71"/>
      <c r="K194" s="35" t="s">
        <v>65</v>
      </c>
      <c r="L194" s="79">
        <v>194</v>
      </c>
      <c r="M194" s="79"/>
      <c r="N194" s="73"/>
      <c r="O194" s="81" t="s">
        <v>844</v>
      </c>
      <c r="P194" s="81" t="s">
        <v>199</v>
      </c>
      <c r="Q194" s="84" t="s">
        <v>1031</v>
      </c>
      <c r="R194" s="81" t="s">
        <v>375</v>
      </c>
      <c r="S194" s="81" t="s">
        <v>1734</v>
      </c>
      <c r="T194" s="86" t="str">
        <f>HYPERLINK("http://www.youtube.com/channel/UCEzn6-8Kq1hB0rtosTVDXhA")</f>
        <v>http://www.youtube.com/channel/UCEzn6-8Kq1hB0rtosTVDXhA</v>
      </c>
      <c r="U194" s="81"/>
      <c r="V194" s="81" t="s">
        <v>2312</v>
      </c>
      <c r="W194" s="86" t="str">
        <f>HYPERLINK("https://www.youtube.com/watch?v=vpEAos0blyw")</f>
        <v>https://www.youtube.com/watch?v=vpEAos0blyw</v>
      </c>
      <c r="X194" s="81" t="s">
        <v>2349</v>
      </c>
      <c r="Y194" s="81">
        <v>1</v>
      </c>
      <c r="Z194" s="88">
        <v>43011.6887037037</v>
      </c>
      <c r="AA194" s="88">
        <v>43011.6887037037</v>
      </c>
      <c r="AB194" s="81"/>
      <c r="AC194" s="81"/>
      <c r="AD194" s="84" t="s">
        <v>2390</v>
      </c>
      <c r="AE194" s="82">
        <v>1</v>
      </c>
      <c r="AF194" s="83" t="str">
        <f>REPLACE(INDEX(GroupVertices[Group],MATCH(Edges[[#This Row],[Vertex 1]],GroupVertices[Vertex],0)),1,1,"")</f>
        <v>4</v>
      </c>
      <c r="AG194" s="83" t="str">
        <f>REPLACE(INDEX(GroupVertices[Group],MATCH(Edges[[#This Row],[Vertex 2]],GroupVertices[Vertex],0)),1,1,"")</f>
        <v>4</v>
      </c>
      <c r="AH194" s="111">
        <v>1</v>
      </c>
      <c r="AI194" s="112">
        <v>100</v>
      </c>
      <c r="AJ194" s="111">
        <v>0</v>
      </c>
      <c r="AK194" s="112">
        <v>0</v>
      </c>
      <c r="AL194" s="111">
        <v>0</v>
      </c>
      <c r="AM194" s="112">
        <v>0</v>
      </c>
      <c r="AN194" s="111">
        <v>0</v>
      </c>
      <c r="AO194" s="112">
        <v>0</v>
      </c>
      <c r="AP194" s="111">
        <v>1</v>
      </c>
    </row>
    <row r="195" spans="1:42" ht="15">
      <c r="A195" s="65" t="s">
        <v>376</v>
      </c>
      <c r="B195" s="65" t="s">
        <v>840</v>
      </c>
      <c r="C195" s="66" t="s">
        <v>4651</v>
      </c>
      <c r="D195" s="67">
        <v>3</v>
      </c>
      <c r="E195" s="68"/>
      <c r="F195" s="69">
        <v>40</v>
      </c>
      <c r="G195" s="66"/>
      <c r="H195" s="70"/>
      <c r="I195" s="71"/>
      <c r="J195" s="71"/>
      <c r="K195" s="35" t="s">
        <v>65</v>
      </c>
      <c r="L195" s="79">
        <v>195</v>
      </c>
      <c r="M195" s="79"/>
      <c r="N195" s="73"/>
      <c r="O195" s="81" t="s">
        <v>844</v>
      </c>
      <c r="P195" s="81" t="s">
        <v>199</v>
      </c>
      <c r="Q195" s="84" t="s">
        <v>1032</v>
      </c>
      <c r="R195" s="81" t="s">
        <v>376</v>
      </c>
      <c r="S195" s="81" t="s">
        <v>1735</v>
      </c>
      <c r="T195" s="86" t="str">
        <f>HYPERLINK("http://www.youtube.com/channel/UCWf2pD8fClkUEIIJjq4B5nw")</f>
        <v>http://www.youtube.com/channel/UCWf2pD8fClkUEIIJjq4B5nw</v>
      </c>
      <c r="U195" s="81"/>
      <c r="V195" s="81" t="s">
        <v>2312</v>
      </c>
      <c r="W195" s="86" t="str">
        <f>HYPERLINK("https://www.youtube.com/watch?v=vpEAos0blyw")</f>
        <v>https://www.youtube.com/watch?v=vpEAos0blyw</v>
      </c>
      <c r="X195" s="81" t="s">
        <v>2349</v>
      </c>
      <c r="Y195" s="81">
        <v>0</v>
      </c>
      <c r="Z195" s="88">
        <v>43155.15064814815</v>
      </c>
      <c r="AA195" s="88">
        <v>43155.15064814815</v>
      </c>
      <c r="AB195" s="81"/>
      <c r="AC195" s="81"/>
      <c r="AD195" s="84" t="s">
        <v>2390</v>
      </c>
      <c r="AE195" s="82">
        <v>1</v>
      </c>
      <c r="AF195" s="83" t="str">
        <f>REPLACE(INDEX(GroupVertices[Group],MATCH(Edges[[#This Row],[Vertex 1]],GroupVertices[Vertex],0)),1,1,"")</f>
        <v>4</v>
      </c>
      <c r="AG195" s="83" t="str">
        <f>REPLACE(INDEX(GroupVertices[Group],MATCH(Edges[[#This Row],[Vertex 2]],GroupVertices[Vertex],0)),1,1,"")</f>
        <v>4</v>
      </c>
      <c r="AH195" s="111">
        <v>1</v>
      </c>
      <c r="AI195" s="112">
        <v>50</v>
      </c>
      <c r="AJ195" s="111">
        <v>0</v>
      </c>
      <c r="AK195" s="112">
        <v>0</v>
      </c>
      <c r="AL195" s="111">
        <v>0</v>
      </c>
      <c r="AM195" s="112">
        <v>0</v>
      </c>
      <c r="AN195" s="111">
        <v>1</v>
      </c>
      <c r="AO195" s="112">
        <v>50</v>
      </c>
      <c r="AP195" s="111">
        <v>2</v>
      </c>
    </row>
    <row r="196" spans="1:42" ht="15">
      <c r="A196" s="65" t="s">
        <v>377</v>
      </c>
      <c r="B196" s="65" t="s">
        <v>840</v>
      </c>
      <c r="C196" s="66" t="s">
        <v>4651</v>
      </c>
      <c r="D196" s="67">
        <v>3</v>
      </c>
      <c r="E196" s="68"/>
      <c r="F196" s="69">
        <v>40</v>
      </c>
      <c r="G196" s="66"/>
      <c r="H196" s="70"/>
      <c r="I196" s="71"/>
      <c r="J196" s="71"/>
      <c r="K196" s="35" t="s">
        <v>65</v>
      </c>
      <c r="L196" s="79">
        <v>196</v>
      </c>
      <c r="M196" s="79"/>
      <c r="N196" s="73"/>
      <c r="O196" s="81" t="s">
        <v>844</v>
      </c>
      <c r="P196" s="81" t="s">
        <v>199</v>
      </c>
      <c r="Q196" s="84" t="s">
        <v>1033</v>
      </c>
      <c r="R196" s="81" t="s">
        <v>377</v>
      </c>
      <c r="S196" s="81" t="s">
        <v>1736</v>
      </c>
      <c r="T196" s="86" t="str">
        <f>HYPERLINK("http://www.youtube.com/channel/UCbCbuXFHCOUQwmP-3W4caqg")</f>
        <v>http://www.youtube.com/channel/UCbCbuXFHCOUQwmP-3W4caqg</v>
      </c>
      <c r="U196" s="81"/>
      <c r="V196" s="81" t="s">
        <v>2312</v>
      </c>
      <c r="W196" s="86" t="str">
        <f>HYPERLINK("https://www.youtube.com/watch?v=vpEAos0blyw")</f>
        <v>https://www.youtube.com/watch?v=vpEAos0blyw</v>
      </c>
      <c r="X196" s="81" t="s">
        <v>2349</v>
      </c>
      <c r="Y196" s="81">
        <v>1</v>
      </c>
      <c r="Z196" s="88">
        <v>43469.78251157407</v>
      </c>
      <c r="AA196" s="88">
        <v>43469.78251157407</v>
      </c>
      <c r="AB196" s="81"/>
      <c r="AC196" s="81"/>
      <c r="AD196" s="84" t="s">
        <v>2390</v>
      </c>
      <c r="AE196" s="82">
        <v>1</v>
      </c>
      <c r="AF196" s="83" t="str">
        <f>REPLACE(INDEX(GroupVertices[Group],MATCH(Edges[[#This Row],[Vertex 1]],GroupVertices[Vertex],0)),1,1,"")</f>
        <v>4</v>
      </c>
      <c r="AG196" s="83" t="str">
        <f>REPLACE(INDEX(GroupVertices[Group],MATCH(Edges[[#This Row],[Vertex 2]],GroupVertices[Vertex],0)),1,1,"")</f>
        <v>4</v>
      </c>
      <c r="AH196" s="111">
        <v>0</v>
      </c>
      <c r="AI196" s="112">
        <v>0</v>
      </c>
      <c r="AJ196" s="111">
        <v>0</v>
      </c>
      <c r="AK196" s="112">
        <v>0</v>
      </c>
      <c r="AL196" s="111">
        <v>0</v>
      </c>
      <c r="AM196" s="112">
        <v>0</v>
      </c>
      <c r="AN196" s="111">
        <v>6</v>
      </c>
      <c r="AO196" s="112">
        <v>100</v>
      </c>
      <c r="AP196" s="111">
        <v>6</v>
      </c>
    </row>
    <row r="197" spans="1:42" ht="15">
      <c r="A197" s="65" t="s">
        <v>378</v>
      </c>
      <c r="B197" s="65" t="s">
        <v>379</v>
      </c>
      <c r="C197" s="66" t="s">
        <v>4651</v>
      </c>
      <c r="D197" s="67">
        <v>3</v>
      </c>
      <c r="E197" s="68"/>
      <c r="F197" s="69">
        <v>40</v>
      </c>
      <c r="G197" s="66"/>
      <c r="H197" s="70"/>
      <c r="I197" s="71"/>
      <c r="J197" s="71"/>
      <c r="K197" s="35" t="s">
        <v>65</v>
      </c>
      <c r="L197" s="79">
        <v>197</v>
      </c>
      <c r="M197" s="79"/>
      <c r="N197" s="73"/>
      <c r="O197" s="81" t="s">
        <v>845</v>
      </c>
      <c r="P197" s="81" t="s">
        <v>847</v>
      </c>
      <c r="Q197" s="84" t="s">
        <v>1034</v>
      </c>
      <c r="R197" s="81" t="s">
        <v>378</v>
      </c>
      <c r="S197" s="81" t="s">
        <v>1737</v>
      </c>
      <c r="T197" s="86" t="str">
        <f>HYPERLINK("http://www.youtube.com/channel/UCZlF6sHHNC54_00VdC7D-eA")</f>
        <v>http://www.youtube.com/channel/UCZlF6sHHNC54_00VdC7D-eA</v>
      </c>
      <c r="U197" s="81" t="s">
        <v>2211</v>
      </c>
      <c r="V197" s="81" t="s">
        <v>2312</v>
      </c>
      <c r="W197" s="86" t="str">
        <f>HYPERLINK("https://www.youtube.com/watch?v=vpEAos0blyw")</f>
        <v>https://www.youtube.com/watch?v=vpEAos0blyw</v>
      </c>
      <c r="X197" s="81" t="s">
        <v>2349</v>
      </c>
      <c r="Y197" s="81">
        <v>0</v>
      </c>
      <c r="Z197" s="88">
        <v>44119.01409722222</v>
      </c>
      <c r="AA197" s="88">
        <v>44119.01409722222</v>
      </c>
      <c r="AB197" s="81"/>
      <c r="AC197" s="81"/>
      <c r="AD197" s="84" t="s">
        <v>2390</v>
      </c>
      <c r="AE197" s="82">
        <v>1</v>
      </c>
      <c r="AF197" s="83" t="str">
        <f>REPLACE(INDEX(GroupVertices[Group],MATCH(Edges[[#This Row],[Vertex 1]],GroupVertices[Vertex],0)),1,1,"")</f>
        <v>4</v>
      </c>
      <c r="AG197" s="83" t="str">
        <f>REPLACE(INDEX(GroupVertices[Group],MATCH(Edges[[#This Row],[Vertex 2]],GroupVertices[Vertex],0)),1,1,"")</f>
        <v>4</v>
      </c>
      <c r="AH197" s="111">
        <v>0</v>
      </c>
      <c r="AI197" s="112">
        <v>0</v>
      </c>
      <c r="AJ197" s="111">
        <v>0</v>
      </c>
      <c r="AK197" s="112">
        <v>0</v>
      </c>
      <c r="AL197" s="111">
        <v>0</v>
      </c>
      <c r="AM197" s="112">
        <v>0</v>
      </c>
      <c r="AN197" s="111">
        <v>6</v>
      </c>
      <c r="AO197" s="112">
        <v>100</v>
      </c>
      <c r="AP197" s="111">
        <v>6</v>
      </c>
    </row>
    <row r="198" spans="1:42" ht="15">
      <c r="A198" s="65" t="s">
        <v>379</v>
      </c>
      <c r="B198" s="65" t="s">
        <v>840</v>
      </c>
      <c r="C198" s="66" t="s">
        <v>4651</v>
      </c>
      <c r="D198" s="67">
        <v>3</v>
      </c>
      <c r="E198" s="68"/>
      <c r="F198" s="69">
        <v>40</v>
      </c>
      <c r="G198" s="66"/>
      <c r="H198" s="70"/>
      <c r="I198" s="71"/>
      <c r="J198" s="71"/>
      <c r="K198" s="35" t="s">
        <v>65</v>
      </c>
      <c r="L198" s="79">
        <v>198</v>
      </c>
      <c r="M198" s="79"/>
      <c r="N198" s="73"/>
      <c r="O198" s="81" t="s">
        <v>844</v>
      </c>
      <c r="P198" s="81" t="s">
        <v>199</v>
      </c>
      <c r="Q198" s="84" t="s">
        <v>1035</v>
      </c>
      <c r="R198" s="81" t="s">
        <v>379</v>
      </c>
      <c r="S198" s="81" t="s">
        <v>1738</v>
      </c>
      <c r="T198" s="86" t="str">
        <f>HYPERLINK("http://www.youtube.com/channel/UCM_eFu-EWA4EMOpou6yG8Mw")</f>
        <v>http://www.youtube.com/channel/UCM_eFu-EWA4EMOpou6yG8Mw</v>
      </c>
      <c r="U198" s="81"/>
      <c r="V198" s="81" t="s">
        <v>2312</v>
      </c>
      <c r="W198" s="86" t="str">
        <f>HYPERLINK("https://www.youtube.com/watch?v=vpEAos0blyw")</f>
        <v>https://www.youtube.com/watch?v=vpEAos0blyw</v>
      </c>
      <c r="X198" s="81" t="s">
        <v>2349</v>
      </c>
      <c r="Y198" s="81">
        <v>0</v>
      </c>
      <c r="Z198" s="88">
        <v>43699.21329861111</v>
      </c>
      <c r="AA198" s="88">
        <v>43699.21329861111</v>
      </c>
      <c r="AB198" s="81"/>
      <c r="AC198" s="81"/>
      <c r="AD198" s="84" t="s">
        <v>2390</v>
      </c>
      <c r="AE198" s="82">
        <v>1</v>
      </c>
      <c r="AF198" s="83" t="str">
        <f>REPLACE(INDEX(GroupVertices[Group],MATCH(Edges[[#This Row],[Vertex 1]],GroupVertices[Vertex],0)),1,1,"")</f>
        <v>4</v>
      </c>
      <c r="AG198" s="83" t="str">
        <f>REPLACE(INDEX(GroupVertices[Group],MATCH(Edges[[#This Row],[Vertex 2]],GroupVertices[Vertex],0)),1,1,"")</f>
        <v>4</v>
      </c>
      <c r="AH198" s="111">
        <v>0</v>
      </c>
      <c r="AI198" s="112">
        <v>0</v>
      </c>
      <c r="AJ198" s="111">
        <v>0</v>
      </c>
      <c r="AK198" s="112">
        <v>0</v>
      </c>
      <c r="AL198" s="111">
        <v>0</v>
      </c>
      <c r="AM198" s="112">
        <v>0</v>
      </c>
      <c r="AN198" s="111">
        <v>6</v>
      </c>
      <c r="AO198" s="112">
        <v>100</v>
      </c>
      <c r="AP198" s="111">
        <v>6</v>
      </c>
    </row>
    <row r="199" spans="1:42" ht="15">
      <c r="A199" s="65" t="s">
        <v>380</v>
      </c>
      <c r="B199" s="65" t="s">
        <v>381</v>
      </c>
      <c r="C199" s="66" t="s">
        <v>4613</v>
      </c>
      <c r="D199" s="67">
        <v>10</v>
      </c>
      <c r="E199" s="68"/>
      <c r="F199" s="69">
        <v>15</v>
      </c>
      <c r="G199" s="66"/>
      <c r="H199" s="70"/>
      <c r="I199" s="71"/>
      <c r="J199" s="71"/>
      <c r="K199" s="35" t="s">
        <v>65</v>
      </c>
      <c r="L199" s="79">
        <v>199</v>
      </c>
      <c r="M199" s="79"/>
      <c r="N199" s="73"/>
      <c r="O199" s="81" t="s">
        <v>845</v>
      </c>
      <c r="P199" s="81" t="s">
        <v>847</v>
      </c>
      <c r="Q199" s="84" t="s">
        <v>1036</v>
      </c>
      <c r="R199" s="81" t="s">
        <v>380</v>
      </c>
      <c r="S199" s="81" t="s">
        <v>1739</v>
      </c>
      <c r="T199" s="86" t="str">
        <f>HYPERLINK("http://www.youtube.com/channel/UCNxtGauI9YwI_ANZwHVgNIg")</f>
        <v>http://www.youtube.com/channel/UCNxtGauI9YwI_ANZwHVgNIg</v>
      </c>
      <c r="U199" s="81" t="s">
        <v>2212</v>
      </c>
      <c r="V199" s="81" t="s">
        <v>2312</v>
      </c>
      <c r="W199" s="86" t="str">
        <f>HYPERLINK("https://www.youtube.com/watch?v=")</f>
        <v>https://www.youtube.com/watch?v=</v>
      </c>
      <c r="X199" s="81" t="s">
        <v>2349</v>
      </c>
      <c r="Y199" s="81">
        <v>1</v>
      </c>
      <c r="Z199" s="88">
        <v>43873.855532407404</v>
      </c>
      <c r="AA199" s="88">
        <v>43873.855532407404</v>
      </c>
      <c r="AB199" s="81"/>
      <c r="AC199" s="81"/>
      <c r="AD199" s="84" t="s">
        <v>2390</v>
      </c>
      <c r="AE199" s="82">
        <v>6</v>
      </c>
      <c r="AF199" s="83" t="str">
        <f>REPLACE(INDEX(GroupVertices[Group],MATCH(Edges[[#This Row],[Vertex 1]],GroupVertices[Vertex],0)),1,1,"")</f>
        <v>4</v>
      </c>
      <c r="AG199" s="83" t="str">
        <f>REPLACE(INDEX(GroupVertices[Group],MATCH(Edges[[#This Row],[Vertex 2]],GroupVertices[Vertex],0)),1,1,"")</f>
        <v>4</v>
      </c>
      <c r="AH199" s="111">
        <v>0</v>
      </c>
      <c r="AI199" s="112">
        <v>0</v>
      </c>
      <c r="AJ199" s="111">
        <v>0</v>
      </c>
      <c r="AK199" s="112">
        <v>0</v>
      </c>
      <c r="AL199" s="111">
        <v>0</v>
      </c>
      <c r="AM199" s="112">
        <v>0</v>
      </c>
      <c r="AN199" s="111">
        <v>2</v>
      </c>
      <c r="AO199" s="112">
        <v>100</v>
      </c>
      <c r="AP199" s="111">
        <v>2</v>
      </c>
    </row>
    <row r="200" spans="1:42" ht="15">
      <c r="A200" s="65" t="s">
        <v>380</v>
      </c>
      <c r="B200" s="65" t="s">
        <v>381</v>
      </c>
      <c r="C200" s="66" t="s">
        <v>4613</v>
      </c>
      <c r="D200" s="67">
        <v>10</v>
      </c>
      <c r="E200" s="68"/>
      <c r="F200" s="69">
        <v>15</v>
      </c>
      <c r="G200" s="66"/>
      <c r="H200" s="70"/>
      <c r="I200" s="71"/>
      <c r="J200" s="71"/>
      <c r="K200" s="35" t="s">
        <v>65</v>
      </c>
      <c r="L200" s="79">
        <v>200</v>
      </c>
      <c r="M200" s="79"/>
      <c r="N200" s="73"/>
      <c r="O200" s="81" t="s">
        <v>845</v>
      </c>
      <c r="P200" s="81" t="s">
        <v>847</v>
      </c>
      <c r="Q200" s="84" t="s">
        <v>1037</v>
      </c>
      <c r="R200" s="81" t="s">
        <v>380</v>
      </c>
      <c r="S200" s="81" t="s">
        <v>1739</v>
      </c>
      <c r="T200" s="86" t="str">
        <f>HYPERLINK("http://www.youtube.com/channel/UCNxtGauI9YwI_ANZwHVgNIg")</f>
        <v>http://www.youtube.com/channel/UCNxtGauI9YwI_ANZwHVgNIg</v>
      </c>
      <c r="U200" s="81" t="s">
        <v>2212</v>
      </c>
      <c r="V200" s="81" t="s">
        <v>2312</v>
      </c>
      <c r="W200" s="86" t="str">
        <f>HYPERLINK("https://www.youtube.com/watch?v=")</f>
        <v>https://www.youtube.com/watch?v=</v>
      </c>
      <c r="X200" s="81" t="s">
        <v>2349</v>
      </c>
      <c r="Y200" s="81">
        <v>0</v>
      </c>
      <c r="Z200" s="88">
        <v>43873.857037037036</v>
      </c>
      <c r="AA200" s="88">
        <v>43873.857037037036</v>
      </c>
      <c r="AB200" s="81"/>
      <c r="AC200" s="81"/>
      <c r="AD200" s="84" t="s">
        <v>2390</v>
      </c>
      <c r="AE200" s="82">
        <v>6</v>
      </c>
      <c r="AF200" s="83" t="str">
        <f>REPLACE(INDEX(GroupVertices[Group],MATCH(Edges[[#This Row],[Vertex 1]],GroupVertices[Vertex],0)),1,1,"")</f>
        <v>4</v>
      </c>
      <c r="AG200" s="83" t="str">
        <f>REPLACE(INDEX(GroupVertices[Group],MATCH(Edges[[#This Row],[Vertex 2]],GroupVertices[Vertex],0)),1,1,"")</f>
        <v>4</v>
      </c>
      <c r="AH200" s="111">
        <v>0</v>
      </c>
      <c r="AI200" s="112">
        <v>0</v>
      </c>
      <c r="AJ200" s="111">
        <v>0</v>
      </c>
      <c r="AK200" s="112">
        <v>0</v>
      </c>
      <c r="AL200" s="111">
        <v>0</v>
      </c>
      <c r="AM200" s="112">
        <v>0</v>
      </c>
      <c r="AN200" s="111">
        <v>5</v>
      </c>
      <c r="AO200" s="112">
        <v>100</v>
      </c>
      <c r="AP200" s="111">
        <v>5</v>
      </c>
    </row>
    <row r="201" spans="1:42" ht="15">
      <c r="A201" s="65" t="s">
        <v>380</v>
      </c>
      <c r="B201" s="65" t="s">
        <v>381</v>
      </c>
      <c r="C201" s="66" t="s">
        <v>4613</v>
      </c>
      <c r="D201" s="67">
        <v>10</v>
      </c>
      <c r="E201" s="68"/>
      <c r="F201" s="69">
        <v>15</v>
      </c>
      <c r="G201" s="66"/>
      <c r="H201" s="70"/>
      <c r="I201" s="71"/>
      <c r="J201" s="71"/>
      <c r="K201" s="35" t="s">
        <v>65</v>
      </c>
      <c r="L201" s="79">
        <v>201</v>
      </c>
      <c r="M201" s="79"/>
      <c r="N201" s="73"/>
      <c r="O201" s="81" t="s">
        <v>845</v>
      </c>
      <c r="P201" s="81" t="s">
        <v>847</v>
      </c>
      <c r="Q201" s="84" t="s">
        <v>1038</v>
      </c>
      <c r="R201" s="81" t="s">
        <v>380</v>
      </c>
      <c r="S201" s="81" t="s">
        <v>1739</v>
      </c>
      <c r="T201" s="86" t="str">
        <f>HYPERLINK("http://www.youtube.com/channel/UCNxtGauI9YwI_ANZwHVgNIg")</f>
        <v>http://www.youtube.com/channel/UCNxtGauI9YwI_ANZwHVgNIg</v>
      </c>
      <c r="U201" s="81" t="s">
        <v>2212</v>
      </c>
      <c r="V201" s="81" t="s">
        <v>2312</v>
      </c>
      <c r="W201" s="86" t="str">
        <f>HYPERLINK("https://www.youtube.com/watch?v=")</f>
        <v>https://www.youtube.com/watch?v=</v>
      </c>
      <c r="X201" s="81" t="s">
        <v>2349</v>
      </c>
      <c r="Y201" s="81">
        <v>0</v>
      </c>
      <c r="Z201" s="88">
        <v>43873.85837962963</v>
      </c>
      <c r="AA201" s="88">
        <v>43873.85837962963</v>
      </c>
      <c r="AB201" s="81"/>
      <c r="AC201" s="81"/>
      <c r="AD201" s="84" t="s">
        <v>2390</v>
      </c>
      <c r="AE201" s="82">
        <v>6</v>
      </c>
      <c r="AF201" s="83" t="str">
        <f>REPLACE(INDEX(GroupVertices[Group],MATCH(Edges[[#This Row],[Vertex 1]],GroupVertices[Vertex],0)),1,1,"")</f>
        <v>4</v>
      </c>
      <c r="AG201" s="83" t="str">
        <f>REPLACE(INDEX(GroupVertices[Group],MATCH(Edges[[#This Row],[Vertex 2]],GroupVertices[Vertex],0)),1,1,"")</f>
        <v>4</v>
      </c>
      <c r="AH201" s="111">
        <v>0</v>
      </c>
      <c r="AI201" s="112">
        <v>0</v>
      </c>
      <c r="AJ201" s="111">
        <v>0</v>
      </c>
      <c r="AK201" s="112">
        <v>0</v>
      </c>
      <c r="AL201" s="111">
        <v>0</v>
      </c>
      <c r="AM201" s="112">
        <v>0</v>
      </c>
      <c r="AN201" s="111">
        <v>10</v>
      </c>
      <c r="AO201" s="112">
        <v>100</v>
      </c>
      <c r="AP201" s="111">
        <v>10</v>
      </c>
    </row>
    <row r="202" spans="1:42" ht="15">
      <c r="A202" s="65" t="s">
        <v>380</v>
      </c>
      <c r="B202" s="65" t="s">
        <v>381</v>
      </c>
      <c r="C202" s="66" t="s">
        <v>4613</v>
      </c>
      <c r="D202" s="67">
        <v>10</v>
      </c>
      <c r="E202" s="68"/>
      <c r="F202" s="69">
        <v>15</v>
      </c>
      <c r="G202" s="66"/>
      <c r="H202" s="70"/>
      <c r="I202" s="71"/>
      <c r="J202" s="71"/>
      <c r="K202" s="35" t="s">
        <v>65</v>
      </c>
      <c r="L202" s="79">
        <v>202</v>
      </c>
      <c r="M202" s="79"/>
      <c r="N202" s="73"/>
      <c r="O202" s="81" t="s">
        <v>845</v>
      </c>
      <c r="P202" s="81" t="s">
        <v>847</v>
      </c>
      <c r="Q202" s="84" t="s">
        <v>1039</v>
      </c>
      <c r="R202" s="81" t="s">
        <v>380</v>
      </c>
      <c r="S202" s="81" t="s">
        <v>1739</v>
      </c>
      <c r="T202" s="86" t="str">
        <f>HYPERLINK("http://www.youtube.com/channel/UCNxtGauI9YwI_ANZwHVgNIg")</f>
        <v>http://www.youtube.com/channel/UCNxtGauI9YwI_ANZwHVgNIg</v>
      </c>
      <c r="U202" s="81" t="s">
        <v>2212</v>
      </c>
      <c r="V202" s="81" t="s">
        <v>2312</v>
      </c>
      <c r="W202" s="86" t="str">
        <f>HYPERLINK("https://www.youtube.com/watch?v=")</f>
        <v>https://www.youtube.com/watch?v=</v>
      </c>
      <c r="X202" s="81" t="s">
        <v>2349</v>
      </c>
      <c r="Y202" s="81">
        <v>0</v>
      </c>
      <c r="Z202" s="88">
        <v>43873.863483796296</v>
      </c>
      <c r="AA202" s="88">
        <v>43873.863483796296</v>
      </c>
      <c r="AB202" s="81"/>
      <c r="AC202" s="81"/>
      <c r="AD202" s="84" t="s">
        <v>2390</v>
      </c>
      <c r="AE202" s="82">
        <v>6</v>
      </c>
      <c r="AF202" s="83" t="str">
        <f>REPLACE(INDEX(GroupVertices[Group],MATCH(Edges[[#This Row],[Vertex 1]],GroupVertices[Vertex],0)),1,1,"")</f>
        <v>4</v>
      </c>
      <c r="AG202" s="83" t="str">
        <f>REPLACE(INDEX(GroupVertices[Group],MATCH(Edges[[#This Row],[Vertex 2]],GroupVertices[Vertex],0)),1,1,"")</f>
        <v>4</v>
      </c>
      <c r="AH202" s="111">
        <v>1</v>
      </c>
      <c r="AI202" s="112">
        <v>12.5</v>
      </c>
      <c r="AJ202" s="111">
        <v>0</v>
      </c>
      <c r="AK202" s="112">
        <v>0</v>
      </c>
      <c r="AL202" s="111">
        <v>0</v>
      </c>
      <c r="AM202" s="112">
        <v>0</v>
      </c>
      <c r="AN202" s="111">
        <v>7</v>
      </c>
      <c r="AO202" s="112">
        <v>87.5</v>
      </c>
      <c r="AP202" s="111">
        <v>8</v>
      </c>
    </row>
    <row r="203" spans="1:42" ht="15">
      <c r="A203" s="65" t="s">
        <v>380</v>
      </c>
      <c r="B203" s="65" t="s">
        <v>381</v>
      </c>
      <c r="C203" s="66" t="s">
        <v>4613</v>
      </c>
      <c r="D203" s="67">
        <v>10</v>
      </c>
      <c r="E203" s="68"/>
      <c r="F203" s="69">
        <v>15</v>
      </c>
      <c r="G203" s="66"/>
      <c r="H203" s="70"/>
      <c r="I203" s="71"/>
      <c r="J203" s="71"/>
      <c r="K203" s="35" t="s">
        <v>65</v>
      </c>
      <c r="L203" s="79">
        <v>203</v>
      </c>
      <c r="M203" s="79"/>
      <c r="N203" s="73"/>
      <c r="O203" s="81" t="s">
        <v>845</v>
      </c>
      <c r="P203" s="81" t="s">
        <v>847</v>
      </c>
      <c r="Q203" s="84" t="s">
        <v>1040</v>
      </c>
      <c r="R203" s="81" t="s">
        <v>380</v>
      </c>
      <c r="S203" s="81" t="s">
        <v>1739</v>
      </c>
      <c r="T203" s="86" t="str">
        <f>HYPERLINK("http://www.youtube.com/channel/UCNxtGauI9YwI_ANZwHVgNIg")</f>
        <v>http://www.youtube.com/channel/UCNxtGauI9YwI_ANZwHVgNIg</v>
      </c>
      <c r="U203" s="81" t="s">
        <v>2212</v>
      </c>
      <c r="V203" s="81" t="s">
        <v>2312</v>
      </c>
      <c r="W203" s="86" t="str">
        <f>HYPERLINK("https://www.youtube.com/watch?v=")</f>
        <v>https://www.youtube.com/watch?v=</v>
      </c>
      <c r="X203" s="81" t="s">
        <v>2349</v>
      </c>
      <c r="Y203" s="81">
        <v>0</v>
      </c>
      <c r="Z203" s="88">
        <v>43873.86471064815</v>
      </c>
      <c r="AA203" s="88">
        <v>43873.86471064815</v>
      </c>
      <c r="AB203" s="81"/>
      <c r="AC203" s="81"/>
      <c r="AD203" s="84" t="s">
        <v>2390</v>
      </c>
      <c r="AE203" s="82">
        <v>6</v>
      </c>
      <c r="AF203" s="83" t="str">
        <f>REPLACE(INDEX(GroupVertices[Group],MATCH(Edges[[#This Row],[Vertex 1]],GroupVertices[Vertex],0)),1,1,"")</f>
        <v>4</v>
      </c>
      <c r="AG203" s="83" t="str">
        <f>REPLACE(INDEX(GroupVertices[Group],MATCH(Edges[[#This Row],[Vertex 2]],GroupVertices[Vertex],0)),1,1,"")</f>
        <v>4</v>
      </c>
      <c r="AH203" s="111">
        <v>0</v>
      </c>
      <c r="AI203" s="112">
        <v>0</v>
      </c>
      <c r="AJ203" s="111">
        <v>0</v>
      </c>
      <c r="AK203" s="112">
        <v>0</v>
      </c>
      <c r="AL203" s="111">
        <v>0</v>
      </c>
      <c r="AM203" s="112">
        <v>0</v>
      </c>
      <c r="AN203" s="111">
        <v>2</v>
      </c>
      <c r="AO203" s="112">
        <v>100</v>
      </c>
      <c r="AP203" s="111">
        <v>2</v>
      </c>
    </row>
    <row r="204" spans="1:42" ht="15">
      <c r="A204" s="65" t="s">
        <v>380</v>
      </c>
      <c r="B204" s="65" t="s">
        <v>381</v>
      </c>
      <c r="C204" s="66" t="s">
        <v>4613</v>
      </c>
      <c r="D204" s="67">
        <v>10</v>
      </c>
      <c r="E204" s="68"/>
      <c r="F204" s="69">
        <v>15</v>
      </c>
      <c r="G204" s="66"/>
      <c r="H204" s="70"/>
      <c r="I204" s="71"/>
      <c r="J204" s="71"/>
      <c r="K204" s="35" t="s">
        <v>65</v>
      </c>
      <c r="L204" s="79">
        <v>204</v>
      </c>
      <c r="M204" s="79"/>
      <c r="N204" s="73"/>
      <c r="O204" s="81" t="s">
        <v>845</v>
      </c>
      <c r="P204" s="81" t="s">
        <v>847</v>
      </c>
      <c r="Q204" s="84" t="s">
        <v>1041</v>
      </c>
      <c r="R204" s="81" t="s">
        <v>380</v>
      </c>
      <c r="S204" s="81" t="s">
        <v>1739</v>
      </c>
      <c r="T204" s="86" t="str">
        <f>HYPERLINK("http://www.youtube.com/channel/UCNxtGauI9YwI_ANZwHVgNIg")</f>
        <v>http://www.youtube.com/channel/UCNxtGauI9YwI_ANZwHVgNIg</v>
      </c>
      <c r="U204" s="81" t="s">
        <v>2212</v>
      </c>
      <c r="V204" s="81" t="s">
        <v>2312</v>
      </c>
      <c r="W204" s="86" t="str">
        <f>HYPERLINK("https://www.youtube.com/watch?v=")</f>
        <v>https://www.youtube.com/watch?v=</v>
      </c>
      <c r="X204" s="81" t="s">
        <v>2349</v>
      </c>
      <c r="Y204" s="81">
        <v>0</v>
      </c>
      <c r="Z204" s="88">
        <v>43873.86628472222</v>
      </c>
      <c r="AA204" s="88">
        <v>43873.86628472222</v>
      </c>
      <c r="AB204" s="81"/>
      <c r="AC204" s="81"/>
      <c r="AD204" s="84" t="s">
        <v>2390</v>
      </c>
      <c r="AE204" s="82">
        <v>6</v>
      </c>
      <c r="AF204" s="83" t="str">
        <f>REPLACE(INDEX(GroupVertices[Group],MATCH(Edges[[#This Row],[Vertex 1]],GroupVertices[Vertex],0)),1,1,"")</f>
        <v>4</v>
      </c>
      <c r="AG204" s="83" t="str">
        <f>REPLACE(INDEX(GroupVertices[Group],MATCH(Edges[[#This Row],[Vertex 2]],GroupVertices[Vertex],0)),1,1,"")</f>
        <v>4</v>
      </c>
      <c r="AH204" s="111">
        <v>0</v>
      </c>
      <c r="AI204" s="112">
        <v>0</v>
      </c>
      <c r="AJ204" s="111">
        <v>0</v>
      </c>
      <c r="AK204" s="112">
        <v>0</v>
      </c>
      <c r="AL204" s="111">
        <v>0</v>
      </c>
      <c r="AM204" s="112">
        <v>0</v>
      </c>
      <c r="AN204" s="111">
        <v>9</v>
      </c>
      <c r="AO204" s="112">
        <v>100</v>
      </c>
      <c r="AP204" s="111">
        <v>9</v>
      </c>
    </row>
    <row r="205" spans="1:42" ht="15">
      <c r="A205" s="65" t="s">
        <v>381</v>
      </c>
      <c r="B205" s="65" t="s">
        <v>381</v>
      </c>
      <c r="C205" s="66" t="s">
        <v>4613</v>
      </c>
      <c r="D205" s="67">
        <v>10</v>
      </c>
      <c r="E205" s="68"/>
      <c r="F205" s="69">
        <v>15</v>
      </c>
      <c r="G205" s="66"/>
      <c r="H205" s="70"/>
      <c r="I205" s="71"/>
      <c r="J205" s="71"/>
      <c r="K205" s="35" t="s">
        <v>65</v>
      </c>
      <c r="L205" s="79">
        <v>205</v>
      </c>
      <c r="M205" s="79"/>
      <c r="N205" s="73"/>
      <c r="O205" s="81" t="s">
        <v>845</v>
      </c>
      <c r="P205" s="81" t="s">
        <v>847</v>
      </c>
      <c r="Q205" s="84" t="s">
        <v>1042</v>
      </c>
      <c r="R205" s="81" t="s">
        <v>381</v>
      </c>
      <c r="S205" s="81" t="s">
        <v>1740</v>
      </c>
      <c r="T205" s="86" t="str">
        <f>HYPERLINK("http://www.youtube.com/channel/UCEmhBmKML16KTwTejRJ9ZpQ")</f>
        <v>http://www.youtube.com/channel/UCEmhBmKML16KTwTejRJ9ZpQ</v>
      </c>
      <c r="U205" s="81" t="s">
        <v>2212</v>
      </c>
      <c r="V205" s="81" t="s">
        <v>2312</v>
      </c>
      <c r="W205" s="86" t="str">
        <f>HYPERLINK("https://www.youtube.com/watch?v=")</f>
        <v>https://www.youtube.com/watch?v=</v>
      </c>
      <c r="X205" s="81" t="s">
        <v>2349</v>
      </c>
      <c r="Y205" s="81">
        <v>0</v>
      </c>
      <c r="Z205" s="88">
        <v>43873.85663194444</v>
      </c>
      <c r="AA205" s="88">
        <v>43873.85663194444</v>
      </c>
      <c r="AB205" s="81"/>
      <c r="AC205" s="81"/>
      <c r="AD205" s="84" t="s">
        <v>2390</v>
      </c>
      <c r="AE205" s="82">
        <v>7</v>
      </c>
      <c r="AF205" s="83" t="str">
        <f>REPLACE(INDEX(GroupVertices[Group],MATCH(Edges[[#This Row],[Vertex 1]],GroupVertices[Vertex],0)),1,1,"")</f>
        <v>4</v>
      </c>
      <c r="AG205" s="83" t="str">
        <f>REPLACE(INDEX(GroupVertices[Group],MATCH(Edges[[#This Row],[Vertex 2]],GroupVertices[Vertex],0)),1,1,"")</f>
        <v>4</v>
      </c>
      <c r="AH205" s="111">
        <v>0</v>
      </c>
      <c r="AI205" s="112">
        <v>0</v>
      </c>
      <c r="AJ205" s="111">
        <v>0</v>
      </c>
      <c r="AK205" s="112">
        <v>0</v>
      </c>
      <c r="AL205" s="111">
        <v>0</v>
      </c>
      <c r="AM205" s="112">
        <v>0</v>
      </c>
      <c r="AN205" s="111">
        <v>8</v>
      </c>
      <c r="AO205" s="112">
        <v>100</v>
      </c>
      <c r="AP205" s="111">
        <v>8</v>
      </c>
    </row>
    <row r="206" spans="1:42" ht="15">
      <c r="A206" s="65" t="s">
        <v>381</v>
      </c>
      <c r="B206" s="65" t="s">
        <v>381</v>
      </c>
      <c r="C206" s="66" t="s">
        <v>4613</v>
      </c>
      <c r="D206" s="67">
        <v>10</v>
      </c>
      <c r="E206" s="68"/>
      <c r="F206" s="69">
        <v>15</v>
      </c>
      <c r="G206" s="66"/>
      <c r="H206" s="70"/>
      <c r="I206" s="71"/>
      <c r="J206" s="71"/>
      <c r="K206" s="35" t="s">
        <v>65</v>
      </c>
      <c r="L206" s="79">
        <v>206</v>
      </c>
      <c r="M206" s="79"/>
      <c r="N206" s="73"/>
      <c r="O206" s="81" t="s">
        <v>845</v>
      </c>
      <c r="P206" s="81" t="s">
        <v>847</v>
      </c>
      <c r="Q206" s="84" t="s">
        <v>1043</v>
      </c>
      <c r="R206" s="81" t="s">
        <v>381</v>
      </c>
      <c r="S206" s="81" t="s">
        <v>1740</v>
      </c>
      <c r="T206" s="86" t="str">
        <f>HYPERLINK("http://www.youtube.com/channel/UCEmhBmKML16KTwTejRJ9ZpQ")</f>
        <v>http://www.youtube.com/channel/UCEmhBmKML16KTwTejRJ9ZpQ</v>
      </c>
      <c r="U206" s="81" t="s">
        <v>2212</v>
      </c>
      <c r="V206" s="81" t="s">
        <v>2312</v>
      </c>
      <c r="W206" s="86" t="str">
        <f>HYPERLINK("https://www.youtube.com/watch?v=")</f>
        <v>https://www.youtube.com/watch?v=</v>
      </c>
      <c r="X206" s="81" t="s">
        <v>2349</v>
      </c>
      <c r="Y206" s="81">
        <v>0</v>
      </c>
      <c r="Z206" s="88">
        <v>43873.8578125</v>
      </c>
      <c r="AA206" s="88">
        <v>43873.8578125</v>
      </c>
      <c r="AB206" s="81"/>
      <c r="AC206" s="81"/>
      <c r="AD206" s="84" t="s">
        <v>2390</v>
      </c>
      <c r="AE206" s="82">
        <v>7</v>
      </c>
      <c r="AF206" s="83" t="str">
        <f>REPLACE(INDEX(GroupVertices[Group],MATCH(Edges[[#This Row],[Vertex 1]],GroupVertices[Vertex],0)),1,1,"")</f>
        <v>4</v>
      </c>
      <c r="AG206" s="83" t="str">
        <f>REPLACE(INDEX(GroupVertices[Group],MATCH(Edges[[#This Row],[Vertex 2]],GroupVertices[Vertex],0)),1,1,"")</f>
        <v>4</v>
      </c>
      <c r="AH206" s="111">
        <v>0</v>
      </c>
      <c r="AI206" s="112">
        <v>0</v>
      </c>
      <c r="AJ206" s="111">
        <v>0</v>
      </c>
      <c r="AK206" s="112">
        <v>0</v>
      </c>
      <c r="AL206" s="111">
        <v>0</v>
      </c>
      <c r="AM206" s="112">
        <v>0</v>
      </c>
      <c r="AN206" s="111">
        <v>10</v>
      </c>
      <c r="AO206" s="112">
        <v>100</v>
      </c>
      <c r="AP206" s="111">
        <v>10</v>
      </c>
    </row>
    <row r="207" spans="1:42" ht="15">
      <c r="A207" s="65" t="s">
        <v>381</v>
      </c>
      <c r="B207" s="65" t="s">
        <v>381</v>
      </c>
      <c r="C207" s="66" t="s">
        <v>4613</v>
      </c>
      <c r="D207" s="67">
        <v>10</v>
      </c>
      <c r="E207" s="68"/>
      <c r="F207" s="69">
        <v>15</v>
      </c>
      <c r="G207" s="66"/>
      <c r="H207" s="70"/>
      <c r="I207" s="71"/>
      <c r="J207" s="71"/>
      <c r="K207" s="35" t="s">
        <v>65</v>
      </c>
      <c r="L207" s="79">
        <v>207</v>
      </c>
      <c r="M207" s="79"/>
      <c r="N207" s="73"/>
      <c r="O207" s="81" t="s">
        <v>845</v>
      </c>
      <c r="P207" s="81" t="s">
        <v>847</v>
      </c>
      <c r="Q207" s="84" t="s">
        <v>1044</v>
      </c>
      <c r="R207" s="81" t="s">
        <v>381</v>
      </c>
      <c r="S207" s="81" t="s">
        <v>1740</v>
      </c>
      <c r="T207" s="86" t="str">
        <f>HYPERLINK("http://www.youtube.com/channel/UCEmhBmKML16KTwTejRJ9ZpQ")</f>
        <v>http://www.youtube.com/channel/UCEmhBmKML16KTwTejRJ9ZpQ</v>
      </c>
      <c r="U207" s="81" t="s">
        <v>2212</v>
      </c>
      <c r="V207" s="81" t="s">
        <v>2312</v>
      </c>
      <c r="W207" s="86" t="str">
        <f>HYPERLINK("https://www.youtube.com/watch?v=")</f>
        <v>https://www.youtube.com/watch?v=</v>
      </c>
      <c r="X207" s="81" t="s">
        <v>2349</v>
      </c>
      <c r="Y207" s="81">
        <v>0</v>
      </c>
      <c r="Z207" s="88">
        <v>43873.8596412037</v>
      </c>
      <c r="AA207" s="88">
        <v>43873.8596412037</v>
      </c>
      <c r="AB207" s="81"/>
      <c r="AC207" s="81"/>
      <c r="AD207" s="84" t="s">
        <v>2390</v>
      </c>
      <c r="AE207" s="82">
        <v>7</v>
      </c>
      <c r="AF207" s="83" t="str">
        <f>REPLACE(INDEX(GroupVertices[Group],MATCH(Edges[[#This Row],[Vertex 1]],GroupVertices[Vertex],0)),1,1,"")</f>
        <v>4</v>
      </c>
      <c r="AG207" s="83" t="str">
        <f>REPLACE(INDEX(GroupVertices[Group],MATCH(Edges[[#This Row],[Vertex 2]],GroupVertices[Vertex],0)),1,1,"")</f>
        <v>4</v>
      </c>
      <c r="AH207" s="111">
        <v>0</v>
      </c>
      <c r="AI207" s="112">
        <v>0</v>
      </c>
      <c r="AJ207" s="111">
        <v>0</v>
      </c>
      <c r="AK207" s="112">
        <v>0</v>
      </c>
      <c r="AL207" s="111">
        <v>0</v>
      </c>
      <c r="AM207" s="112">
        <v>0</v>
      </c>
      <c r="AN207" s="111">
        <v>12</v>
      </c>
      <c r="AO207" s="112">
        <v>100</v>
      </c>
      <c r="AP207" s="111">
        <v>12</v>
      </c>
    </row>
    <row r="208" spans="1:42" ht="15">
      <c r="A208" s="65" t="s">
        <v>381</v>
      </c>
      <c r="B208" s="65" t="s">
        <v>381</v>
      </c>
      <c r="C208" s="66" t="s">
        <v>4613</v>
      </c>
      <c r="D208" s="67">
        <v>10</v>
      </c>
      <c r="E208" s="68"/>
      <c r="F208" s="69">
        <v>15</v>
      </c>
      <c r="G208" s="66"/>
      <c r="H208" s="70"/>
      <c r="I208" s="71"/>
      <c r="J208" s="71"/>
      <c r="K208" s="35" t="s">
        <v>65</v>
      </c>
      <c r="L208" s="79">
        <v>208</v>
      </c>
      <c r="M208" s="79"/>
      <c r="N208" s="73"/>
      <c r="O208" s="81" t="s">
        <v>845</v>
      </c>
      <c r="P208" s="81" t="s">
        <v>847</v>
      </c>
      <c r="Q208" s="84" t="s">
        <v>1045</v>
      </c>
      <c r="R208" s="81" t="s">
        <v>381</v>
      </c>
      <c r="S208" s="81" t="s">
        <v>1740</v>
      </c>
      <c r="T208" s="86" t="str">
        <f>HYPERLINK("http://www.youtube.com/channel/UCEmhBmKML16KTwTejRJ9ZpQ")</f>
        <v>http://www.youtube.com/channel/UCEmhBmKML16KTwTejRJ9ZpQ</v>
      </c>
      <c r="U208" s="81" t="s">
        <v>2212</v>
      </c>
      <c r="V208" s="81" t="s">
        <v>2312</v>
      </c>
      <c r="W208" s="86" t="str">
        <f>HYPERLINK("https://www.youtube.com/watch?v=")</f>
        <v>https://www.youtube.com/watch?v=</v>
      </c>
      <c r="X208" s="81" t="s">
        <v>2349</v>
      </c>
      <c r="Y208" s="81">
        <v>0</v>
      </c>
      <c r="Z208" s="88">
        <v>43873.86246527778</v>
      </c>
      <c r="AA208" s="88">
        <v>43873.86246527778</v>
      </c>
      <c r="AB208" s="81"/>
      <c r="AC208" s="81"/>
      <c r="AD208" s="84" t="s">
        <v>2390</v>
      </c>
      <c r="AE208" s="82">
        <v>7</v>
      </c>
      <c r="AF208" s="83" t="str">
        <f>REPLACE(INDEX(GroupVertices[Group],MATCH(Edges[[#This Row],[Vertex 1]],GroupVertices[Vertex],0)),1,1,"")</f>
        <v>4</v>
      </c>
      <c r="AG208" s="83" t="str">
        <f>REPLACE(INDEX(GroupVertices[Group],MATCH(Edges[[#This Row],[Vertex 2]],GroupVertices[Vertex],0)),1,1,"")</f>
        <v>4</v>
      </c>
      <c r="AH208" s="111">
        <v>0</v>
      </c>
      <c r="AI208" s="112">
        <v>0</v>
      </c>
      <c r="AJ208" s="111">
        <v>0</v>
      </c>
      <c r="AK208" s="112">
        <v>0</v>
      </c>
      <c r="AL208" s="111">
        <v>0</v>
      </c>
      <c r="AM208" s="112">
        <v>0</v>
      </c>
      <c r="AN208" s="111">
        <v>11</v>
      </c>
      <c r="AO208" s="112">
        <v>100</v>
      </c>
      <c r="AP208" s="111">
        <v>11</v>
      </c>
    </row>
    <row r="209" spans="1:42" ht="15">
      <c r="A209" s="65" t="s">
        <v>381</v>
      </c>
      <c r="B209" s="65" t="s">
        <v>381</v>
      </c>
      <c r="C209" s="66" t="s">
        <v>4613</v>
      </c>
      <c r="D209" s="67">
        <v>10</v>
      </c>
      <c r="E209" s="68"/>
      <c r="F209" s="69">
        <v>15</v>
      </c>
      <c r="G209" s="66"/>
      <c r="H209" s="70"/>
      <c r="I209" s="71"/>
      <c r="J209" s="71"/>
      <c r="K209" s="35" t="s">
        <v>65</v>
      </c>
      <c r="L209" s="79">
        <v>209</v>
      </c>
      <c r="M209" s="79"/>
      <c r="N209" s="73"/>
      <c r="O209" s="81" t="s">
        <v>845</v>
      </c>
      <c r="P209" s="81" t="s">
        <v>847</v>
      </c>
      <c r="Q209" s="84" t="s">
        <v>1046</v>
      </c>
      <c r="R209" s="81" t="s">
        <v>381</v>
      </c>
      <c r="S209" s="81" t="s">
        <v>1740</v>
      </c>
      <c r="T209" s="86" t="str">
        <f>HYPERLINK("http://www.youtube.com/channel/UCEmhBmKML16KTwTejRJ9ZpQ")</f>
        <v>http://www.youtube.com/channel/UCEmhBmKML16KTwTejRJ9ZpQ</v>
      </c>
      <c r="U209" s="81" t="s">
        <v>2212</v>
      </c>
      <c r="V209" s="81" t="s">
        <v>2312</v>
      </c>
      <c r="W209" s="86" t="str">
        <f>HYPERLINK("https://www.youtube.com/watch?v=")</f>
        <v>https://www.youtube.com/watch?v=</v>
      </c>
      <c r="X209" s="81" t="s">
        <v>2349</v>
      </c>
      <c r="Y209" s="81">
        <v>0</v>
      </c>
      <c r="Z209" s="88">
        <v>43873.86399305556</v>
      </c>
      <c r="AA209" s="88">
        <v>43873.86399305556</v>
      </c>
      <c r="AB209" s="81"/>
      <c r="AC209" s="81"/>
      <c r="AD209" s="84" t="s">
        <v>2390</v>
      </c>
      <c r="AE209" s="82">
        <v>7</v>
      </c>
      <c r="AF209" s="83" t="str">
        <f>REPLACE(INDEX(GroupVertices[Group],MATCH(Edges[[#This Row],[Vertex 1]],GroupVertices[Vertex],0)),1,1,"")</f>
        <v>4</v>
      </c>
      <c r="AG209" s="83" t="str">
        <f>REPLACE(INDEX(GroupVertices[Group],MATCH(Edges[[#This Row],[Vertex 2]],GroupVertices[Vertex],0)),1,1,"")</f>
        <v>4</v>
      </c>
      <c r="AH209" s="111">
        <v>0</v>
      </c>
      <c r="AI209" s="112">
        <v>0</v>
      </c>
      <c r="AJ209" s="111">
        <v>0</v>
      </c>
      <c r="AK209" s="112">
        <v>0</v>
      </c>
      <c r="AL209" s="111">
        <v>0</v>
      </c>
      <c r="AM209" s="112">
        <v>0</v>
      </c>
      <c r="AN209" s="111">
        <v>6</v>
      </c>
      <c r="AO209" s="112">
        <v>100</v>
      </c>
      <c r="AP209" s="111">
        <v>6</v>
      </c>
    </row>
    <row r="210" spans="1:42" ht="15">
      <c r="A210" s="65" t="s">
        <v>381</v>
      </c>
      <c r="B210" s="65" t="s">
        <v>381</v>
      </c>
      <c r="C210" s="66" t="s">
        <v>4613</v>
      </c>
      <c r="D210" s="67">
        <v>10</v>
      </c>
      <c r="E210" s="68"/>
      <c r="F210" s="69">
        <v>15</v>
      </c>
      <c r="G210" s="66"/>
      <c r="H210" s="70"/>
      <c r="I210" s="71"/>
      <c r="J210" s="71"/>
      <c r="K210" s="35" t="s">
        <v>65</v>
      </c>
      <c r="L210" s="79">
        <v>210</v>
      </c>
      <c r="M210" s="79"/>
      <c r="N210" s="73"/>
      <c r="O210" s="81" t="s">
        <v>845</v>
      </c>
      <c r="P210" s="81" t="s">
        <v>847</v>
      </c>
      <c r="Q210" s="84" t="s">
        <v>1047</v>
      </c>
      <c r="R210" s="81" t="s">
        <v>381</v>
      </c>
      <c r="S210" s="81" t="s">
        <v>1740</v>
      </c>
      <c r="T210" s="86" t="str">
        <f>HYPERLINK("http://www.youtube.com/channel/UCEmhBmKML16KTwTejRJ9ZpQ")</f>
        <v>http://www.youtube.com/channel/UCEmhBmKML16KTwTejRJ9ZpQ</v>
      </c>
      <c r="U210" s="81" t="s">
        <v>2212</v>
      </c>
      <c r="V210" s="81" t="s">
        <v>2312</v>
      </c>
      <c r="W210" s="86" t="str">
        <f>HYPERLINK("https://www.youtube.com/watch?v=")</f>
        <v>https://www.youtube.com/watch?v=</v>
      </c>
      <c r="X210" s="81" t="s">
        <v>2349</v>
      </c>
      <c r="Y210" s="81">
        <v>0</v>
      </c>
      <c r="Z210" s="88">
        <v>43873.86570601852</v>
      </c>
      <c r="AA210" s="88">
        <v>43873.86570601852</v>
      </c>
      <c r="AB210" s="81"/>
      <c r="AC210" s="81"/>
      <c r="AD210" s="84" t="s">
        <v>2390</v>
      </c>
      <c r="AE210" s="82">
        <v>7</v>
      </c>
      <c r="AF210" s="83" t="str">
        <f>REPLACE(INDEX(GroupVertices[Group],MATCH(Edges[[#This Row],[Vertex 1]],GroupVertices[Vertex],0)),1,1,"")</f>
        <v>4</v>
      </c>
      <c r="AG210" s="83" t="str">
        <f>REPLACE(INDEX(GroupVertices[Group],MATCH(Edges[[#This Row],[Vertex 2]],GroupVertices[Vertex],0)),1,1,"")</f>
        <v>4</v>
      </c>
      <c r="AH210" s="111">
        <v>0</v>
      </c>
      <c r="AI210" s="112">
        <v>0</v>
      </c>
      <c r="AJ210" s="111">
        <v>0</v>
      </c>
      <c r="AK210" s="112">
        <v>0</v>
      </c>
      <c r="AL210" s="111">
        <v>0</v>
      </c>
      <c r="AM210" s="112">
        <v>0</v>
      </c>
      <c r="AN210" s="111">
        <v>7</v>
      </c>
      <c r="AO210" s="112">
        <v>100</v>
      </c>
      <c r="AP210" s="111">
        <v>7</v>
      </c>
    </row>
    <row r="211" spans="1:42" ht="15">
      <c r="A211" s="65" t="s">
        <v>381</v>
      </c>
      <c r="B211" s="65" t="s">
        <v>381</v>
      </c>
      <c r="C211" s="66" t="s">
        <v>4613</v>
      </c>
      <c r="D211" s="67">
        <v>10</v>
      </c>
      <c r="E211" s="68"/>
      <c r="F211" s="69">
        <v>15</v>
      </c>
      <c r="G211" s="66"/>
      <c r="H211" s="70"/>
      <c r="I211" s="71"/>
      <c r="J211" s="71"/>
      <c r="K211" s="35" t="s">
        <v>65</v>
      </c>
      <c r="L211" s="79">
        <v>211</v>
      </c>
      <c r="M211" s="79"/>
      <c r="N211" s="73"/>
      <c r="O211" s="81" t="s">
        <v>845</v>
      </c>
      <c r="P211" s="81" t="s">
        <v>847</v>
      </c>
      <c r="Q211" s="84" t="s">
        <v>1048</v>
      </c>
      <c r="R211" s="81" t="s">
        <v>381</v>
      </c>
      <c r="S211" s="81" t="s">
        <v>1740</v>
      </c>
      <c r="T211" s="86" t="str">
        <f>HYPERLINK("http://www.youtube.com/channel/UCEmhBmKML16KTwTejRJ9ZpQ")</f>
        <v>http://www.youtube.com/channel/UCEmhBmKML16KTwTejRJ9ZpQ</v>
      </c>
      <c r="U211" s="81" t="s">
        <v>2212</v>
      </c>
      <c r="V211" s="81" t="s">
        <v>2312</v>
      </c>
      <c r="W211" s="86" t="str">
        <f>HYPERLINK("https://www.youtube.com/watch?v=")</f>
        <v>https://www.youtube.com/watch?v=</v>
      </c>
      <c r="X211" s="81" t="s">
        <v>2349</v>
      </c>
      <c r="Y211" s="81">
        <v>0</v>
      </c>
      <c r="Z211" s="88">
        <v>43875.86717592592</v>
      </c>
      <c r="AA211" s="88">
        <v>43875.86717592592</v>
      </c>
      <c r="AB211" s="81"/>
      <c r="AC211" s="81"/>
      <c r="AD211" s="84" t="s">
        <v>2390</v>
      </c>
      <c r="AE211" s="82">
        <v>7</v>
      </c>
      <c r="AF211" s="83" t="str">
        <f>REPLACE(INDEX(GroupVertices[Group],MATCH(Edges[[#This Row],[Vertex 1]],GroupVertices[Vertex],0)),1,1,"")</f>
        <v>4</v>
      </c>
      <c r="AG211" s="83" t="str">
        <f>REPLACE(INDEX(GroupVertices[Group],MATCH(Edges[[#This Row],[Vertex 2]],GroupVertices[Vertex],0)),1,1,"")</f>
        <v>4</v>
      </c>
      <c r="AH211" s="111">
        <v>0</v>
      </c>
      <c r="AI211" s="112">
        <v>0</v>
      </c>
      <c r="AJ211" s="111">
        <v>0</v>
      </c>
      <c r="AK211" s="112">
        <v>0</v>
      </c>
      <c r="AL211" s="111">
        <v>0</v>
      </c>
      <c r="AM211" s="112">
        <v>0</v>
      </c>
      <c r="AN211" s="111">
        <v>6</v>
      </c>
      <c r="AO211" s="112">
        <v>100</v>
      </c>
      <c r="AP211" s="111">
        <v>6</v>
      </c>
    </row>
    <row r="212" spans="1:42" ht="15">
      <c r="A212" s="65" t="s">
        <v>381</v>
      </c>
      <c r="B212" s="65" t="s">
        <v>840</v>
      </c>
      <c r="C212" s="66" t="s">
        <v>4651</v>
      </c>
      <c r="D212" s="67">
        <v>3</v>
      </c>
      <c r="E212" s="68"/>
      <c r="F212" s="69">
        <v>40</v>
      </c>
      <c r="G212" s="66"/>
      <c r="H212" s="70"/>
      <c r="I212" s="71"/>
      <c r="J212" s="71"/>
      <c r="K212" s="35" t="s">
        <v>65</v>
      </c>
      <c r="L212" s="79">
        <v>212</v>
      </c>
      <c r="M212" s="79"/>
      <c r="N212" s="73"/>
      <c r="O212" s="81" t="s">
        <v>844</v>
      </c>
      <c r="P212" s="81" t="s">
        <v>199</v>
      </c>
      <c r="Q212" s="84" t="s">
        <v>1049</v>
      </c>
      <c r="R212" s="81" t="s">
        <v>381</v>
      </c>
      <c r="S212" s="81" t="s">
        <v>1740</v>
      </c>
      <c r="T212" s="86" t="str">
        <f>HYPERLINK("http://www.youtube.com/channel/UCEmhBmKML16KTwTejRJ9ZpQ")</f>
        <v>http://www.youtube.com/channel/UCEmhBmKML16KTwTejRJ9ZpQ</v>
      </c>
      <c r="U212" s="81"/>
      <c r="V212" s="81" t="s">
        <v>2312</v>
      </c>
      <c r="W212" s="86" t="str">
        <f>HYPERLINK("https://www.youtube.com/watch?v=vpEAos0blyw")</f>
        <v>https://www.youtube.com/watch?v=vpEAos0blyw</v>
      </c>
      <c r="X212" s="81" t="s">
        <v>2349</v>
      </c>
      <c r="Y212" s="81">
        <v>2</v>
      </c>
      <c r="Z212" s="88">
        <v>43873.85388888889</v>
      </c>
      <c r="AA212" s="88">
        <v>43873.85388888889</v>
      </c>
      <c r="AB212" s="81"/>
      <c r="AC212" s="81"/>
      <c r="AD212" s="84" t="s">
        <v>2390</v>
      </c>
      <c r="AE212" s="82">
        <v>1</v>
      </c>
      <c r="AF212" s="83" t="str">
        <f>REPLACE(INDEX(GroupVertices[Group],MATCH(Edges[[#This Row],[Vertex 1]],GroupVertices[Vertex],0)),1,1,"")</f>
        <v>4</v>
      </c>
      <c r="AG212" s="83" t="str">
        <f>REPLACE(INDEX(GroupVertices[Group],MATCH(Edges[[#This Row],[Vertex 2]],GroupVertices[Vertex],0)),1,1,"")</f>
        <v>4</v>
      </c>
      <c r="AH212" s="111">
        <v>0</v>
      </c>
      <c r="AI212" s="112">
        <v>0</v>
      </c>
      <c r="AJ212" s="111">
        <v>0</v>
      </c>
      <c r="AK212" s="112">
        <v>0</v>
      </c>
      <c r="AL212" s="111">
        <v>0</v>
      </c>
      <c r="AM212" s="112">
        <v>0</v>
      </c>
      <c r="AN212" s="111">
        <v>1</v>
      </c>
      <c r="AO212" s="112">
        <v>100</v>
      </c>
      <c r="AP212" s="111">
        <v>1</v>
      </c>
    </row>
    <row r="213" spans="1:42" ht="15">
      <c r="A213" s="65" t="s">
        <v>382</v>
      </c>
      <c r="B213" s="65" t="s">
        <v>383</v>
      </c>
      <c r="C213" s="66" t="s">
        <v>4651</v>
      </c>
      <c r="D213" s="67">
        <v>3</v>
      </c>
      <c r="E213" s="68"/>
      <c r="F213" s="69">
        <v>40</v>
      </c>
      <c r="G213" s="66"/>
      <c r="H213" s="70"/>
      <c r="I213" s="71"/>
      <c r="J213" s="71"/>
      <c r="K213" s="35" t="s">
        <v>65</v>
      </c>
      <c r="L213" s="79">
        <v>213</v>
      </c>
      <c r="M213" s="79"/>
      <c r="N213" s="73"/>
      <c r="O213" s="81" t="s">
        <v>845</v>
      </c>
      <c r="P213" s="81" t="s">
        <v>847</v>
      </c>
      <c r="Q213" s="84" t="s">
        <v>1050</v>
      </c>
      <c r="R213" s="81" t="s">
        <v>382</v>
      </c>
      <c r="S213" s="81" t="s">
        <v>1741</v>
      </c>
      <c r="T213" s="86" t="str">
        <f>HYPERLINK("http://www.youtube.com/channel/UCWc6Iu66HSngtF-8ylCZJSQ")</f>
        <v>http://www.youtube.com/channel/UCWc6Iu66HSngtF-8ylCZJSQ</v>
      </c>
      <c r="U213" s="81" t="s">
        <v>2213</v>
      </c>
      <c r="V213" s="81" t="s">
        <v>2312</v>
      </c>
      <c r="W213" s="86" t="str">
        <f>HYPERLINK("https://www.youtube.com/watch?v=vpEAos0blyw")</f>
        <v>https://www.youtube.com/watch?v=vpEAos0blyw</v>
      </c>
      <c r="X213" s="81" t="s">
        <v>2349</v>
      </c>
      <c r="Y213" s="81">
        <v>0</v>
      </c>
      <c r="Z213" s="88">
        <v>44290.988645833335</v>
      </c>
      <c r="AA213" s="88">
        <v>44290.988645833335</v>
      </c>
      <c r="AB213" s="81"/>
      <c r="AC213" s="81"/>
      <c r="AD213" s="84" t="s">
        <v>2390</v>
      </c>
      <c r="AE213" s="82">
        <v>1</v>
      </c>
      <c r="AF213" s="83" t="str">
        <f>REPLACE(INDEX(GroupVertices[Group],MATCH(Edges[[#This Row],[Vertex 1]],GroupVertices[Vertex],0)),1,1,"")</f>
        <v>4</v>
      </c>
      <c r="AG213" s="83" t="str">
        <f>REPLACE(INDEX(GroupVertices[Group],MATCH(Edges[[#This Row],[Vertex 2]],GroupVertices[Vertex],0)),1,1,"")</f>
        <v>4</v>
      </c>
      <c r="AH213" s="111">
        <v>0</v>
      </c>
      <c r="AI213" s="112">
        <v>0</v>
      </c>
      <c r="AJ213" s="111">
        <v>0</v>
      </c>
      <c r="AK213" s="112">
        <v>0</v>
      </c>
      <c r="AL213" s="111">
        <v>0</v>
      </c>
      <c r="AM213" s="112">
        <v>0</v>
      </c>
      <c r="AN213" s="111">
        <v>1</v>
      </c>
      <c r="AO213" s="112">
        <v>100</v>
      </c>
      <c r="AP213" s="111">
        <v>1</v>
      </c>
    </row>
    <row r="214" spans="1:42" ht="15">
      <c r="A214" s="65" t="s">
        <v>383</v>
      </c>
      <c r="B214" s="65" t="s">
        <v>840</v>
      </c>
      <c r="C214" s="66" t="s">
        <v>4651</v>
      </c>
      <c r="D214" s="67">
        <v>3</v>
      </c>
      <c r="E214" s="68"/>
      <c r="F214" s="69">
        <v>40</v>
      </c>
      <c r="G214" s="66"/>
      <c r="H214" s="70"/>
      <c r="I214" s="71"/>
      <c r="J214" s="71"/>
      <c r="K214" s="35" t="s">
        <v>65</v>
      </c>
      <c r="L214" s="79">
        <v>214</v>
      </c>
      <c r="M214" s="79"/>
      <c r="N214" s="73"/>
      <c r="O214" s="81" t="s">
        <v>844</v>
      </c>
      <c r="P214" s="81" t="s">
        <v>199</v>
      </c>
      <c r="Q214" s="84" t="s">
        <v>1051</v>
      </c>
      <c r="R214" s="81" t="s">
        <v>383</v>
      </c>
      <c r="S214" s="81" t="s">
        <v>1742</v>
      </c>
      <c r="T214" s="86" t="str">
        <f>HYPERLINK("http://www.youtube.com/channel/UCxqv514twWSq0AK__OAPlBQ")</f>
        <v>http://www.youtube.com/channel/UCxqv514twWSq0AK__OAPlBQ</v>
      </c>
      <c r="U214" s="81"/>
      <c r="V214" s="81" t="s">
        <v>2312</v>
      </c>
      <c r="W214" s="86" t="str">
        <f>HYPERLINK("https://www.youtube.com/watch?v=vpEAos0blyw")</f>
        <v>https://www.youtube.com/watch?v=vpEAos0blyw</v>
      </c>
      <c r="X214" s="81" t="s">
        <v>2349</v>
      </c>
      <c r="Y214" s="81">
        <v>4</v>
      </c>
      <c r="Z214" s="88">
        <v>43907.844247685185</v>
      </c>
      <c r="AA214" s="88">
        <v>43907.844247685185</v>
      </c>
      <c r="AB214" s="81"/>
      <c r="AC214" s="81"/>
      <c r="AD214" s="84" t="s">
        <v>2390</v>
      </c>
      <c r="AE214" s="82">
        <v>1</v>
      </c>
      <c r="AF214" s="83" t="str">
        <f>REPLACE(INDEX(GroupVertices[Group],MATCH(Edges[[#This Row],[Vertex 1]],GroupVertices[Vertex],0)),1,1,"")</f>
        <v>4</v>
      </c>
      <c r="AG214" s="83" t="str">
        <f>REPLACE(INDEX(GroupVertices[Group],MATCH(Edges[[#This Row],[Vertex 2]],GroupVertices[Vertex],0)),1,1,"")</f>
        <v>4</v>
      </c>
      <c r="AH214" s="111">
        <v>0</v>
      </c>
      <c r="AI214" s="112">
        <v>0</v>
      </c>
      <c r="AJ214" s="111">
        <v>0</v>
      </c>
      <c r="AK214" s="112">
        <v>0</v>
      </c>
      <c r="AL214" s="111">
        <v>0</v>
      </c>
      <c r="AM214" s="112">
        <v>0</v>
      </c>
      <c r="AN214" s="111">
        <v>6</v>
      </c>
      <c r="AO214" s="112">
        <v>100</v>
      </c>
      <c r="AP214" s="111">
        <v>6</v>
      </c>
    </row>
    <row r="215" spans="1:42" ht="15">
      <c r="A215" s="65" t="s">
        <v>384</v>
      </c>
      <c r="B215" s="65" t="s">
        <v>385</v>
      </c>
      <c r="C215" s="66" t="s">
        <v>4651</v>
      </c>
      <c r="D215" s="67">
        <v>3</v>
      </c>
      <c r="E215" s="68"/>
      <c r="F215" s="69">
        <v>40</v>
      </c>
      <c r="G215" s="66"/>
      <c r="H215" s="70"/>
      <c r="I215" s="71"/>
      <c r="J215" s="71"/>
      <c r="K215" s="35" t="s">
        <v>65</v>
      </c>
      <c r="L215" s="79">
        <v>215</v>
      </c>
      <c r="M215" s="79"/>
      <c r="N215" s="73"/>
      <c r="O215" s="81" t="s">
        <v>845</v>
      </c>
      <c r="P215" s="81" t="s">
        <v>847</v>
      </c>
      <c r="Q215" s="84" t="s">
        <v>1052</v>
      </c>
      <c r="R215" s="81" t="s">
        <v>384</v>
      </c>
      <c r="S215" s="81" t="s">
        <v>1743</v>
      </c>
      <c r="T215" s="86" t="str">
        <f>HYPERLINK("http://www.youtube.com/channel/UCWVdzKevS3_H77zZgSJoHlA")</f>
        <v>http://www.youtube.com/channel/UCWVdzKevS3_H77zZgSJoHlA</v>
      </c>
      <c r="U215" s="81" t="s">
        <v>2214</v>
      </c>
      <c r="V215" s="81" t="s">
        <v>2312</v>
      </c>
      <c r="W215" s="86" t="str">
        <f>HYPERLINK("https://www.youtube.com/watch?v=vpEAos0blyw")</f>
        <v>https://www.youtube.com/watch?v=vpEAos0blyw</v>
      </c>
      <c r="X215" s="81" t="s">
        <v>2349</v>
      </c>
      <c r="Y215" s="81">
        <v>0</v>
      </c>
      <c r="Z215" s="88">
        <v>44024.835625</v>
      </c>
      <c r="AA215" s="88">
        <v>44024.835625</v>
      </c>
      <c r="AB215" s="81"/>
      <c r="AC215" s="81"/>
      <c r="AD215" s="84" t="s">
        <v>2390</v>
      </c>
      <c r="AE215" s="82">
        <v>1</v>
      </c>
      <c r="AF215" s="83" t="str">
        <f>REPLACE(INDEX(GroupVertices[Group],MATCH(Edges[[#This Row],[Vertex 1]],GroupVertices[Vertex],0)),1,1,"")</f>
        <v>4</v>
      </c>
      <c r="AG215" s="83" t="str">
        <f>REPLACE(INDEX(GroupVertices[Group],MATCH(Edges[[#This Row],[Vertex 2]],GroupVertices[Vertex],0)),1,1,"")</f>
        <v>4</v>
      </c>
      <c r="AH215" s="111">
        <v>0</v>
      </c>
      <c r="AI215" s="112">
        <v>0</v>
      </c>
      <c r="AJ215" s="111">
        <v>0</v>
      </c>
      <c r="AK215" s="112">
        <v>0</v>
      </c>
      <c r="AL215" s="111">
        <v>0</v>
      </c>
      <c r="AM215" s="112">
        <v>0</v>
      </c>
      <c r="AN215" s="111">
        <v>0</v>
      </c>
      <c r="AO215" s="112">
        <v>0</v>
      </c>
      <c r="AP215" s="111">
        <v>0</v>
      </c>
    </row>
    <row r="216" spans="1:42" ht="15">
      <c r="A216" s="65" t="s">
        <v>385</v>
      </c>
      <c r="B216" s="65" t="s">
        <v>840</v>
      </c>
      <c r="C216" s="66" t="s">
        <v>4651</v>
      </c>
      <c r="D216" s="67">
        <v>3</v>
      </c>
      <c r="E216" s="68"/>
      <c r="F216" s="69">
        <v>40</v>
      </c>
      <c r="G216" s="66"/>
      <c r="H216" s="70"/>
      <c r="I216" s="71"/>
      <c r="J216" s="71"/>
      <c r="K216" s="35" t="s">
        <v>65</v>
      </c>
      <c r="L216" s="79">
        <v>216</v>
      </c>
      <c r="M216" s="79"/>
      <c r="N216" s="73"/>
      <c r="O216" s="81" t="s">
        <v>844</v>
      </c>
      <c r="P216" s="81" t="s">
        <v>199</v>
      </c>
      <c r="Q216" s="84" t="s">
        <v>1053</v>
      </c>
      <c r="R216" s="81" t="s">
        <v>385</v>
      </c>
      <c r="S216" s="81" t="s">
        <v>1744</v>
      </c>
      <c r="T216" s="86" t="str">
        <f>HYPERLINK("http://www.youtube.com/channel/UCpfWAL5jCTom1iIoRhQUg4w")</f>
        <v>http://www.youtube.com/channel/UCpfWAL5jCTom1iIoRhQUg4w</v>
      </c>
      <c r="U216" s="81"/>
      <c r="V216" s="81" t="s">
        <v>2312</v>
      </c>
      <c r="W216" s="86" t="str">
        <f>HYPERLINK("https://www.youtube.com/watch?v=vpEAos0blyw")</f>
        <v>https://www.youtube.com/watch?v=vpEAos0blyw</v>
      </c>
      <c r="X216" s="81" t="s">
        <v>2349</v>
      </c>
      <c r="Y216" s="81">
        <v>6</v>
      </c>
      <c r="Z216" s="88">
        <v>43923.9500462963</v>
      </c>
      <c r="AA216" s="88">
        <v>43923.9500462963</v>
      </c>
      <c r="AB216" s="81"/>
      <c r="AC216" s="81"/>
      <c r="AD216" s="84" t="s">
        <v>2390</v>
      </c>
      <c r="AE216" s="82">
        <v>1</v>
      </c>
      <c r="AF216" s="83" t="str">
        <f>REPLACE(INDEX(GroupVertices[Group],MATCH(Edges[[#This Row],[Vertex 1]],GroupVertices[Vertex],0)),1,1,"")</f>
        <v>4</v>
      </c>
      <c r="AG216" s="83" t="str">
        <f>REPLACE(INDEX(GroupVertices[Group],MATCH(Edges[[#This Row],[Vertex 2]],GroupVertices[Vertex],0)),1,1,"")</f>
        <v>4</v>
      </c>
      <c r="AH216" s="111">
        <v>0</v>
      </c>
      <c r="AI216" s="112">
        <v>0</v>
      </c>
      <c r="AJ216" s="111">
        <v>0</v>
      </c>
      <c r="AK216" s="112">
        <v>0</v>
      </c>
      <c r="AL216" s="111">
        <v>0</v>
      </c>
      <c r="AM216" s="112">
        <v>0</v>
      </c>
      <c r="AN216" s="111">
        <v>8</v>
      </c>
      <c r="AO216" s="112">
        <v>100</v>
      </c>
      <c r="AP216" s="111">
        <v>8</v>
      </c>
    </row>
    <row r="217" spans="1:42" ht="15">
      <c r="A217" s="65" t="s">
        <v>386</v>
      </c>
      <c r="B217" s="65" t="s">
        <v>394</v>
      </c>
      <c r="C217" s="66" t="s">
        <v>4651</v>
      </c>
      <c r="D217" s="67">
        <v>3</v>
      </c>
      <c r="E217" s="68"/>
      <c r="F217" s="69">
        <v>40</v>
      </c>
      <c r="G217" s="66"/>
      <c r="H217" s="70"/>
      <c r="I217" s="71"/>
      <c r="J217" s="71"/>
      <c r="K217" s="35" t="s">
        <v>65</v>
      </c>
      <c r="L217" s="79">
        <v>217</v>
      </c>
      <c r="M217" s="79"/>
      <c r="N217" s="73"/>
      <c r="O217" s="81" t="s">
        <v>845</v>
      </c>
      <c r="P217" s="81" t="s">
        <v>847</v>
      </c>
      <c r="Q217" s="84" t="s">
        <v>1054</v>
      </c>
      <c r="R217" s="81" t="s">
        <v>386</v>
      </c>
      <c r="S217" s="81" t="s">
        <v>1745</v>
      </c>
      <c r="T217" s="86" t="str">
        <f>HYPERLINK("http://www.youtube.com/channel/UC50kqnAFV1i8YVdc4VGzKCw")</f>
        <v>http://www.youtube.com/channel/UC50kqnAFV1i8YVdc4VGzKCw</v>
      </c>
      <c r="U217" s="81" t="s">
        <v>2215</v>
      </c>
      <c r="V217" s="81" t="s">
        <v>2312</v>
      </c>
      <c r="W217" s="86" t="str">
        <f>HYPERLINK("https://www.youtube.com/watch?v=")</f>
        <v>https://www.youtube.com/watch?v=</v>
      </c>
      <c r="X217" s="81" t="s">
        <v>2349</v>
      </c>
      <c r="Y217" s="81">
        <v>1</v>
      </c>
      <c r="Z217" s="88">
        <v>43934.71733796296</v>
      </c>
      <c r="AA217" s="88">
        <v>43934.71733796296</v>
      </c>
      <c r="AB217" s="81"/>
      <c r="AC217" s="81"/>
      <c r="AD217" s="84" t="s">
        <v>2390</v>
      </c>
      <c r="AE217" s="82">
        <v>1</v>
      </c>
      <c r="AF217" s="83" t="str">
        <f>REPLACE(INDEX(GroupVertices[Group],MATCH(Edges[[#This Row],[Vertex 1]],GroupVertices[Vertex],0)),1,1,"")</f>
        <v>4</v>
      </c>
      <c r="AG217" s="83" t="str">
        <f>REPLACE(INDEX(GroupVertices[Group],MATCH(Edges[[#This Row],[Vertex 2]],GroupVertices[Vertex],0)),1,1,"")</f>
        <v>4</v>
      </c>
      <c r="AH217" s="111">
        <v>1</v>
      </c>
      <c r="AI217" s="112">
        <v>5.2631578947368425</v>
      </c>
      <c r="AJ217" s="111">
        <v>3</v>
      </c>
      <c r="AK217" s="112">
        <v>15.789473684210526</v>
      </c>
      <c r="AL217" s="111">
        <v>0</v>
      </c>
      <c r="AM217" s="112">
        <v>0</v>
      </c>
      <c r="AN217" s="111">
        <v>15</v>
      </c>
      <c r="AO217" s="112">
        <v>78.94736842105263</v>
      </c>
      <c r="AP217" s="111">
        <v>19</v>
      </c>
    </row>
    <row r="218" spans="1:42" ht="15">
      <c r="A218" s="65" t="s">
        <v>387</v>
      </c>
      <c r="B218" s="65" t="s">
        <v>394</v>
      </c>
      <c r="C218" s="66" t="s">
        <v>4651</v>
      </c>
      <c r="D218" s="67">
        <v>3</v>
      </c>
      <c r="E218" s="68"/>
      <c r="F218" s="69">
        <v>40</v>
      </c>
      <c r="G218" s="66"/>
      <c r="H218" s="70"/>
      <c r="I218" s="71"/>
      <c r="J218" s="71"/>
      <c r="K218" s="35" t="s">
        <v>65</v>
      </c>
      <c r="L218" s="79">
        <v>218</v>
      </c>
      <c r="M218" s="79"/>
      <c r="N218" s="73"/>
      <c r="O218" s="81" t="s">
        <v>845</v>
      </c>
      <c r="P218" s="81" t="s">
        <v>847</v>
      </c>
      <c r="Q218" s="84" t="s">
        <v>1055</v>
      </c>
      <c r="R218" s="81" t="s">
        <v>387</v>
      </c>
      <c r="S218" s="81" t="s">
        <v>1746</v>
      </c>
      <c r="T218" s="86" t="str">
        <f>HYPERLINK("http://www.youtube.com/channel/UCzECW1QYDLBlfE5KIA2WyLw")</f>
        <v>http://www.youtube.com/channel/UCzECW1QYDLBlfE5KIA2WyLw</v>
      </c>
      <c r="U218" s="81" t="s">
        <v>2215</v>
      </c>
      <c r="V218" s="81" t="s">
        <v>2312</v>
      </c>
      <c r="W218" s="86" t="str">
        <f>HYPERLINK("https://www.youtube.com/watch?v=")</f>
        <v>https://www.youtube.com/watch?v=</v>
      </c>
      <c r="X218" s="81" t="s">
        <v>2349</v>
      </c>
      <c r="Y218" s="81">
        <v>2</v>
      </c>
      <c r="Z218" s="88">
        <v>43943.850127314814</v>
      </c>
      <c r="AA218" s="88">
        <v>43943.850127314814</v>
      </c>
      <c r="AB218" s="81"/>
      <c r="AC218" s="81"/>
      <c r="AD218" s="84" t="s">
        <v>2390</v>
      </c>
      <c r="AE218" s="82">
        <v>1</v>
      </c>
      <c r="AF218" s="83" t="str">
        <f>REPLACE(INDEX(GroupVertices[Group],MATCH(Edges[[#This Row],[Vertex 1]],GroupVertices[Vertex],0)),1,1,"")</f>
        <v>4</v>
      </c>
      <c r="AG218" s="83" t="str">
        <f>REPLACE(INDEX(GroupVertices[Group],MATCH(Edges[[#This Row],[Vertex 2]],GroupVertices[Vertex],0)),1,1,"")</f>
        <v>4</v>
      </c>
      <c r="AH218" s="111">
        <v>0</v>
      </c>
      <c r="AI218" s="112">
        <v>0</v>
      </c>
      <c r="AJ218" s="111">
        <v>0</v>
      </c>
      <c r="AK218" s="112">
        <v>0</v>
      </c>
      <c r="AL218" s="111">
        <v>0</v>
      </c>
      <c r="AM218" s="112">
        <v>0</v>
      </c>
      <c r="AN218" s="111">
        <v>2</v>
      </c>
      <c r="AO218" s="112">
        <v>100</v>
      </c>
      <c r="AP218" s="111">
        <v>2</v>
      </c>
    </row>
    <row r="219" spans="1:42" ht="15">
      <c r="A219" s="65" t="s">
        <v>388</v>
      </c>
      <c r="B219" s="65" t="s">
        <v>394</v>
      </c>
      <c r="C219" s="66" t="s">
        <v>4651</v>
      </c>
      <c r="D219" s="67">
        <v>3</v>
      </c>
      <c r="E219" s="68"/>
      <c r="F219" s="69">
        <v>40</v>
      </c>
      <c r="G219" s="66"/>
      <c r="H219" s="70"/>
      <c r="I219" s="71"/>
      <c r="J219" s="71"/>
      <c r="K219" s="35" t="s">
        <v>65</v>
      </c>
      <c r="L219" s="79">
        <v>219</v>
      </c>
      <c r="M219" s="79"/>
      <c r="N219" s="73"/>
      <c r="O219" s="81" t="s">
        <v>845</v>
      </c>
      <c r="P219" s="81" t="s">
        <v>847</v>
      </c>
      <c r="Q219" s="84" t="s">
        <v>1056</v>
      </c>
      <c r="R219" s="81" t="s">
        <v>388</v>
      </c>
      <c r="S219" s="81" t="s">
        <v>1747</v>
      </c>
      <c r="T219" s="86" t="str">
        <f>HYPERLINK("http://www.youtube.com/channel/UC6Ay0pZCXvOaPaPPYOy6s0A")</f>
        <v>http://www.youtube.com/channel/UC6Ay0pZCXvOaPaPPYOy6s0A</v>
      </c>
      <c r="U219" s="81" t="s">
        <v>2215</v>
      </c>
      <c r="V219" s="81" t="s">
        <v>2312</v>
      </c>
      <c r="W219" s="86" t="str">
        <f>HYPERLINK("https://www.youtube.com/watch?v=")</f>
        <v>https://www.youtube.com/watch?v=</v>
      </c>
      <c r="X219" s="81" t="s">
        <v>2349</v>
      </c>
      <c r="Y219" s="81">
        <v>1</v>
      </c>
      <c r="Z219" s="88">
        <v>43969.62596064815</v>
      </c>
      <c r="AA219" s="88">
        <v>43969.62596064815</v>
      </c>
      <c r="AB219" s="81"/>
      <c r="AC219" s="81"/>
      <c r="AD219" s="84" t="s">
        <v>2390</v>
      </c>
      <c r="AE219" s="82">
        <v>1</v>
      </c>
      <c r="AF219" s="83" t="str">
        <f>REPLACE(INDEX(GroupVertices[Group],MATCH(Edges[[#This Row],[Vertex 1]],GroupVertices[Vertex],0)),1,1,"")</f>
        <v>4</v>
      </c>
      <c r="AG219" s="83" t="str">
        <f>REPLACE(INDEX(GroupVertices[Group],MATCH(Edges[[#This Row],[Vertex 2]],GroupVertices[Vertex],0)),1,1,"")</f>
        <v>4</v>
      </c>
      <c r="AH219" s="111">
        <v>0</v>
      </c>
      <c r="AI219" s="112">
        <v>0</v>
      </c>
      <c r="AJ219" s="111">
        <v>0</v>
      </c>
      <c r="AK219" s="112">
        <v>0</v>
      </c>
      <c r="AL219" s="111">
        <v>0</v>
      </c>
      <c r="AM219" s="112">
        <v>0</v>
      </c>
      <c r="AN219" s="111">
        <v>2</v>
      </c>
      <c r="AO219" s="112">
        <v>100</v>
      </c>
      <c r="AP219" s="111">
        <v>2</v>
      </c>
    </row>
    <row r="220" spans="1:42" ht="15">
      <c r="A220" s="65" t="s">
        <v>389</v>
      </c>
      <c r="B220" s="65" t="s">
        <v>394</v>
      </c>
      <c r="C220" s="66" t="s">
        <v>4651</v>
      </c>
      <c r="D220" s="67">
        <v>3</v>
      </c>
      <c r="E220" s="68"/>
      <c r="F220" s="69">
        <v>40</v>
      </c>
      <c r="G220" s="66"/>
      <c r="H220" s="70"/>
      <c r="I220" s="71"/>
      <c r="J220" s="71"/>
      <c r="K220" s="35" t="s">
        <v>65</v>
      </c>
      <c r="L220" s="79">
        <v>220</v>
      </c>
      <c r="M220" s="79"/>
      <c r="N220" s="73"/>
      <c r="O220" s="81" t="s">
        <v>845</v>
      </c>
      <c r="P220" s="81" t="s">
        <v>847</v>
      </c>
      <c r="Q220" s="84" t="s">
        <v>1057</v>
      </c>
      <c r="R220" s="81" t="s">
        <v>389</v>
      </c>
      <c r="S220" s="81" t="s">
        <v>1748</v>
      </c>
      <c r="T220" s="86" t="str">
        <f>HYPERLINK("http://www.youtube.com/channel/UC-YSMJTWUtL5hAeon8YDW4Q")</f>
        <v>http://www.youtube.com/channel/UC-YSMJTWUtL5hAeon8YDW4Q</v>
      </c>
      <c r="U220" s="81" t="s">
        <v>2215</v>
      </c>
      <c r="V220" s="81" t="s">
        <v>2312</v>
      </c>
      <c r="W220" s="86" t="str">
        <f>HYPERLINK("https://www.youtube.com/watch?v=")</f>
        <v>https://www.youtube.com/watch?v=</v>
      </c>
      <c r="X220" s="81" t="s">
        <v>2349</v>
      </c>
      <c r="Y220" s="81">
        <v>3</v>
      </c>
      <c r="Z220" s="88">
        <v>44074.62824074074</v>
      </c>
      <c r="AA220" s="88">
        <v>44074.62824074074</v>
      </c>
      <c r="AB220" s="81"/>
      <c r="AC220" s="81"/>
      <c r="AD220" s="84" t="s">
        <v>2390</v>
      </c>
      <c r="AE220" s="82">
        <v>1</v>
      </c>
      <c r="AF220" s="83" t="str">
        <f>REPLACE(INDEX(GroupVertices[Group],MATCH(Edges[[#This Row],[Vertex 1]],GroupVertices[Vertex],0)),1,1,"")</f>
        <v>4</v>
      </c>
      <c r="AG220" s="83" t="str">
        <f>REPLACE(INDEX(GroupVertices[Group],MATCH(Edges[[#This Row],[Vertex 2]],GroupVertices[Vertex],0)),1,1,"")</f>
        <v>4</v>
      </c>
      <c r="AH220" s="111">
        <v>0</v>
      </c>
      <c r="AI220" s="112">
        <v>0</v>
      </c>
      <c r="AJ220" s="111">
        <v>0</v>
      </c>
      <c r="AK220" s="112">
        <v>0</v>
      </c>
      <c r="AL220" s="111">
        <v>0</v>
      </c>
      <c r="AM220" s="112">
        <v>0</v>
      </c>
      <c r="AN220" s="111">
        <v>6</v>
      </c>
      <c r="AO220" s="112">
        <v>100</v>
      </c>
      <c r="AP220" s="111">
        <v>6</v>
      </c>
    </row>
    <row r="221" spans="1:42" ht="15">
      <c r="A221" s="65" t="s">
        <v>390</v>
      </c>
      <c r="B221" s="65" t="s">
        <v>394</v>
      </c>
      <c r="C221" s="66" t="s">
        <v>4651</v>
      </c>
      <c r="D221" s="67">
        <v>3</v>
      </c>
      <c r="E221" s="68"/>
      <c r="F221" s="69">
        <v>40</v>
      </c>
      <c r="G221" s="66"/>
      <c r="H221" s="70"/>
      <c r="I221" s="71"/>
      <c r="J221" s="71"/>
      <c r="K221" s="35" t="s">
        <v>65</v>
      </c>
      <c r="L221" s="79">
        <v>221</v>
      </c>
      <c r="M221" s="79"/>
      <c r="N221" s="73"/>
      <c r="O221" s="81" t="s">
        <v>845</v>
      </c>
      <c r="P221" s="81" t="s">
        <v>847</v>
      </c>
      <c r="Q221" s="84" t="s">
        <v>1058</v>
      </c>
      <c r="R221" s="81" t="s">
        <v>390</v>
      </c>
      <c r="S221" s="81" t="s">
        <v>1749</v>
      </c>
      <c r="T221" s="86" t="str">
        <f>HYPERLINK("http://www.youtube.com/channel/UCdq_WSt0JCjBKXydTu1rgTQ")</f>
        <v>http://www.youtube.com/channel/UCdq_WSt0JCjBKXydTu1rgTQ</v>
      </c>
      <c r="U221" s="81" t="s">
        <v>2215</v>
      </c>
      <c r="V221" s="81" t="s">
        <v>2312</v>
      </c>
      <c r="W221" s="86" t="str">
        <f>HYPERLINK("https://www.youtube.com/watch?v=")</f>
        <v>https://www.youtube.com/watch?v=</v>
      </c>
      <c r="X221" s="81" t="s">
        <v>2349</v>
      </c>
      <c r="Y221" s="81">
        <v>0</v>
      </c>
      <c r="Z221" s="88">
        <v>44096.2162962963</v>
      </c>
      <c r="AA221" s="88">
        <v>44096.2162962963</v>
      </c>
      <c r="AB221" s="81"/>
      <c r="AC221" s="81"/>
      <c r="AD221" s="84" t="s">
        <v>2390</v>
      </c>
      <c r="AE221" s="82">
        <v>1</v>
      </c>
      <c r="AF221" s="83" t="str">
        <f>REPLACE(INDEX(GroupVertices[Group],MATCH(Edges[[#This Row],[Vertex 1]],GroupVertices[Vertex],0)),1,1,"")</f>
        <v>4</v>
      </c>
      <c r="AG221" s="83" t="str">
        <f>REPLACE(INDEX(GroupVertices[Group],MATCH(Edges[[#This Row],[Vertex 2]],GroupVertices[Vertex],0)),1,1,"")</f>
        <v>4</v>
      </c>
      <c r="AH221" s="111">
        <v>0</v>
      </c>
      <c r="AI221" s="112">
        <v>0</v>
      </c>
      <c r="AJ221" s="111">
        <v>1</v>
      </c>
      <c r="AK221" s="112">
        <v>16.666666666666668</v>
      </c>
      <c r="AL221" s="111">
        <v>0</v>
      </c>
      <c r="AM221" s="112">
        <v>0</v>
      </c>
      <c r="AN221" s="111">
        <v>5</v>
      </c>
      <c r="AO221" s="112">
        <v>83.33333333333333</v>
      </c>
      <c r="AP221" s="111">
        <v>6</v>
      </c>
    </row>
    <row r="222" spans="1:42" ht="15">
      <c r="A222" s="65" t="s">
        <v>391</v>
      </c>
      <c r="B222" s="65" t="s">
        <v>394</v>
      </c>
      <c r="C222" s="66" t="s">
        <v>4651</v>
      </c>
      <c r="D222" s="67">
        <v>3</v>
      </c>
      <c r="E222" s="68"/>
      <c r="F222" s="69">
        <v>40</v>
      </c>
      <c r="G222" s="66"/>
      <c r="H222" s="70"/>
      <c r="I222" s="71"/>
      <c r="J222" s="71"/>
      <c r="K222" s="35" t="s">
        <v>65</v>
      </c>
      <c r="L222" s="79">
        <v>222</v>
      </c>
      <c r="M222" s="79"/>
      <c r="N222" s="73"/>
      <c r="O222" s="81" t="s">
        <v>845</v>
      </c>
      <c r="P222" s="81" t="s">
        <v>847</v>
      </c>
      <c r="Q222" s="84" t="s">
        <v>1059</v>
      </c>
      <c r="R222" s="81" t="s">
        <v>391</v>
      </c>
      <c r="S222" s="81" t="s">
        <v>1750</v>
      </c>
      <c r="T222" s="86" t="str">
        <f>HYPERLINK("http://www.youtube.com/channel/UCrUysV9Hi3CdSQ--IqmXjVw")</f>
        <v>http://www.youtube.com/channel/UCrUysV9Hi3CdSQ--IqmXjVw</v>
      </c>
      <c r="U222" s="81" t="s">
        <v>2215</v>
      </c>
      <c r="V222" s="81" t="s">
        <v>2312</v>
      </c>
      <c r="W222" s="86" t="str">
        <f>HYPERLINK("https://www.youtube.com/watch?v=")</f>
        <v>https://www.youtube.com/watch?v=</v>
      </c>
      <c r="X222" s="81" t="s">
        <v>2349</v>
      </c>
      <c r="Y222" s="81">
        <v>0</v>
      </c>
      <c r="Z222" s="88">
        <v>44328.90761574074</v>
      </c>
      <c r="AA222" s="88">
        <v>44328.90761574074</v>
      </c>
      <c r="AB222" s="81"/>
      <c r="AC222" s="81"/>
      <c r="AD222" s="84" t="s">
        <v>2390</v>
      </c>
      <c r="AE222" s="82">
        <v>1</v>
      </c>
      <c r="AF222" s="83" t="str">
        <f>REPLACE(INDEX(GroupVertices[Group],MATCH(Edges[[#This Row],[Vertex 1]],GroupVertices[Vertex],0)),1,1,"")</f>
        <v>4</v>
      </c>
      <c r="AG222" s="83" t="str">
        <f>REPLACE(INDEX(GroupVertices[Group],MATCH(Edges[[#This Row],[Vertex 2]],GroupVertices[Vertex],0)),1,1,"")</f>
        <v>4</v>
      </c>
      <c r="AH222" s="111">
        <v>0</v>
      </c>
      <c r="AI222" s="112">
        <v>0</v>
      </c>
      <c r="AJ222" s="111">
        <v>0</v>
      </c>
      <c r="AK222" s="112">
        <v>0</v>
      </c>
      <c r="AL222" s="111">
        <v>0</v>
      </c>
      <c r="AM222" s="112">
        <v>0</v>
      </c>
      <c r="AN222" s="111">
        <v>1</v>
      </c>
      <c r="AO222" s="112">
        <v>100</v>
      </c>
      <c r="AP222" s="111">
        <v>1</v>
      </c>
    </row>
    <row r="223" spans="1:42" ht="15">
      <c r="A223" s="65" t="s">
        <v>392</v>
      </c>
      <c r="B223" s="65" t="s">
        <v>394</v>
      </c>
      <c r="C223" s="66" t="s">
        <v>4651</v>
      </c>
      <c r="D223" s="67">
        <v>3</v>
      </c>
      <c r="E223" s="68"/>
      <c r="F223" s="69">
        <v>40</v>
      </c>
      <c r="G223" s="66"/>
      <c r="H223" s="70"/>
      <c r="I223" s="71"/>
      <c r="J223" s="71"/>
      <c r="K223" s="35" t="s">
        <v>65</v>
      </c>
      <c r="L223" s="79">
        <v>223</v>
      </c>
      <c r="M223" s="79"/>
      <c r="N223" s="73"/>
      <c r="O223" s="81" t="s">
        <v>845</v>
      </c>
      <c r="P223" s="81" t="s">
        <v>847</v>
      </c>
      <c r="Q223" s="84" t="s">
        <v>1060</v>
      </c>
      <c r="R223" s="81" t="s">
        <v>392</v>
      </c>
      <c r="S223" s="81" t="s">
        <v>1751</v>
      </c>
      <c r="T223" s="86" t="str">
        <f>HYPERLINK("http://www.youtube.com/channel/UCcR3lvb6rzItuTw9H5_I2TQ")</f>
        <v>http://www.youtube.com/channel/UCcR3lvb6rzItuTw9H5_I2TQ</v>
      </c>
      <c r="U223" s="81" t="s">
        <v>2215</v>
      </c>
      <c r="V223" s="81" t="s">
        <v>2312</v>
      </c>
      <c r="W223" s="86" t="str">
        <f>HYPERLINK("https://www.youtube.com/watch?v=")</f>
        <v>https://www.youtube.com/watch?v=</v>
      </c>
      <c r="X223" s="81" t="s">
        <v>2349</v>
      </c>
      <c r="Y223" s="81">
        <v>4</v>
      </c>
      <c r="Z223" s="88">
        <v>43929.87809027778</v>
      </c>
      <c r="AA223" s="88">
        <v>43929.87809027778</v>
      </c>
      <c r="AB223" s="81"/>
      <c r="AC223" s="81"/>
      <c r="AD223" s="84" t="s">
        <v>2390</v>
      </c>
      <c r="AE223" s="82">
        <v>1</v>
      </c>
      <c r="AF223" s="83" t="str">
        <f>REPLACE(INDEX(GroupVertices[Group],MATCH(Edges[[#This Row],[Vertex 1]],GroupVertices[Vertex],0)),1,1,"")</f>
        <v>4</v>
      </c>
      <c r="AG223" s="83" t="str">
        <f>REPLACE(INDEX(GroupVertices[Group],MATCH(Edges[[#This Row],[Vertex 2]],GroupVertices[Vertex],0)),1,1,"")</f>
        <v>4</v>
      </c>
      <c r="AH223" s="111">
        <v>0</v>
      </c>
      <c r="AI223" s="112">
        <v>0</v>
      </c>
      <c r="AJ223" s="111">
        <v>1</v>
      </c>
      <c r="AK223" s="112">
        <v>25</v>
      </c>
      <c r="AL223" s="111">
        <v>0</v>
      </c>
      <c r="AM223" s="112">
        <v>0</v>
      </c>
      <c r="AN223" s="111">
        <v>3</v>
      </c>
      <c r="AO223" s="112">
        <v>75</v>
      </c>
      <c r="AP223" s="111">
        <v>4</v>
      </c>
    </row>
    <row r="224" spans="1:42" ht="15">
      <c r="A224" s="65" t="s">
        <v>393</v>
      </c>
      <c r="B224" s="65" t="s">
        <v>394</v>
      </c>
      <c r="C224" s="66" t="s">
        <v>4613</v>
      </c>
      <c r="D224" s="67">
        <v>10</v>
      </c>
      <c r="E224" s="68"/>
      <c r="F224" s="69">
        <v>15</v>
      </c>
      <c r="G224" s="66"/>
      <c r="H224" s="70"/>
      <c r="I224" s="71"/>
      <c r="J224" s="71"/>
      <c r="K224" s="35" t="s">
        <v>65</v>
      </c>
      <c r="L224" s="79">
        <v>224</v>
      </c>
      <c r="M224" s="79"/>
      <c r="N224" s="73"/>
      <c r="O224" s="81" t="s">
        <v>845</v>
      </c>
      <c r="P224" s="81" t="s">
        <v>847</v>
      </c>
      <c r="Q224" s="84" t="s">
        <v>1061</v>
      </c>
      <c r="R224" s="81" t="s">
        <v>393</v>
      </c>
      <c r="S224" s="81" t="s">
        <v>1752</v>
      </c>
      <c r="T224" s="86" t="str">
        <f>HYPERLINK("http://www.youtube.com/channel/UChIdhlau-9aLJ_ClYaiTwxQ")</f>
        <v>http://www.youtube.com/channel/UChIdhlau-9aLJ_ClYaiTwxQ</v>
      </c>
      <c r="U224" s="81" t="s">
        <v>2215</v>
      </c>
      <c r="V224" s="81" t="s">
        <v>2312</v>
      </c>
      <c r="W224" s="86" t="str">
        <f>HYPERLINK("https://www.youtube.com/watch?v=")</f>
        <v>https://www.youtube.com/watch?v=</v>
      </c>
      <c r="X224" s="81" t="s">
        <v>2349</v>
      </c>
      <c r="Y224" s="81">
        <v>1</v>
      </c>
      <c r="Z224" s="88">
        <v>43971.717777777776</v>
      </c>
      <c r="AA224" s="88">
        <v>43971.717777777776</v>
      </c>
      <c r="AB224" s="81"/>
      <c r="AC224" s="81"/>
      <c r="AD224" s="84" t="s">
        <v>2390</v>
      </c>
      <c r="AE224" s="82">
        <v>2</v>
      </c>
      <c r="AF224" s="83" t="str">
        <f>REPLACE(INDEX(GroupVertices[Group],MATCH(Edges[[#This Row],[Vertex 1]],GroupVertices[Vertex],0)),1,1,"")</f>
        <v>4</v>
      </c>
      <c r="AG224" s="83" t="str">
        <f>REPLACE(INDEX(GroupVertices[Group],MATCH(Edges[[#This Row],[Vertex 2]],GroupVertices[Vertex],0)),1,1,"")</f>
        <v>4</v>
      </c>
      <c r="AH224" s="111">
        <v>0</v>
      </c>
      <c r="AI224" s="112">
        <v>0</v>
      </c>
      <c r="AJ224" s="111">
        <v>0</v>
      </c>
      <c r="AK224" s="112">
        <v>0</v>
      </c>
      <c r="AL224" s="111">
        <v>0</v>
      </c>
      <c r="AM224" s="112">
        <v>0</v>
      </c>
      <c r="AN224" s="111">
        <v>3</v>
      </c>
      <c r="AO224" s="112">
        <v>100</v>
      </c>
      <c r="AP224" s="111">
        <v>3</v>
      </c>
    </row>
    <row r="225" spans="1:42" ht="15">
      <c r="A225" s="65" t="s">
        <v>393</v>
      </c>
      <c r="B225" s="65" t="s">
        <v>394</v>
      </c>
      <c r="C225" s="66" t="s">
        <v>4613</v>
      </c>
      <c r="D225" s="67">
        <v>10</v>
      </c>
      <c r="E225" s="68"/>
      <c r="F225" s="69">
        <v>15</v>
      </c>
      <c r="G225" s="66"/>
      <c r="H225" s="70"/>
      <c r="I225" s="71"/>
      <c r="J225" s="71"/>
      <c r="K225" s="35" t="s">
        <v>65</v>
      </c>
      <c r="L225" s="79">
        <v>225</v>
      </c>
      <c r="M225" s="79"/>
      <c r="N225" s="73"/>
      <c r="O225" s="81" t="s">
        <v>845</v>
      </c>
      <c r="P225" s="81" t="s">
        <v>847</v>
      </c>
      <c r="Q225" s="84" t="s">
        <v>1062</v>
      </c>
      <c r="R225" s="81" t="s">
        <v>393</v>
      </c>
      <c r="S225" s="81" t="s">
        <v>1752</v>
      </c>
      <c r="T225" s="86" t="str">
        <f>HYPERLINK("http://www.youtube.com/channel/UChIdhlau-9aLJ_ClYaiTwxQ")</f>
        <v>http://www.youtube.com/channel/UChIdhlau-9aLJ_ClYaiTwxQ</v>
      </c>
      <c r="U225" s="81" t="s">
        <v>2215</v>
      </c>
      <c r="V225" s="81" t="s">
        <v>2312</v>
      </c>
      <c r="W225" s="86" t="str">
        <f>HYPERLINK("https://www.youtube.com/watch?v=")</f>
        <v>https://www.youtube.com/watch?v=</v>
      </c>
      <c r="X225" s="81" t="s">
        <v>2349</v>
      </c>
      <c r="Y225" s="81">
        <v>3</v>
      </c>
      <c r="Z225" s="88">
        <v>43971.71875</v>
      </c>
      <c r="AA225" s="88">
        <v>43971.71875</v>
      </c>
      <c r="AB225" s="81"/>
      <c r="AC225" s="81"/>
      <c r="AD225" s="84" t="s">
        <v>2390</v>
      </c>
      <c r="AE225" s="82">
        <v>2</v>
      </c>
      <c r="AF225" s="83" t="str">
        <f>REPLACE(INDEX(GroupVertices[Group],MATCH(Edges[[#This Row],[Vertex 1]],GroupVertices[Vertex],0)),1,1,"")</f>
        <v>4</v>
      </c>
      <c r="AG225" s="83" t="str">
        <f>REPLACE(INDEX(GroupVertices[Group],MATCH(Edges[[#This Row],[Vertex 2]],GroupVertices[Vertex],0)),1,1,"")</f>
        <v>4</v>
      </c>
      <c r="AH225" s="111">
        <v>1</v>
      </c>
      <c r="AI225" s="112">
        <v>4.3478260869565215</v>
      </c>
      <c r="AJ225" s="111">
        <v>2</v>
      </c>
      <c r="AK225" s="112">
        <v>8.695652173913043</v>
      </c>
      <c r="AL225" s="111">
        <v>0</v>
      </c>
      <c r="AM225" s="112">
        <v>0</v>
      </c>
      <c r="AN225" s="111">
        <v>20</v>
      </c>
      <c r="AO225" s="112">
        <v>86.95652173913044</v>
      </c>
      <c r="AP225" s="111">
        <v>23</v>
      </c>
    </row>
    <row r="226" spans="1:42" ht="15">
      <c r="A226" s="65" t="s">
        <v>384</v>
      </c>
      <c r="B226" s="65" t="s">
        <v>394</v>
      </c>
      <c r="C226" s="66" t="s">
        <v>4651</v>
      </c>
      <c r="D226" s="67">
        <v>3</v>
      </c>
      <c r="E226" s="68"/>
      <c r="F226" s="69">
        <v>40</v>
      </c>
      <c r="G226" s="66"/>
      <c r="H226" s="70"/>
      <c r="I226" s="71"/>
      <c r="J226" s="71"/>
      <c r="K226" s="35" t="s">
        <v>65</v>
      </c>
      <c r="L226" s="79">
        <v>226</v>
      </c>
      <c r="M226" s="79"/>
      <c r="N226" s="73"/>
      <c r="O226" s="81" t="s">
        <v>845</v>
      </c>
      <c r="P226" s="81" t="s">
        <v>847</v>
      </c>
      <c r="Q226" s="84" t="s">
        <v>1063</v>
      </c>
      <c r="R226" s="81" t="s">
        <v>384</v>
      </c>
      <c r="S226" s="81" t="s">
        <v>1743</v>
      </c>
      <c r="T226" s="86" t="str">
        <f>HYPERLINK("http://www.youtube.com/channel/UCWVdzKevS3_H77zZgSJoHlA")</f>
        <v>http://www.youtube.com/channel/UCWVdzKevS3_H77zZgSJoHlA</v>
      </c>
      <c r="U226" s="81" t="s">
        <v>2215</v>
      </c>
      <c r="V226" s="81" t="s">
        <v>2312</v>
      </c>
      <c r="W226" s="86" t="str">
        <f>HYPERLINK("https://www.youtube.com/watch?v=")</f>
        <v>https://www.youtube.com/watch?v=</v>
      </c>
      <c r="X226" s="81" t="s">
        <v>2349</v>
      </c>
      <c r="Y226" s="81">
        <v>0</v>
      </c>
      <c r="Z226" s="88">
        <v>44024.82907407408</v>
      </c>
      <c r="AA226" s="88">
        <v>44105.98541666667</v>
      </c>
      <c r="AB226" s="81"/>
      <c r="AC226" s="81"/>
      <c r="AD226" s="84" t="s">
        <v>2390</v>
      </c>
      <c r="AE226" s="82">
        <v>1</v>
      </c>
      <c r="AF226" s="83" t="str">
        <f>REPLACE(INDEX(GroupVertices[Group],MATCH(Edges[[#This Row],[Vertex 1]],GroupVertices[Vertex],0)),1,1,"")</f>
        <v>4</v>
      </c>
      <c r="AG226" s="83" t="str">
        <f>REPLACE(INDEX(GroupVertices[Group],MATCH(Edges[[#This Row],[Vertex 2]],GroupVertices[Vertex],0)),1,1,"")</f>
        <v>4</v>
      </c>
      <c r="AH226" s="111">
        <v>1</v>
      </c>
      <c r="AI226" s="112">
        <v>5</v>
      </c>
      <c r="AJ226" s="111">
        <v>0</v>
      </c>
      <c r="AK226" s="112">
        <v>0</v>
      </c>
      <c r="AL226" s="111">
        <v>0</v>
      </c>
      <c r="AM226" s="112">
        <v>0</v>
      </c>
      <c r="AN226" s="111">
        <v>19</v>
      </c>
      <c r="AO226" s="112">
        <v>95</v>
      </c>
      <c r="AP226" s="111">
        <v>20</v>
      </c>
    </row>
    <row r="227" spans="1:42" ht="15">
      <c r="A227" s="65" t="s">
        <v>394</v>
      </c>
      <c r="B227" s="65" t="s">
        <v>840</v>
      </c>
      <c r="C227" s="66" t="s">
        <v>4651</v>
      </c>
      <c r="D227" s="67">
        <v>3</v>
      </c>
      <c r="E227" s="68"/>
      <c r="F227" s="69">
        <v>40</v>
      </c>
      <c r="G227" s="66"/>
      <c r="H227" s="70"/>
      <c r="I227" s="71"/>
      <c r="J227" s="71"/>
      <c r="K227" s="35" t="s">
        <v>65</v>
      </c>
      <c r="L227" s="79">
        <v>227</v>
      </c>
      <c r="M227" s="79"/>
      <c r="N227" s="73"/>
      <c r="O227" s="81" t="s">
        <v>844</v>
      </c>
      <c r="P227" s="81" t="s">
        <v>199</v>
      </c>
      <c r="Q227" s="84" t="s">
        <v>1064</v>
      </c>
      <c r="R227" s="81" t="s">
        <v>394</v>
      </c>
      <c r="S227" s="81" t="s">
        <v>1753</v>
      </c>
      <c r="T227" s="86" t="str">
        <f>HYPERLINK("http://www.youtube.com/channel/UCu6wTkukAyVqunE0TaKrzWw")</f>
        <v>http://www.youtube.com/channel/UCu6wTkukAyVqunE0TaKrzWw</v>
      </c>
      <c r="U227" s="81"/>
      <c r="V227" s="81" t="s">
        <v>2312</v>
      </c>
      <c r="W227" s="86" t="str">
        <f>HYPERLINK("https://www.youtube.com/watch?v=vpEAos0blyw")</f>
        <v>https://www.youtube.com/watch?v=vpEAos0blyw</v>
      </c>
      <c r="X227" s="81" t="s">
        <v>2349</v>
      </c>
      <c r="Y227" s="81">
        <v>83</v>
      </c>
      <c r="Z227" s="88">
        <v>43926.971724537034</v>
      </c>
      <c r="AA227" s="88">
        <v>43926.971724537034</v>
      </c>
      <c r="AB227" s="81"/>
      <c r="AC227" s="81"/>
      <c r="AD227" s="84" t="s">
        <v>2390</v>
      </c>
      <c r="AE227" s="82">
        <v>1</v>
      </c>
      <c r="AF227" s="83" t="str">
        <f>REPLACE(INDEX(GroupVertices[Group],MATCH(Edges[[#This Row],[Vertex 1]],GroupVertices[Vertex],0)),1,1,"")</f>
        <v>4</v>
      </c>
      <c r="AG227" s="83" t="str">
        <f>REPLACE(INDEX(GroupVertices[Group],MATCH(Edges[[#This Row],[Vertex 2]],GroupVertices[Vertex],0)),1,1,"")</f>
        <v>4</v>
      </c>
      <c r="AH227" s="111">
        <v>0</v>
      </c>
      <c r="AI227" s="112">
        <v>0</v>
      </c>
      <c r="AJ227" s="111">
        <v>0</v>
      </c>
      <c r="AK227" s="112">
        <v>0</v>
      </c>
      <c r="AL227" s="111">
        <v>0</v>
      </c>
      <c r="AM227" s="112">
        <v>0</v>
      </c>
      <c r="AN227" s="111">
        <v>9</v>
      </c>
      <c r="AO227" s="112">
        <v>100</v>
      </c>
      <c r="AP227" s="111">
        <v>9</v>
      </c>
    </row>
    <row r="228" spans="1:42" ht="15">
      <c r="A228" s="65" t="s">
        <v>395</v>
      </c>
      <c r="B228" s="65" t="s">
        <v>397</v>
      </c>
      <c r="C228" s="66" t="s">
        <v>4651</v>
      </c>
      <c r="D228" s="67">
        <v>3</v>
      </c>
      <c r="E228" s="68"/>
      <c r="F228" s="69">
        <v>40</v>
      </c>
      <c r="G228" s="66"/>
      <c r="H228" s="70"/>
      <c r="I228" s="71"/>
      <c r="J228" s="71"/>
      <c r="K228" s="35" t="s">
        <v>65</v>
      </c>
      <c r="L228" s="79">
        <v>228</v>
      </c>
      <c r="M228" s="79"/>
      <c r="N228" s="73"/>
      <c r="O228" s="81" t="s">
        <v>845</v>
      </c>
      <c r="P228" s="81" t="s">
        <v>847</v>
      </c>
      <c r="Q228" s="84" t="s">
        <v>1065</v>
      </c>
      <c r="R228" s="81" t="s">
        <v>395</v>
      </c>
      <c r="S228" s="81" t="s">
        <v>1754</v>
      </c>
      <c r="T228" s="86" t="str">
        <f>HYPERLINK("http://www.youtube.com/channel/UCe5vN9iYzWRu3MV8QdPaSoQ")</f>
        <v>http://www.youtube.com/channel/UCe5vN9iYzWRu3MV8QdPaSoQ</v>
      </c>
      <c r="U228" s="81" t="s">
        <v>2216</v>
      </c>
      <c r="V228" s="81" t="s">
        <v>2312</v>
      </c>
      <c r="W228" s="86" t="str">
        <f>HYPERLINK("https://www.youtube.com/watch?v=vpEAos0blyw")</f>
        <v>https://www.youtube.com/watch?v=vpEAos0blyw</v>
      </c>
      <c r="X228" s="81" t="s">
        <v>2349</v>
      </c>
      <c r="Y228" s="81">
        <v>0</v>
      </c>
      <c r="Z228" s="88">
        <v>44096.69733796296</v>
      </c>
      <c r="AA228" s="88">
        <v>44096.69733796296</v>
      </c>
      <c r="AB228" s="81"/>
      <c r="AC228" s="81"/>
      <c r="AD228" s="84" t="s">
        <v>2390</v>
      </c>
      <c r="AE228" s="82">
        <v>1</v>
      </c>
      <c r="AF228" s="83" t="str">
        <f>REPLACE(INDEX(GroupVertices[Group],MATCH(Edges[[#This Row],[Vertex 1]],GroupVertices[Vertex],0)),1,1,"")</f>
        <v>4</v>
      </c>
      <c r="AG228" s="83" t="str">
        <f>REPLACE(INDEX(GroupVertices[Group],MATCH(Edges[[#This Row],[Vertex 2]],GroupVertices[Vertex],0)),1,1,"")</f>
        <v>4</v>
      </c>
      <c r="AH228" s="111">
        <v>0</v>
      </c>
      <c r="AI228" s="112">
        <v>0</v>
      </c>
      <c r="AJ228" s="111">
        <v>0</v>
      </c>
      <c r="AK228" s="112">
        <v>0</v>
      </c>
      <c r="AL228" s="111">
        <v>0</v>
      </c>
      <c r="AM228" s="112">
        <v>0</v>
      </c>
      <c r="AN228" s="111">
        <v>2</v>
      </c>
      <c r="AO228" s="112">
        <v>100</v>
      </c>
      <c r="AP228" s="111">
        <v>2</v>
      </c>
    </row>
    <row r="229" spans="1:42" ht="15">
      <c r="A229" s="65" t="s">
        <v>396</v>
      </c>
      <c r="B229" s="65" t="s">
        <v>397</v>
      </c>
      <c r="C229" s="66" t="s">
        <v>4651</v>
      </c>
      <c r="D229" s="67">
        <v>3</v>
      </c>
      <c r="E229" s="68"/>
      <c r="F229" s="69">
        <v>40</v>
      </c>
      <c r="G229" s="66"/>
      <c r="H229" s="70"/>
      <c r="I229" s="71"/>
      <c r="J229" s="71"/>
      <c r="K229" s="35" t="s">
        <v>65</v>
      </c>
      <c r="L229" s="79">
        <v>229</v>
      </c>
      <c r="M229" s="79"/>
      <c r="N229" s="73"/>
      <c r="O229" s="81" t="s">
        <v>845</v>
      </c>
      <c r="P229" s="81" t="s">
        <v>847</v>
      </c>
      <c r="Q229" s="84" t="s">
        <v>1066</v>
      </c>
      <c r="R229" s="81" t="s">
        <v>396</v>
      </c>
      <c r="S229" s="81" t="s">
        <v>1755</v>
      </c>
      <c r="T229" s="86" t="str">
        <f>HYPERLINK("http://www.youtube.com/channel/UC-VTJt8mzfTG9fa7HIrL9Vw")</f>
        <v>http://www.youtube.com/channel/UC-VTJt8mzfTG9fa7HIrL9Vw</v>
      </c>
      <c r="U229" s="81" t="s">
        <v>2216</v>
      </c>
      <c r="V229" s="81" t="s">
        <v>2312</v>
      </c>
      <c r="W229" s="86" t="str">
        <f>HYPERLINK("https://www.youtube.com/watch?v=vpEAos0blyw")</f>
        <v>https://www.youtube.com/watch?v=vpEAos0blyw</v>
      </c>
      <c r="X229" s="81" t="s">
        <v>2349</v>
      </c>
      <c r="Y229" s="81">
        <v>0</v>
      </c>
      <c r="Z229" s="88">
        <v>44124.141863425924</v>
      </c>
      <c r="AA229" s="88">
        <v>44124.141863425924</v>
      </c>
      <c r="AB229" s="81"/>
      <c r="AC229" s="81"/>
      <c r="AD229" s="84" t="s">
        <v>2390</v>
      </c>
      <c r="AE229" s="82">
        <v>1</v>
      </c>
      <c r="AF229" s="83" t="str">
        <f>REPLACE(INDEX(GroupVertices[Group],MATCH(Edges[[#This Row],[Vertex 1]],GroupVertices[Vertex],0)),1,1,"")</f>
        <v>4</v>
      </c>
      <c r="AG229" s="83" t="str">
        <f>REPLACE(INDEX(GroupVertices[Group],MATCH(Edges[[#This Row],[Vertex 2]],GroupVertices[Vertex],0)),1,1,"")</f>
        <v>4</v>
      </c>
      <c r="AH229" s="111">
        <v>0</v>
      </c>
      <c r="AI229" s="112">
        <v>0</v>
      </c>
      <c r="AJ229" s="111">
        <v>2</v>
      </c>
      <c r="AK229" s="112">
        <v>40</v>
      </c>
      <c r="AL229" s="111">
        <v>0</v>
      </c>
      <c r="AM229" s="112">
        <v>0</v>
      </c>
      <c r="AN229" s="111">
        <v>3</v>
      </c>
      <c r="AO229" s="112">
        <v>60</v>
      </c>
      <c r="AP229" s="111">
        <v>5</v>
      </c>
    </row>
    <row r="230" spans="1:42" ht="15">
      <c r="A230" s="65" t="s">
        <v>397</v>
      </c>
      <c r="B230" s="65" t="s">
        <v>840</v>
      </c>
      <c r="C230" s="66" t="s">
        <v>4651</v>
      </c>
      <c r="D230" s="67">
        <v>3</v>
      </c>
      <c r="E230" s="68"/>
      <c r="F230" s="69">
        <v>40</v>
      </c>
      <c r="G230" s="66"/>
      <c r="H230" s="70"/>
      <c r="I230" s="71"/>
      <c r="J230" s="71"/>
      <c r="K230" s="35" t="s">
        <v>65</v>
      </c>
      <c r="L230" s="79">
        <v>230</v>
      </c>
      <c r="M230" s="79"/>
      <c r="N230" s="73"/>
      <c r="O230" s="81" t="s">
        <v>844</v>
      </c>
      <c r="P230" s="81" t="s">
        <v>199</v>
      </c>
      <c r="Q230" s="84" t="s">
        <v>1067</v>
      </c>
      <c r="R230" s="81" t="s">
        <v>397</v>
      </c>
      <c r="S230" s="81" t="s">
        <v>1756</v>
      </c>
      <c r="T230" s="86" t="str">
        <f>HYPERLINK("http://www.youtube.com/channel/UCkzFL--FtYlc5M3mnc7OGXg")</f>
        <v>http://www.youtube.com/channel/UCkzFL--FtYlc5M3mnc7OGXg</v>
      </c>
      <c r="U230" s="81"/>
      <c r="V230" s="81" t="s">
        <v>2312</v>
      </c>
      <c r="W230" s="86" t="str">
        <f>HYPERLINK("https://www.youtube.com/watch?v=vpEAos0blyw")</f>
        <v>https://www.youtube.com/watch?v=vpEAos0blyw</v>
      </c>
      <c r="X230" s="81" t="s">
        <v>2349</v>
      </c>
      <c r="Y230" s="81">
        <v>11</v>
      </c>
      <c r="Z230" s="88">
        <v>43955.76212962963</v>
      </c>
      <c r="AA230" s="88">
        <v>43955.76212962963</v>
      </c>
      <c r="AB230" s="81"/>
      <c r="AC230" s="81"/>
      <c r="AD230" s="84" t="s">
        <v>2390</v>
      </c>
      <c r="AE230" s="82">
        <v>1</v>
      </c>
      <c r="AF230" s="83" t="str">
        <f>REPLACE(INDEX(GroupVertices[Group],MATCH(Edges[[#This Row],[Vertex 1]],GroupVertices[Vertex],0)),1,1,"")</f>
        <v>4</v>
      </c>
      <c r="AG230" s="83" t="str">
        <f>REPLACE(INDEX(GroupVertices[Group],MATCH(Edges[[#This Row],[Vertex 2]],GroupVertices[Vertex],0)),1,1,"")</f>
        <v>4</v>
      </c>
      <c r="AH230" s="111">
        <v>1</v>
      </c>
      <c r="AI230" s="112">
        <v>8.333333333333334</v>
      </c>
      <c r="AJ230" s="111">
        <v>0</v>
      </c>
      <c r="AK230" s="112">
        <v>0</v>
      </c>
      <c r="AL230" s="111">
        <v>0</v>
      </c>
      <c r="AM230" s="112">
        <v>0</v>
      </c>
      <c r="AN230" s="111">
        <v>11</v>
      </c>
      <c r="AO230" s="112">
        <v>91.66666666666667</v>
      </c>
      <c r="AP230" s="111">
        <v>12</v>
      </c>
    </row>
    <row r="231" spans="1:42" ht="15">
      <c r="A231" s="65" t="s">
        <v>398</v>
      </c>
      <c r="B231" s="65" t="s">
        <v>840</v>
      </c>
      <c r="C231" s="66" t="s">
        <v>4651</v>
      </c>
      <c r="D231" s="67">
        <v>3</v>
      </c>
      <c r="E231" s="68"/>
      <c r="F231" s="69">
        <v>40</v>
      </c>
      <c r="G231" s="66"/>
      <c r="H231" s="70"/>
      <c r="I231" s="71"/>
      <c r="J231" s="71"/>
      <c r="K231" s="35" t="s">
        <v>65</v>
      </c>
      <c r="L231" s="79">
        <v>231</v>
      </c>
      <c r="M231" s="79"/>
      <c r="N231" s="73"/>
      <c r="O231" s="81" t="s">
        <v>844</v>
      </c>
      <c r="P231" s="81" t="s">
        <v>199</v>
      </c>
      <c r="Q231" s="84" t="s">
        <v>1068</v>
      </c>
      <c r="R231" s="81" t="s">
        <v>398</v>
      </c>
      <c r="S231" s="81" t="s">
        <v>1757</v>
      </c>
      <c r="T231" s="86" t="str">
        <f>HYPERLINK("http://www.youtube.com/channel/UCvmQhoFmgW3rsTU4GyQCu1g")</f>
        <v>http://www.youtube.com/channel/UCvmQhoFmgW3rsTU4GyQCu1g</v>
      </c>
      <c r="U231" s="81"/>
      <c r="V231" s="81" t="s">
        <v>2312</v>
      </c>
      <c r="W231" s="86" t="str">
        <f>HYPERLINK("https://www.youtube.com/watch?v=vpEAos0blyw")</f>
        <v>https://www.youtube.com/watch?v=vpEAos0blyw</v>
      </c>
      <c r="X231" s="81" t="s">
        <v>2349</v>
      </c>
      <c r="Y231" s="81">
        <v>8</v>
      </c>
      <c r="Z231" s="88">
        <v>43956.55474537037</v>
      </c>
      <c r="AA231" s="88">
        <v>43956.55474537037</v>
      </c>
      <c r="AB231" s="81"/>
      <c r="AC231" s="81"/>
      <c r="AD231" s="84" t="s">
        <v>2390</v>
      </c>
      <c r="AE231" s="82">
        <v>1</v>
      </c>
      <c r="AF231" s="83" t="str">
        <f>REPLACE(INDEX(GroupVertices[Group],MATCH(Edges[[#This Row],[Vertex 1]],GroupVertices[Vertex],0)),1,1,"")</f>
        <v>4</v>
      </c>
      <c r="AG231" s="83" t="str">
        <f>REPLACE(INDEX(GroupVertices[Group],MATCH(Edges[[#This Row],[Vertex 2]],GroupVertices[Vertex],0)),1,1,"")</f>
        <v>4</v>
      </c>
      <c r="AH231" s="111">
        <v>0</v>
      </c>
      <c r="AI231" s="112">
        <v>0</v>
      </c>
      <c r="AJ231" s="111">
        <v>0</v>
      </c>
      <c r="AK231" s="112">
        <v>0</v>
      </c>
      <c r="AL231" s="111">
        <v>0</v>
      </c>
      <c r="AM231" s="112">
        <v>0</v>
      </c>
      <c r="AN231" s="111">
        <v>6</v>
      </c>
      <c r="AO231" s="112">
        <v>100</v>
      </c>
      <c r="AP231" s="111">
        <v>6</v>
      </c>
    </row>
    <row r="232" spans="1:42" ht="15">
      <c r="A232" s="65" t="s">
        <v>399</v>
      </c>
      <c r="B232" s="65" t="s">
        <v>840</v>
      </c>
      <c r="C232" s="66" t="s">
        <v>4651</v>
      </c>
      <c r="D232" s="67">
        <v>3</v>
      </c>
      <c r="E232" s="68"/>
      <c r="F232" s="69">
        <v>40</v>
      </c>
      <c r="G232" s="66"/>
      <c r="H232" s="70"/>
      <c r="I232" s="71"/>
      <c r="J232" s="71"/>
      <c r="K232" s="35" t="s">
        <v>65</v>
      </c>
      <c r="L232" s="79">
        <v>232</v>
      </c>
      <c r="M232" s="79"/>
      <c r="N232" s="73"/>
      <c r="O232" s="81" t="s">
        <v>844</v>
      </c>
      <c r="P232" s="81" t="s">
        <v>199</v>
      </c>
      <c r="Q232" s="84" t="s">
        <v>1069</v>
      </c>
      <c r="R232" s="81" t="s">
        <v>399</v>
      </c>
      <c r="S232" s="81" t="s">
        <v>1758</v>
      </c>
      <c r="T232" s="86" t="str">
        <f>HYPERLINK("http://www.youtube.com/channel/UCTMw1rCPwuwDtqqcvLAteDA")</f>
        <v>http://www.youtube.com/channel/UCTMw1rCPwuwDtqqcvLAteDA</v>
      </c>
      <c r="U232" s="81"/>
      <c r="V232" s="81" t="s">
        <v>2312</v>
      </c>
      <c r="W232" s="86" t="str">
        <f>HYPERLINK("https://www.youtube.com/watch?v=vpEAos0blyw")</f>
        <v>https://www.youtube.com/watch?v=vpEAos0blyw</v>
      </c>
      <c r="X232" s="81" t="s">
        <v>2349</v>
      </c>
      <c r="Y232" s="81">
        <v>0</v>
      </c>
      <c r="Z232" s="88">
        <v>43958.72650462963</v>
      </c>
      <c r="AA232" s="88">
        <v>43958.72650462963</v>
      </c>
      <c r="AB232" s="81" t="s">
        <v>2361</v>
      </c>
      <c r="AC232" s="81" t="s">
        <v>2384</v>
      </c>
      <c r="AD232" s="84" t="s">
        <v>2390</v>
      </c>
      <c r="AE232" s="82">
        <v>1</v>
      </c>
      <c r="AF232" s="83" t="str">
        <f>REPLACE(INDEX(GroupVertices[Group],MATCH(Edges[[#This Row],[Vertex 1]],GroupVertices[Vertex],0)),1,1,"")</f>
        <v>4</v>
      </c>
      <c r="AG232" s="83" t="str">
        <f>REPLACE(INDEX(GroupVertices[Group],MATCH(Edges[[#This Row],[Vertex 2]],GroupVertices[Vertex],0)),1,1,"")</f>
        <v>4</v>
      </c>
      <c r="AH232" s="111">
        <v>0</v>
      </c>
      <c r="AI232" s="112">
        <v>0</v>
      </c>
      <c r="AJ232" s="111">
        <v>1</v>
      </c>
      <c r="AK232" s="112">
        <v>4.3478260869565215</v>
      </c>
      <c r="AL232" s="111">
        <v>0</v>
      </c>
      <c r="AM232" s="112">
        <v>0</v>
      </c>
      <c r="AN232" s="111">
        <v>22</v>
      </c>
      <c r="AO232" s="112">
        <v>95.65217391304348</v>
      </c>
      <c r="AP232" s="111">
        <v>23</v>
      </c>
    </row>
    <row r="233" spans="1:42" ht="15">
      <c r="A233" s="65" t="s">
        <v>400</v>
      </c>
      <c r="B233" s="65" t="s">
        <v>840</v>
      </c>
      <c r="C233" s="66" t="s">
        <v>4651</v>
      </c>
      <c r="D233" s="67">
        <v>3</v>
      </c>
      <c r="E233" s="68"/>
      <c r="F233" s="69">
        <v>40</v>
      </c>
      <c r="G233" s="66"/>
      <c r="H233" s="70"/>
      <c r="I233" s="71"/>
      <c r="J233" s="71"/>
      <c r="K233" s="35" t="s">
        <v>65</v>
      </c>
      <c r="L233" s="79">
        <v>233</v>
      </c>
      <c r="M233" s="79"/>
      <c r="N233" s="73"/>
      <c r="O233" s="81" t="s">
        <v>844</v>
      </c>
      <c r="P233" s="81" t="s">
        <v>199</v>
      </c>
      <c r="Q233" s="84" t="s">
        <v>1070</v>
      </c>
      <c r="R233" s="81" t="s">
        <v>400</v>
      </c>
      <c r="S233" s="81" t="s">
        <v>1759</v>
      </c>
      <c r="T233" s="86" t="str">
        <f>HYPERLINK("http://www.youtube.com/channel/UC1Fn1d4s9_LnzWLvE46XEHg")</f>
        <v>http://www.youtube.com/channel/UC1Fn1d4s9_LnzWLvE46XEHg</v>
      </c>
      <c r="U233" s="81"/>
      <c r="V233" s="81" t="s">
        <v>2312</v>
      </c>
      <c r="W233" s="86" t="str">
        <f>HYPERLINK("https://www.youtube.com/watch?v=vpEAos0blyw")</f>
        <v>https://www.youtube.com/watch?v=vpEAos0blyw</v>
      </c>
      <c r="X233" s="81" t="s">
        <v>2349</v>
      </c>
      <c r="Y233" s="81">
        <v>3</v>
      </c>
      <c r="Z233" s="88">
        <v>43971.19657407407</v>
      </c>
      <c r="AA233" s="88">
        <v>43971.19657407407</v>
      </c>
      <c r="AB233" s="81"/>
      <c r="AC233" s="81"/>
      <c r="AD233" s="84" t="s">
        <v>2390</v>
      </c>
      <c r="AE233" s="82">
        <v>1</v>
      </c>
      <c r="AF233" s="83" t="str">
        <f>REPLACE(INDEX(GroupVertices[Group],MATCH(Edges[[#This Row],[Vertex 1]],GroupVertices[Vertex],0)),1,1,"")</f>
        <v>4</v>
      </c>
      <c r="AG233" s="83" t="str">
        <f>REPLACE(INDEX(GroupVertices[Group],MATCH(Edges[[#This Row],[Vertex 2]],GroupVertices[Vertex],0)),1,1,"")</f>
        <v>4</v>
      </c>
      <c r="AH233" s="111">
        <v>0</v>
      </c>
      <c r="AI233" s="112">
        <v>0</v>
      </c>
      <c r="AJ233" s="111">
        <v>0</v>
      </c>
      <c r="AK233" s="112">
        <v>0</v>
      </c>
      <c r="AL233" s="111">
        <v>0</v>
      </c>
      <c r="AM233" s="112">
        <v>0</v>
      </c>
      <c r="AN233" s="111">
        <v>5</v>
      </c>
      <c r="AO233" s="112">
        <v>100</v>
      </c>
      <c r="AP233" s="111">
        <v>5</v>
      </c>
    </row>
    <row r="234" spans="1:42" ht="15">
      <c r="A234" s="65" t="s">
        <v>393</v>
      </c>
      <c r="B234" s="65" t="s">
        <v>840</v>
      </c>
      <c r="C234" s="66" t="s">
        <v>4651</v>
      </c>
      <c r="D234" s="67">
        <v>3</v>
      </c>
      <c r="E234" s="68"/>
      <c r="F234" s="69">
        <v>40</v>
      </c>
      <c r="G234" s="66"/>
      <c r="H234" s="70"/>
      <c r="I234" s="71"/>
      <c r="J234" s="71"/>
      <c r="K234" s="35" t="s">
        <v>65</v>
      </c>
      <c r="L234" s="79">
        <v>234</v>
      </c>
      <c r="M234" s="79"/>
      <c r="N234" s="73"/>
      <c r="O234" s="81" t="s">
        <v>844</v>
      </c>
      <c r="P234" s="81" t="s">
        <v>199</v>
      </c>
      <c r="Q234" s="84" t="s">
        <v>1071</v>
      </c>
      <c r="R234" s="81" t="s">
        <v>393</v>
      </c>
      <c r="S234" s="81" t="s">
        <v>1752</v>
      </c>
      <c r="T234" s="86" t="str">
        <f>HYPERLINK("http://www.youtube.com/channel/UChIdhlau-9aLJ_ClYaiTwxQ")</f>
        <v>http://www.youtube.com/channel/UChIdhlau-9aLJ_ClYaiTwxQ</v>
      </c>
      <c r="U234" s="81"/>
      <c r="V234" s="81" t="s">
        <v>2312</v>
      </c>
      <c r="W234" s="86" t="str">
        <f>HYPERLINK("https://www.youtube.com/watch?v=vpEAos0blyw")</f>
        <v>https://www.youtube.com/watch?v=vpEAos0blyw</v>
      </c>
      <c r="X234" s="81" t="s">
        <v>2349</v>
      </c>
      <c r="Y234" s="81">
        <v>2</v>
      </c>
      <c r="Z234" s="88">
        <v>43971.71928240741</v>
      </c>
      <c r="AA234" s="88">
        <v>43971.71928240741</v>
      </c>
      <c r="AB234" s="81"/>
      <c r="AC234" s="81"/>
      <c r="AD234" s="84" t="s">
        <v>2390</v>
      </c>
      <c r="AE234" s="82">
        <v>1</v>
      </c>
      <c r="AF234" s="83" t="str">
        <f>REPLACE(INDEX(GroupVertices[Group],MATCH(Edges[[#This Row],[Vertex 1]],GroupVertices[Vertex],0)),1,1,"")</f>
        <v>4</v>
      </c>
      <c r="AG234" s="83" t="str">
        <f>REPLACE(INDEX(GroupVertices[Group],MATCH(Edges[[#This Row],[Vertex 2]],GroupVertices[Vertex],0)),1,1,"")</f>
        <v>4</v>
      </c>
      <c r="AH234" s="111">
        <v>0</v>
      </c>
      <c r="AI234" s="112">
        <v>0</v>
      </c>
      <c r="AJ234" s="111">
        <v>0</v>
      </c>
      <c r="AK234" s="112">
        <v>0</v>
      </c>
      <c r="AL234" s="111">
        <v>0</v>
      </c>
      <c r="AM234" s="112">
        <v>0</v>
      </c>
      <c r="AN234" s="111">
        <v>3</v>
      </c>
      <c r="AO234" s="112">
        <v>100</v>
      </c>
      <c r="AP234" s="111">
        <v>3</v>
      </c>
    </row>
    <row r="235" spans="1:42" ht="15">
      <c r="A235" s="65" t="s">
        <v>384</v>
      </c>
      <c r="B235" s="65" t="s">
        <v>840</v>
      </c>
      <c r="C235" s="66" t="s">
        <v>4613</v>
      </c>
      <c r="D235" s="67">
        <v>10</v>
      </c>
      <c r="E235" s="68"/>
      <c r="F235" s="69">
        <v>15</v>
      </c>
      <c r="G235" s="66"/>
      <c r="H235" s="70"/>
      <c r="I235" s="71"/>
      <c r="J235" s="71"/>
      <c r="K235" s="35" t="s">
        <v>65</v>
      </c>
      <c r="L235" s="79">
        <v>235</v>
      </c>
      <c r="M235" s="79"/>
      <c r="N235" s="73"/>
      <c r="O235" s="81" t="s">
        <v>844</v>
      </c>
      <c r="P235" s="81" t="s">
        <v>199</v>
      </c>
      <c r="Q235" s="84" t="s">
        <v>1072</v>
      </c>
      <c r="R235" s="81" t="s">
        <v>384</v>
      </c>
      <c r="S235" s="81" t="s">
        <v>1743</v>
      </c>
      <c r="T235" s="86" t="str">
        <f>HYPERLINK("http://www.youtube.com/channel/UCWVdzKevS3_H77zZgSJoHlA")</f>
        <v>http://www.youtube.com/channel/UCWVdzKevS3_H77zZgSJoHlA</v>
      </c>
      <c r="U235" s="81"/>
      <c r="V235" s="81" t="s">
        <v>2312</v>
      </c>
      <c r="W235" s="86" t="str">
        <f>HYPERLINK("https://www.youtube.com/watch?v=vpEAos0blyw")</f>
        <v>https://www.youtube.com/watch?v=vpEAos0blyw</v>
      </c>
      <c r="X235" s="81" t="s">
        <v>2349</v>
      </c>
      <c r="Y235" s="81">
        <v>4</v>
      </c>
      <c r="Z235" s="88">
        <v>44024.8350462963</v>
      </c>
      <c r="AA235" s="88">
        <v>44024.83520833333</v>
      </c>
      <c r="AB235" s="81" t="s">
        <v>2362</v>
      </c>
      <c r="AC235" s="81" t="s">
        <v>2379</v>
      </c>
      <c r="AD235" s="84" t="s">
        <v>2390</v>
      </c>
      <c r="AE235" s="82">
        <v>2</v>
      </c>
      <c r="AF235" s="83" t="str">
        <f>REPLACE(INDEX(GroupVertices[Group],MATCH(Edges[[#This Row],[Vertex 1]],GroupVertices[Vertex],0)),1,1,"")</f>
        <v>4</v>
      </c>
      <c r="AG235" s="83" t="str">
        <f>REPLACE(INDEX(GroupVertices[Group],MATCH(Edges[[#This Row],[Vertex 2]],GroupVertices[Vertex],0)),1,1,"")</f>
        <v>4</v>
      </c>
      <c r="AH235" s="111">
        <v>0</v>
      </c>
      <c r="AI235" s="112">
        <v>0</v>
      </c>
      <c r="AJ235" s="111">
        <v>0</v>
      </c>
      <c r="AK235" s="112">
        <v>0</v>
      </c>
      <c r="AL235" s="111">
        <v>0</v>
      </c>
      <c r="AM235" s="112">
        <v>0</v>
      </c>
      <c r="AN235" s="111">
        <v>23</v>
      </c>
      <c r="AO235" s="112">
        <v>100</v>
      </c>
      <c r="AP235" s="111">
        <v>23</v>
      </c>
    </row>
    <row r="236" spans="1:42" ht="15">
      <c r="A236" s="65" t="s">
        <v>384</v>
      </c>
      <c r="B236" s="65" t="s">
        <v>840</v>
      </c>
      <c r="C236" s="66" t="s">
        <v>4613</v>
      </c>
      <c r="D236" s="67">
        <v>10</v>
      </c>
      <c r="E236" s="68"/>
      <c r="F236" s="69">
        <v>15</v>
      </c>
      <c r="G236" s="66"/>
      <c r="H236" s="70"/>
      <c r="I236" s="71"/>
      <c r="J236" s="71"/>
      <c r="K236" s="35" t="s">
        <v>65</v>
      </c>
      <c r="L236" s="79">
        <v>236</v>
      </c>
      <c r="M236" s="79"/>
      <c r="N236" s="73"/>
      <c r="O236" s="81" t="s">
        <v>844</v>
      </c>
      <c r="P236" s="81" t="s">
        <v>199</v>
      </c>
      <c r="Q236" s="84" t="s">
        <v>1073</v>
      </c>
      <c r="R236" s="81" t="s">
        <v>384</v>
      </c>
      <c r="S236" s="81" t="s">
        <v>1743</v>
      </c>
      <c r="T236" s="86" t="str">
        <f>HYPERLINK("http://www.youtube.com/channel/UCWVdzKevS3_H77zZgSJoHlA")</f>
        <v>http://www.youtube.com/channel/UCWVdzKevS3_H77zZgSJoHlA</v>
      </c>
      <c r="U236" s="81"/>
      <c r="V236" s="81" t="s">
        <v>2312</v>
      </c>
      <c r="W236" s="86" t="str">
        <f>HYPERLINK("https://www.youtube.com/watch?v=vpEAos0blyw")</f>
        <v>https://www.youtube.com/watch?v=vpEAos0blyw</v>
      </c>
      <c r="X236" s="81" t="s">
        <v>2349</v>
      </c>
      <c r="Y236" s="81">
        <v>4</v>
      </c>
      <c r="Z236" s="88">
        <v>44024.83576388889</v>
      </c>
      <c r="AA236" s="88">
        <v>44024.83576388889</v>
      </c>
      <c r="AB236" s="81"/>
      <c r="AC236" s="81"/>
      <c r="AD236" s="84" t="s">
        <v>2390</v>
      </c>
      <c r="AE236" s="82">
        <v>2</v>
      </c>
      <c r="AF236" s="83" t="str">
        <f>REPLACE(INDEX(GroupVertices[Group],MATCH(Edges[[#This Row],[Vertex 1]],GroupVertices[Vertex],0)),1,1,"")</f>
        <v>4</v>
      </c>
      <c r="AG236" s="83" t="str">
        <f>REPLACE(INDEX(GroupVertices[Group],MATCH(Edges[[#This Row],[Vertex 2]],GroupVertices[Vertex],0)),1,1,"")</f>
        <v>4</v>
      </c>
      <c r="AH236" s="111">
        <v>2</v>
      </c>
      <c r="AI236" s="112">
        <v>33.333333333333336</v>
      </c>
      <c r="AJ236" s="111">
        <v>0</v>
      </c>
      <c r="AK236" s="112">
        <v>0</v>
      </c>
      <c r="AL236" s="111">
        <v>0</v>
      </c>
      <c r="AM236" s="112">
        <v>0</v>
      </c>
      <c r="AN236" s="111">
        <v>4</v>
      </c>
      <c r="AO236" s="112">
        <v>66.66666666666667</v>
      </c>
      <c r="AP236" s="111">
        <v>6</v>
      </c>
    </row>
    <row r="237" spans="1:42" ht="15">
      <c r="A237" s="65" t="s">
        <v>401</v>
      </c>
      <c r="B237" s="65" t="s">
        <v>840</v>
      </c>
      <c r="C237" s="66" t="s">
        <v>4651</v>
      </c>
      <c r="D237" s="67">
        <v>3</v>
      </c>
      <c r="E237" s="68"/>
      <c r="F237" s="69">
        <v>40</v>
      </c>
      <c r="G237" s="66"/>
      <c r="H237" s="70"/>
      <c r="I237" s="71"/>
      <c r="J237" s="71"/>
      <c r="K237" s="35" t="s">
        <v>65</v>
      </c>
      <c r="L237" s="79">
        <v>237</v>
      </c>
      <c r="M237" s="79"/>
      <c r="N237" s="73"/>
      <c r="O237" s="81" t="s">
        <v>844</v>
      </c>
      <c r="P237" s="81" t="s">
        <v>199</v>
      </c>
      <c r="Q237" s="84" t="s">
        <v>1074</v>
      </c>
      <c r="R237" s="81" t="s">
        <v>401</v>
      </c>
      <c r="S237" s="81" t="s">
        <v>1760</v>
      </c>
      <c r="T237" s="86" t="str">
        <f>HYPERLINK("http://www.youtube.com/channel/UCkq2IuGxraDeCE3kqw3djhw")</f>
        <v>http://www.youtube.com/channel/UCkq2IuGxraDeCE3kqw3djhw</v>
      </c>
      <c r="U237" s="81"/>
      <c r="V237" s="81" t="s">
        <v>2312</v>
      </c>
      <c r="W237" s="86" t="str">
        <f>HYPERLINK("https://www.youtube.com/watch?v=vpEAos0blyw")</f>
        <v>https://www.youtube.com/watch?v=vpEAos0blyw</v>
      </c>
      <c r="X237" s="81" t="s">
        <v>2349</v>
      </c>
      <c r="Y237" s="81">
        <v>20</v>
      </c>
      <c r="Z237" s="88">
        <v>44026.762037037035</v>
      </c>
      <c r="AA237" s="88">
        <v>44026.762037037035</v>
      </c>
      <c r="AB237" s="81"/>
      <c r="AC237" s="81"/>
      <c r="AD237" s="84" t="s">
        <v>2390</v>
      </c>
      <c r="AE237" s="82">
        <v>1</v>
      </c>
      <c r="AF237" s="83" t="str">
        <f>REPLACE(INDEX(GroupVertices[Group],MATCH(Edges[[#This Row],[Vertex 1]],GroupVertices[Vertex],0)),1,1,"")</f>
        <v>4</v>
      </c>
      <c r="AG237" s="83" t="str">
        <f>REPLACE(INDEX(GroupVertices[Group],MATCH(Edges[[#This Row],[Vertex 2]],GroupVertices[Vertex],0)),1,1,"")</f>
        <v>4</v>
      </c>
      <c r="AH237" s="111">
        <v>0</v>
      </c>
      <c r="AI237" s="112">
        <v>0</v>
      </c>
      <c r="AJ237" s="111">
        <v>0</v>
      </c>
      <c r="AK237" s="112">
        <v>0</v>
      </c>
      <c r="AL237" s="111">
        <v>0</v>
      </c>
      <c r="AM237" s="112">
        <v>0</v>
      </c>
      <c r="AN237" s="111">
        <v>11</v>
      </c>
      <c r="AO237" s="112">
        <v>100</v>
      </c>
      <c r="AP237" s="111">
        <v>11</v>
      </c>
    </row>
    <row r="238" spans="1:42" ht="15">
      <c r="A238" s="65" t="s">
        <v>402</v>
      </c>
      <c r="B238" s="65" t="s">
        <v>840</v>
      </c>
      <c r="C238" s="66" t="s">
        <v>4651</v>
      </c>
      <c r="D238" s="67">
        <v>3</v>
      </c>
      <c r="E238" s="68"/>
      <c r="F238" s="69">
        <v>40</v>
      </c>
      <c r="G238" s="66"/>
      <c r="H238" s="70"/>
      <c r="I238" s="71"/>
      <c r="J238" s="71"/>
      <c r="K238" s="35" t="s">
        <v>65</v>
      </c>
      <c r="L238" s="79">
        <v>238</v>
      </c>
      <c r="M238" s="79"/>
      <c r="N238" s="73"/>
      <c r="O238" s="81" t="s">
        <v>844</v>
      </c>
      <c r="P238" s="81" t="s">
        <v>199</v>
      </c>
      <c r="Q238" s="84" t="s">
        <v>1075</v>
      </c>
      <c r="R238" s="81" t="s">
        <v>402</v>
      </c>
      <c r="S238" s="81" t="s">
        <v>1761</v>
      </c>
      <c r="T238" s="86" t="str">
        <f>HYPERLINK("http://www.youtube.com/channel/UCGw3Q99dPOmo5iKTfOmjOfA")</f>
        <v>http://www.youtube.com/channel/UCGw3Q99dPOmo5iKTfOmjOfA</v>
      </c>
      <c r="U238" s="81"/>
      <c r="V238" s="81" t="s">
        <v>2312</v>
      </c>
      <c r="W238" s="86" t="str">
        <f>HYPERLINK("https://www.youtube.com/watch?v=vpEAos0blyw")</f>
        <v>https://www.youtube.com/watch?v=vpEAos0blyw</v>
      </c>
      <c r="X238" s="81" t="s">
        <v>2349</v>
      </c>
      <c r="Y238" s="81">
        <v>12</v>
      </c>
      <c r="Z238" s="88">
        <v>44057.26128472222</v>
      </c>
      <c r="AA238" s="88">
        <v>44057.26128472222</v>
      </c>
      <c r="AB238" s="81"/>
      <c r="AC238" s="81"/>
      <c r="AD238" s="84" t="s">
        <v>2390</v>
      </c>
      <c r="AE238" s="82">
        <v>1</v>
      </c>
      <c r="AF238" s="83" t="str">
        <f>REPLACE(INDEX(GroupVertices[Group],MATCH(Edges[[#This Row],[Vertex 1]],GroupVertices[Vertex],0)),1,1,"")</f>
        <v>4</v>
      </c>
      <c r="AG238" s="83" t="str">
        <f>REPLACE(INDEX(GroupVertices[Group],MATCH(Edges[[#This Row],[Vertex 2]],GroupVertices[Vertex],0)),1,1,"")</f>
        <v>4</v>
      </c>
      <c r="AH238" s="111">
        <v>0</v>
      </c>
      <c r="AI238" s="112">
        <v>0</v>
      </c>
      <c r="AJ238" s="111">
        <v>0</v>
      </c>
      <c r="AK238" s="112">
        <v>0</v>
      </c>
      <c r="AL238" s="111">
        <v>0</v>
      </c>
      <c r="AM238" s="112">
        <v>0</v>
      </c>
      <c r="AN238" s="111">
        <v>7</v>
      </c>
      <c r="AO238" s="112">
        <v>100</v>
      </c>
      <c r="AP238" s="111">
        <v>7</v>
      </c>
    </row>
    <row r="239" spans="1:42" ht="15">
      <c r="A239" s="65" t="s">
        <v>403</v>
      </c>
      <c r="B239" s="65" t="s">
        <v>840</v>
      </c>
      <c r="C239" s="66" t="s">
        <v>4651</v>
      </c>
      <c r="D239" s="67">
        <v>3</v>
      </c>
      <c r="E239" s="68"/>
      <c r="F239" s="69">
        <v>40</v>
      </c>
      <c r="G239" s="66"/>
      <c r="H239" s="70"/>
      <c r="I239" s="71"/>
      <c r="J239" s="71"/>
      <c r="K239" s="35" t="s">
        <v>65</v>
      </c>
      <c r="L239" s="79">
        <v>239</v>
      </c>
      <c r="M239" s="79"/>
      <c r="N239" s="73"/>
      <c r="O239" s="81" t="s">
        <v>844</v>
      </c>
      <c r="P239" s="81" t="s">
        <v>199</v>
      </c>
      <c r="Q239" s="84" t="s">
        <v>1076</v>
      </c>
      <c r="R239" s="81" t="s">
        <v>403</v>
      </c>
      <c r="S239" s="81" t="s">
        <v>1762</v>
      </c>
      <c r="T239" s="86" t="str">
        <f>HYPERLINK("http://www.youtube.com/channel/UCsiXQ64RiLu_TWdbckHC5fw")</f>
        <v>http://www.youtube.com/channel/UCsiXQ64RiLu_TWdbckHC5fw</v>
      </c>
      <c r="U239" s="81"/>
      <c r="V239" s="81" t="s">
        <v>2312</v>
      </c>
      <c r="W239" s="86" t="str">
        <f>HYPERLINK("https://www.youtube.com/watch?v=vpEAos0blyw")</f>
        <v>https://www.youtube.com/watch?v=vpEAos0blyw</v>
      </c>
      <c r="X239" s="81" t="s">
        <v>2349</v>
      </c>
      <c r="Y239" s="81">
        <v>28</v>
      </c>
      <c r="Z239" s="88">
        <v>44110.8340625</v>
      </c>
      <c r="AA239" s="88">
        <v>44110.8340625</v>
      </c>
      <c r="AB239" s="81"/>
      <c r="AC239" s="81"/>
      <c r="AD239" s="84" t="s">
        <v>2390</v>
      </c>
      <c r="AE239" s="82">
        <v>1</v>
      </c>
      <c r="AF239" s="83" t="str">
        <f>REPLACE(INDEX(GroupVertices[Group],MATCH(Edges[[#This Row],[Vertex 1]],GroupVertices[Vertex],0)),1,1,"")</f>
        <v>4</v>
      </c>
      <c r="AG239" s="83" t="str">
        <f>REPLACE(INDEX(GroupVertices[Group],MATCH(Edges[[#This Row],[Vertex 2]],GroupVertices[Vertex],0)),1,1,"")</f>
        <v>4</v>
      </c>
      <c r="AH239" s="111">
        <v>0</v>
      </c>
      <c r="AI239" s="112">
        <v>0</v>
      </c>
      <c r="AJ239" s="111">
        <v>0</v>
      </c>
      <c r="AK239" s="112">
        <v>0</v>
      </c>
      <c r="AL239" s="111">
        <v>0</v>
      </c>
      <c r="AM239" s="112">
        <v>0</v>
      </c>
      <c r="AN239" s="111">
        <v>9</v>
      </c>
      <c r="AO239" s="112">
        <v>100</v>
      </c>
      <c r="AP239" s="111">
        <v>9</v>
      </c>
    </row>
    <row r="240" spans="1:42" ht="15">
      <c r="A240" s="65" t="s">
        <v>404</v>
      </c>
      <c r="B240" s="65" t="s">
        <v>840</v>
      </c>
      <c r="C240" s="66" t="s">
        <v>4651</v>
      </c>
      <c r="D240" s="67">
        <v>3</v>
      </c>
      <c r="E240" s="68"/>
      <c r="F240" s="69">
        <v>40</v>
      </c>
      <c r="G240" s="66"/>
      <c r="H240" s="70"/>
      <c r="I240" s="71"/>
      <c r="J240" s="71"/>
      <c r="K240" s="35" t="s">
        <v>65</v>
      </c>
      <c r="L240" s="79">
        <v>240</v>
      </c>
      <c r="M240" s="79"/>
      <c r="N240" s="73"/>
      <c r="O240" s="81" t="s">
        <v>844</v>
      </c>
      <c r="P240" s="81" t="s">
        <v>199</v>
      </c>
      <c r="Q240" s="84" t="s">
        <v>1077</v>
      </c>
      <c r="R240" s="81" t="s">
        <v>404</v>
      </c>
      <c r="S240" s="81" t="s">
        <v>1763</v>
      </c>
      <c r="T240" s="86" t="str">
        <f>HYPERLINK("http://www.youtube.com/channel/UCMVjhNSQ0xPZhsCnClvDkcA")</f>
        <v>http://www.youtube.com/channel/UCMVjhNSQ0xPZhsCnClvDkcA</v>
      </c>
      <c r="U240" s="81"/>
      <c r="V240" s="81" t="s">
        <v>2312</v>
      </c>
      <c r="W240" s="86" t="str">
        <f>HYPERLINK("https://www.youtube.com/watch?v=vpEAos0blyw")</f>
        <v>https://www.youtube.com/watch?v=vpEAos0blyw</v>
      </c>
      <c r="X240" s="81" t="s">
        <v>2349</v>
      </c>
      <c r="Y240" s="81">
        <v>7</v>
      </c>
      <c r="Z240" s="88">
        <v>44111.8234375</v>
      </c>
      <c r="AA240" s="88">
        <v>44111.8234375</v>
      </c>
      <c r="AB240" s="81"/>
      <c r="AC240" s="81"/>
      <c r="AD240" s="84" t="s">
        <v>2390</v>
      </c>
      <c r="AE240" s="82">
        <v>1</v>
      </c>
      <c r="AF240" s="83" t="str">
        <f>REPLACE(INDEX(GroupVertices[Group],MATCH(Edges[[#This Row],[Vertex 1]],GroupVertices[Vertex],0)),1,1,"")</f>
        <v>4</v>
      </c>
      <c r="AG240" s="83" t="str">
        <f>REPLACE(INDEX(GroupVertices[Group],MATCH(Edges[[#This Row],[Vertex 2]],GroupVertices[Vertex],0)),1,1,"")</f>
        <v>4</v>
      </c>
      <c r="AH240" s="111">
        <v>0</v>
      </c>
      <c r="AI240" s="112">
        <v>0</v>
      </c>
      <c r="AJ240" s="111">
        <v>0</v>
      </c>
      <c r="AK240" s="112">
        <v>0</v>
      </c>
      <c r="AL240" s="111">
        <v>0</v>
      </c>
      <c r="AM240" s="112">
        <v>0</v>
      </c>
      <c r="AN240" s="111">
        <v>8</v>
      </c>
      <c r="AO240" s="112">
        <v>100</v>
      </c>
      <c r="AP240" s="111">
        <v>8</v>
      </c>
    </row>
    <row r="241" spans="1:42" ht="15">
      <c r="A241" s="65" t="s">
        <v>405</v>
      </c>
      <c r="B241" s="65" t="s">
        <v>840</v>
      </c>
      <c r="C241" s="66" t="s">
        <v>4651</v>
      </c>
      <c r="D241" s="67">
        <v>3</v>
      </c>
      <c r="E241" s="68"/>
      <c r="F241" s="69">
        <v>40</v>
      </c>
      <c r="G241" s="66"/>
      <c r="H241" s="70"/>
      <c r="I241" s="71"/>
      <c r="J241" s="71"/>
      <c r="K241" s="35" t="s">
        <v>65</v>
      </c>
      <c r="L241" s="79">
        <v>241</v>
      </c>
      <c r="M241" s="79"/>
      <c r="N241" s="73"/>
      <c r="O241" s="81" t="s">
        <v>844</v>
      </c>
      <c r="P241" s="81" t="s">
        <v>199</v>
      </c>
      <c r="Q241" s="84" t="s">
        <v>1078</v>
      </c>
      <c r="R241" s="81" t="s">
        <v>405</v>
      </c>
      <c r="S241" s="81" t="s">
        <v>1764</v>
      </c>
      <c r="T241" s="86" t="str">
        <f>HYPERLINK("http://www.youtube.com/channel/UCgRF6tj16DWwM-ZT_4cKXOw")</f>
        <v>http://www.youtube.com/channel/UCgRF6tj16DWwM-ZT_4cKXOw</v>
      </c>
      <c r="U241" s="81"/>
      <c r="V241" s="81" t="s">
        <v>2312</v>
      </c>
      <c r="W241" s="86" t="str">
        <f>HYPERLINK("https://www.youtube.com/watch?v=vpEAos0blyw")</f>
        <v>https://www.youtube.com/watch?v=vpEAos0blyw</v>
      </c>
      <c r="X241" s="81" t="s">
        <v>2349</v>
      </c>
      <c r="Y241" s="81">
        <v>0</v>
      </c>
      <c r="Z241" s="88">
        <v>44112.003842592596</v>
      </c>
      <c r="AA241" s="88">
        <v>44112.003842592596</v>
      </c>
      <c r="AB241" s="81" t="s">
        <v>2356</v>
      </c>
      <c r="AC241" s="81" t="s">
        <v>2381</v>
      </c>
      <c r="AD241" s="84" t="s">
        <v>2390</v>
      </c>
      <c r="AE241" s="82">
        <v>1</v>
      </c>
      <c r="AF241" s="83" t="str">
        <f>REPLACE(INDEX(GroupVertices[Group],MATCH(Edges[[#This Row],[Vertex 1]],GroupVertices[Vertex],0)),1,1,"")</f>
        <v>4</v>
      </c>
      <c r="AG241" s="83" t="str">
        <f>REPLACE(INDEX(GroupVertices[Group],MATCH(Edges[[#This Row],[Vertex 2]],GroupVertices[Vertex],0)),1,1,"")</f>
        <v>4</v>
      </c>
      <c r="AH241" s="111">
        <v>3</v>
      </c>
      <c r="AI241" s="112">
        <v>7.142857142857143</v>
      </c>
      <c r="AJ241" s="111">
        <v>1</v>
      </c>
      <c r="AK241" s="112">
        <v>2.380952380952381</v>
      </c>
      <c r="AL241" s="111">
        <v>0</v>
      </c>
      <c r="AM241" s="112">
        <v>0</v>
      </c>
      <c r="AN241" s="111">
        <v>38</v>
      </c>
      <c r="AO241" s="112">
        <v>90.47619047619048</v>
      </c>
      <c r="AP241" s="111">
        <v>42</v>
      </c>
    </row>
    <row r="242" spans="1:42" ht="15">
      <c r="A242" s="65" t="s">
        <v>406</v>
      </c>
      <c r="B242" s="65" t="s">
        <v>840</v>
      </c>
      <c r="C242" s="66" t="s">
        <v>4651</v>
      </c>
      <c r="D242" s="67">
        <v>3</v>
      </c>
      <c r="E242" s="68"/>
      <c r="F242" s="69">
        <v>40</v>
      </c>
      <c r="G242" s="66"/>
      <c r="H242" s="70"/>
      <c r="I242" s="71"/>
      <c r="J242" s="71"/>
      <c r="K242" s="35" t="s">
        <v>65</v>
      </c>
      <c r="L242" s="79">
        <v>242</v>
      </c>
      <c r="M242" s="79"/>
      <c r="N242" s="73"/>
      <c r="O242" s="81" t="s">
        <v>844</v>
      </c>
      <c r="P242" s="81" t="s">
        <v>199</v>
      </c>
      <c r="Q242" s="84" t="s">
        <v>1030</v>
      </c>
      <c r="R242" s="81" t="s">
        <v>406</v>
      </c>
      <c r="S242" s="81" t="s">
        <v>1765</v>
      </c>
      <c r="T242" s="86" t="str">
        <f>HYPERLINK("http://www.youtube.com/channel/UCfpDVjI-jTfsho8N61m84gw")</f>
        <v>http://www.youtube.com/channel/UCfpDVjI-jTfsho8N61m84gw</v>
      </c>
      <c r="U242" s="81"/>
      <c r="V242" s="81" t="s">
        <v>2312</v>
      </c>
      <c r="W242" s="86" t="str">
        <f>HYPERLINK("https://www.youtube.com/watch?v=vpEAos0blyw")</f>
        <v>https://www.youtube.com/watch?v=vpEAos0blyw</v>
      </c>
      <c r="X242" s="81" t="s">
        <v>2349</v>
      </c>
      <c r="Y242" s="81">
        <v>1</v>
      </c>
      <c r="Z242" s="88">
        <v>44112.015231481484</v>
      </c>
      <c r="AA242" s="88">
        <v>44112.015231481484</v>
      </c>
      <c r="AB242" s="81"/>
      <c r="AC242" s="81"/>
      <c r="AD242" s="84" t="s">
        <v>2390</v>
      </c>
      <c r="AE242" s="82">
        <v>1</v>
      </c>
      <c r="AF242" s="83" t="str">
        <f>REPLACE(INDEX(GroupVertices[Group],MATCH(Edges[[#This Row],[Vertex 1]],GroupVertices[Vertex],0)),1,1,"")</f>
        <v>4</v>
      </c>
      <c r="AG242" s="83" t="str">
        <f>REPLACE(INDEX(GroupVertices[Group],MATCH(Edges[[#This Row],[Vertex 2]],GroupVertices[Vertex],0)),1,1,"")</f>
        <v>4</v>
      </c>
      <c r="AH242" s="111">
        <v>1</v>
      </c>
      <c r="AI242" s="112">
        <v>100</v>
      </c>
      <c r="AJ242" s="111">
        <v>0</v>
      </c>
      <c r="AK242" s="112">
        <v>0</v>
      </c>
      <c r="AL242" s="111">
        <v>0</v>
      </c>
      <c r="AM242" s="112">
        <v>0</v>
      </c>
      <c r="AN242" s="111">
        <v>0</v>
      </c>
      <c r="AO242" s="112">
        <v>0</v>
      </c>
      <c r="AP242" s="111">
        <v>1</v>
      </c>
    </row>
    <row r="243" spans="1:42" ht="15">
      <c r="A243" s="65" t="s">
        <v>407</v>
      </c>
      <c r="B243" s="65" t="s">
        <v>840</v>
      </c>
      <c r="C243" s="66" t="s">
        <v>4651</v>
      </c>
      <c r="D243" s="67">
        <v>3</v>
      </c>
      <c r="E243" s="68"/>
      <c r="F243" s="69">
        <v>40</v>
      </c>
      <c r="G243" s="66"/>
      <c r="H243" s="70"/>
      <c r="I243" s="71"/>
      <c r="J243" s="71"/>
      <c r="K243" s="35" t="s">
        <v>65</v>
      </c>
      <c r="L243" s="79">
        <v>243</v>
      </c>
      <c r="M243" s="79"/>
      <c r="N243" s="73"/>
      <c r="O243" s="81" t="s">
        <v>844</v>
      </c>
      <c r="P243" s="81" t="s">
        <v>199</v>
      </c>
      <c r="Q243" s="84" t="s">
        <v>1079</v>
      </c>
      <c r="R243" s="81" t="s">
        <v>407</v>
      </c>
      <c r="S243" s="81" t="s">
        <v>1766</v>
      </c>
      <c r="T243" s="86" t="str">
        <f>HYPERLINK("http://www.youtube.com/channel/UCkly-VZIpn72lNjXcuCWW9w")</f>
        <v>http://www.youtube.com/channel/UCkly-VZIpn72lNjXcuCWW9w</v>
      </c>
      <c r="U243" s="81"/>
      <c r="V243" s="81" t="s">
        <v>2312</v>
      </c>
      <c r="W243" s="86" t="str">
        <f>HYPERLINK("https://www.youtube.com/watch?v=vpEAos0blyw")</f>
        <v>https://www.youtube.com/watch?v=vpEAos0blyw</v>
      </c>
      <c r="X243" s="81" t="s">
        <v>2349</v>
      </c>
      <c r="Y243" s="81">
        <v>0</v>
      </c>
      <c r="Z243" s="88">
        <v>44132.530856481484</v>
      </c>
      <c r="AA243" s="88">
        <v>44132.530856481484</v>
      </c>
      <c r="AB243" s="81"/>
      <c r="AC243" s="81"/>
      <c r="AD243" s="84" t="s">
        <v>2390</v>
      </c>
      <c r="AE243" s="82">
        <v>1</v>
      </c>
      <c r="AF243" s="83" t="str">
        <f>REPLACE(INDEX(GroupVertices[Group],MATCH(Edges[[#This Row],[Vertex 1]],GroupVertices[Vertex],0)),1,1,"")</f>
        <v>4</v>
      </c>
      <c r="AG243" s="83" t="str">
        <f>REPLACE(INDEX(GroupVertices[Group],MATCH(Edges[[#This Row],[Vertex 2]],GroupVertices[Vertex],0)),1,1,"")</f>
        <v>4</v>
      </c>
      <c r="AH243" s="111">
        <v>0</v>
      </c>
      <c r="AI243" s="112">
        <v>0</v>
      </c>
      <c r="AJ243" s="111">
        <v>0</v>
      </c>
      <c r="AK243" s="112">
        <v>0</v>
      </c>
      <c r="AL243" s="111">
        <v>0</v>
      </c>
      <c r="AM243" s="112">
        <v>0</v>
      </c>
      <c r="AN243" s="111">
        <v>0</v>
      </c>
      <c r="AO243" s="112">
        <v>0</v>
      </c>
      <c r="AP243" s="111">
        <v>0</v>
      </c>
    </row>
    <row r="244" spans="1:42" ht="15">
      <c r="A244" s="65" t="s">
        <v>408</v>
      </c>
      <c r="B244" s="65" t="s">
        <v>840</v>
      </c>
      <c r="C244" s="66" t="s">
        <v>4651</v>
      </c>
      <c r="D244" s="67">
        <v>3</v>
      </c>
      <c r="E244" s="68"/>
      <c r="F244" s="69">
        <v>40</v>
      </c>
      <c r="G244" s="66"/>
      <c r="H244" s="70"/>
      <c r="I244" s="71"/>
      <c r="J244" s="71"/>
      <c r="K244" s="35" t="s">
        <v>65</v>
      </c>
      <c r="L244" s="79">
        <v>244</v>
      </c>
      <c r="M244" s="79"/>
      <c r="N244" s="73"/>
      <c r="O244" s="81" t="s">
        <v>844</v>
      </c>
      <c r="P244" s="81" t="s">
        <v>199</v>
      </c>
      <c r="Q244" s="84" t="s">
        <v>1080</v>
      </c>
      <c r="R244" s="81" t="s">
        <v>408</v>
      </c>
      <c r="S244" s="81" t="s">
        <v>1767</v>
      </c>
      <c r="T244" s="86" t="str">
        <f>HYPERLINK("http://www.youtube.com/channel/UCSRWGg0boBMbHebODEMU54Q")</f>
        <v>http://www.youtube.com/channel/UCSRWGg0boBMbHebODEMU54Q</v>
      </c>
      <c r="U244" s="81"/>
      <c r="V244" s="81" t="s">
        <v>2312</v>
      </c>
      <c r="W244" s="86" t="str">
        <f>HYPERLINK("https://www.youtube.com/watch?v=vpEAos0blyw")</f>
        <v>https://www.youtube.com/watch?v=vpEAos0blyw</v>
      </c>
      <c r="X244" s="81" t="s">
        <v>2349</v>
      </c>
      <c r="Y244" s="81">
        <v>4</v>
      </c>
      <c r="Z244" s="88">
        <v>44139.778344907405</v>
      </c>
      <c r="AA244" s="88">
        <v>44139.778344907405</v>
      </c>
      <c r="AB244" s="81" t="s">
        <v>2363</v>
      </c>
      <c r="AC244" s="81" t="s">
        <v>2379</v>
      </c>
      <c r="AD244" s="84" t="s">
        <v>2390</v>
      </c>
      <c r="AE244" s="82">
        <v>1</v>
      </c>
      <c r="AF244" s="83" t="str">
        <f>REPLACE(INDEX(GroupVertices[Group],MATCH(Edges[[#This Row],[Vertex 1]],GroupVertices[Vertex],0)),1,1,"")</f>
        <v>4</v>
      </c>
      <c r="AG244" s="83" t="str">
        <f>REPLACE(INDEX(GroupVertices[Group],MATCH(Edges[[#This Row],[Vertex 2]],GroupVertices[Vertex],0)),1,1,"")</f>
        <v>4</v>
      </c>
      <c r="AH244" s="111">
        <v>2</v>
      </c>
      <c r="AI244" s="112">
        <v>7.6923076923076925</v>
      </c>
      <c r="AJ244" s="111">
        <v>0</v>
      </c>
      <c r="AK244" s="112">
        <v>0</v>
      </c>
      <c r="AL244" s="111">
        <v>0</v>
      </c>
      <c r="AM244" s="112">
        <v>0</v>
      </c>
      <c r="AN244" s="111">
        <v>24</v>
      </c>
      <c r="AO244" s="112">
        <v>92.3076923076923</v>
      </c>
      <c r="AP244" s="111">
        <v>26</v>
      </c>
    </row>
    <row r="245" spans="1:42" ht="15">
      <c r="A245" s="65" t="s">
        <v>409</v>
      </c>
      <c r="B245" s="65" t="s">
        <v>840</v>
      </c>
      <c r="C245" s="66" t="s">
        <v>4651</v>
      </c>
      <c r="D245" s="67">
        <v>3</v>
      </c>
      <c r="E245" s="68"/>
      <c r="F245" s="69">
        <v>40</v>
      </c>
      <c r="G245" s="66"/>
      <c r="H245" s="70"/>
      <c r="I245" s="71"/>
      <c r="J245" s="71"/>
      <c r="K245" s="35" t="s">
        <v>65</v>
      </c>
      <c r="L245" s="79">
        <v>245</v>
      </c>
      <c r="M245" s="79"/>
      <c r="N245" s="73"/>
      <c r="O245" s="81" t="s">
        <v>844</v>
      </c>
      <c r="P245" s="81" t="s">
        <v>199</v>
      </c>
      <c r="Q245" s="84" t="s">
        <v>1081</v>
      </c>
      <c r="R245" s="81" t="s">
        <v>409</v>
      </c>
      <c r="S245" s="81" t="s">
        <v>1768</v>
      </c>
      <c r="T245" s="86" t="str">
        <f>HYPERLINK("http://www.youtube.com/channel/UCNMtMMfBNi2ltGUrzpCSg9w")</f>
        <v>http://www.youtube.com/channel/UCNMtMMfBNi2ltGUrzpCSg9w</v>
      </c>
      <c r="U245" s="81"/>
      <c r="V245" s="81" t="s">
        <v>2312</v>
      </c>
      <c r="W245" s="86" t="str">
        <f>HYPERLINK("https://www.youtube.com/watch?v=vpEAos0blyw")</f>
        <v>https://www.youtube.com/watch?v=vpEAos0blyw</v>
      </c>
      <c r="X245" s="81" t="s">
        <v>2349</v>
      </c>
      <c r="Y245" s="81">
        <v>1</v>
      </c>
      <c r="Z245" s="88">
        <v>44148.80908564815</v>
      </c>
      <c r="AA245" s="88">
        <v>44148.80908564815</v>
      </c>
      <c r="AB245" s="81"/>
      <c r="AC245" s="81"/>
      <c r="AD245" s="84" t="s">
        <v>2390</v>
      </c>
      <c r="AE245" s="82">
        <v>1</v>
      </c>
      <c r="AF245" s="83" t="str">
        <f>REPLACE(INDEX(GroupVertices[Group],MATCH(Edges[[#This Row],[Vertex 1]],GroupVertices[Vertex],0)),1,1,"")</f>
        <v>4</v>
      </c>
      <c r="AG245" s="83" t="str">
        <f>REPLACE(INDEX(GroupVertices[Group],MATCH(Edges[[#This Row],[Vertex 2]],GroupVertices[Vertex],0)),1,1,"")</f>
        <v>4</v>
      </c>
      <c r="AH245" s="111">
        <v>0</v>
      </c>
      <c r="AI245" s="112">
        <v>0</v>
      </c>
      <c r="AJ245" s="111">
        <v>0</v>
      </c>
      <c r="AK245" s="112">
        <v>0</v>
      </c>
      <c r="AL245" s="111">
        <v>0</v>
      </c>
      <c r="AM245" s="112">
        <v>0</v>
      </c>
      <c r="AN245" s="111">
        <v>2</v>
      </c>
      <c r="AO245" s="112">
        <v>100</v>
      </c>
      <c r="AP245" s="111">
        <v>2</v>
      </c>
    </row>
    <row r="246" spans="1:42" ht="15">
      <c r="A246" s="65" t="s">
        <v>410</v>
      </c>
      <c r="B246" s="65" t="s">
        <v>840</v>
      </c>
      <c r="C246" s="66" t="s">
        <v>4651</v>
      </c>
      <c r="D246" s="67">
        <v>3</v>
      </c>
      <c r="E246" s="68"/>
      <c r="F246" s="69">
        <v>40</v>
      </c>
      <c r="G246" s="66"/>
      <c r="H246" s="70"/>
      <c r="I246" s="71"/>
      <c r="J246" s="71"/>
      <c r="K246" s="35" t="s">
        <v>65</v>
      </c>
      <c r="L246" s="79">
        <v>246</v>
      </c>
      <c r="M246" s="79"/>
      <c r="N246" s="73"/>
      <c r="O246" s="81" t="s">
        <v>844</v>
      </c>
      <c r="P246" s="81" t="s">
        <v>199</v>
      </c>
      <c r="Q246" s="84" t="s">
        <v>1082</v>
      </c>
      <c r="R246" s="81" t="s">
        <v>410</v>
      </c>
      <c r="S246" s="81" t="s">
        <v>1769</v>
      </c>
      <c r="T246" s="86" t="str">
        <f>HYPERLINK("http://www.youtube.com/channel/UCeqN6aYZ3_2yOtxMYSAIR5A")</f>
        <v>http://www.youtube.com/channel/UCeqN6aYZ3_2yOtxMYSAIR5A</v>
      </c>
      <c r="U246" s="81"/>
      <c r="V246" s="81" t="s">
        <v>2312</v>
      </c>
      <c r="W246" s="86" t="str">
        <f>HYPERLINK("https://www.youtube.com/watch?v=vpEAos0blyw")</f>
        <v>https://www.youtube.com/watch?v=vpEAos0blyw</v>
      </c>
      <c r="X246" s="81" t="s">
        <v>2349</v>
      </c>
      <c r="Y246" s="81">
        <v>3</v>
      </c>
      <c r="Z246" s="88">
        <v>44154.55454861111</v>
      </c>
      <c r="AA246" s="88">
        <v>44154.55454861111</v>
      </c>
      <c r="AB246" s="81"/>
      <c r="AC246" s="81"/>
      <c r="AD246" s="84" t="s">
        <v>2390</v>
      </c>
      <c r="AE246" s="82">
        <v>1</v>
      </c>
      <c r="AF246" s="83" t="str">
        <f>REPLACE(INDEX(GroupVertices[Group],MATCH(Edges[[#This Row],[Vertex 1]],GroupVertices[Vertex],0)),1,1,"")</f>
        <v>4</v>
      </c>
      <c r="AG246" s="83" t="str">
        <f>REPLACE(INDEX(GroupVertices[Group],MATCH(Edges[[#This Row],[Vertex 2]],GroupVertices[Vertex],0)),1,1,"")</f>
        <v>4</v>
      </c>
      <c r="AH246" s="111">
        <v>0</v>
      </c>
      <c r="AI246" s="112">
        <v>0</v>
      </c>
      <c r="AJ246" s="111">
        <v>0</v>
      </c>
      <c r="AK246" s="112">
        <v>0</v>
      </c>
      <c r="AL246" s="111">
        <v>0</v>
      </c>
      <c r="AM246" s="112">
        <v>0</v>
      </c>
      <c r="AN246" s="111">
        <v>20</v>
      </c>
      <c r="AO246" s="112">
        <v>100</v>
      </c>
      <c r="AP246" s="111">
        <v>20</v>
      </c>
    </row>
    <row r="247" spans="1:42" ht="15">
      <c r="A247" s="65" t="s">
        <v>411</v>
      </c>
      <c r="B247" s="65" t="s">
        <v>840</v>
      </c>
      <c r="C247" s="66" t="s">
        <v>4613</v>
      </c>
      <c r="D247" s="67">
        <v>10</v>
      </c>
      <c r="E247" s="68"/>
      <c r="F247" s="69">
        <v>15</v>
      </c>
      <c r="G247" s="66"/>
      <c r="H247" s="70"/>
      <c r="I247" s="71"/>
      <c r="J247" s="71"/>
      <c r="K247" s="35" t="s">
        <v>65</v>
      </c>
      <c r="L247" s="79">
        <v>247</v>
      </c>
      <c r="M247" s="79"/>
      <c r="N247" s="73"/>
      <c r="O247" s="81" t="s">
        <v>844</v>
      </c>
      <c r="P247" s="81" t="s">
        <v>199</v>
      </c>
      <c r="Q247" s="84" t="s">
        <v>1083</v>
      </c>
      <c r="R247" s="81" t="s">
        <v>411</v>
      </c>
      <c r="S247" s="81" t="s">
        <v>1770</v>
      </c>
      <c r="T247" s="86" t="str">
        <f>HYPERLINK("http://www.youtube.com/channel/UCq4Xqp4npGleWuOEfWLOsLw")</f>
        <v>http://www.youtube.com/channel/UCq4Xqp4npGleWuOEfWLOsLw</v>
      </c>
      <c r="U247" s="81"/>
      <c r="V247" s="81" t="s">
        <v>2312</v>
      </c>
      <c r="W247" s="86" t="str">
        <f>HYPERLINK("https://www.youtube.com/watch?v=vpEAos0blyw")</f>
        <v>https://www.youtube.com/watch?v=vpEAos0blyw</v>
      </c>
      <c r="X247" s="81" t="s">
        <v>2349</v>
      </c>
      <c r="Y247" s="81">
        <v>0</v>
      </c>
      <c r="Z247" s="88">
        <v>44201.23163194444</v>
      </c>
      <c r="AA247" s="88">
        <v>44201.23163194444</v>
      </c>
      <c r="AB247" s="81" t="s">
        <v>2364</v>
      </c>
      <c r="AC247" s="81" t="s">
        <v>2379</v>
      </c>
      <c r="AD247" s="84" t="s">
        <v>2390</v>
      </c>
      <c r="AE247" s="82">
        <v>2</v>
      </c>
      <c r="AF247" s="83" t="str">
        <f>REPLACE(INDEX(GroupVertices[Group],MATCH(Edges[[#This Row],[Vertex 1]],GroupVertices[Vertex],0)),1,1,"")</f>
        <v>4</v>
      </c>
      <c r="AG247" s="83" t="str">
        <f>REPLACE(INDEX(GroupVertices[Group],MATCH(Edges[[#This Row],[Vertex 2]],GroupVertices[Vertex],0)),1,1,"")</f>
        <v>4</v>
      </c>
      <c r="AH247" s="111">
        <v>1</v>
      </c>
      <c r="AI247" s="112">
        <v>4.761904761904762</v>
      </c>
      <c r="AJ247" s="111">
        <v>0</v>
      </c>
      <c r="AK247" s="112">
        <v>0</v>
      </c>
      <c r="AL247" s="111">
        <v>0</v>
      </c>
      <c r="AM247" s="112">
        <v>0</v>
      </c>
      <c r="AN247" s="111">
        <v>20</v>
      </c>
      <c r="AO247" s="112">
        <v>95.23809523809524</v>
      </c>
      <c r="AP247" s="111">
        <v>21</v>
      </c>
    </row>
    <row r="248" spans="1:42" ht="15">
      <c r="A248" s="65" t="s">
        <v>411</v>
      </c>
      <c r="B248" s="65" t="s">
        <v>840</v>
      </c>
      <c r="C248" s="66" t="s">
        <v>4613</v>
      </c>
      <c r="D248" s="67">
        <v>10</v>
      </c>
      <c r="E248" s="68"/>
      <c r="F248" s="69">
        <v>15</v>
      </c>
      <c r="G248" s="66"/>
      <c r="H248" s="70"/>
      <c r="I248" s="71"/>
      <c r="J248" s="71"/>
      <c r="K248" s="35" t="s">
        <v>65</v>
      </c>
      <c r="L248" s="79">
        <v>248</v>
      </c>
      <c r="M248" s="79"/>
      <c r="N248" s="73"/>
      <c r="O248" s="81" t="s">
        <v>844</v>
      </c>
      <c r="P248" s="81" t="s">
        <v>199</v>
      </c>
      <c r="Q248" s="84" t="s">
        <v>1084</v>
      </c>
      <c r="R248" s="81" t="s">
        <v>411</v>
      </c>
      <c r="S248" s="81" t="s">
        <v>1770</v>
      </c>
      <c r="T248" s="86" t="str">
        <f>HYPERLINK("http://www.youtube.com/channel/UCq4Xqp4npGleWuOEfWLOsLw")</f>
        <v>http://www.youtube.com/channel/UCq4Xqp4npGleWuOEfWLOsLw</v>
      </c>
      <c r="U248" s="81"/>
      <c r="V248" s="81" t="s">
        <v>2312</v>
      </c>
      <c r="W248" s="86" t="str">
        <f>HYPERLINK("https://www.youtube.com/watch?v=vpEAos0blyw")</f>
        <v>https://www.youtube.com/watch?v=vpEAos0blyw</v>
      </c>
      <c r="X248" s="81" t="s">
        <v>2349</v>
      </c>
      <c r="Y248" s="81">
        <v>0</v>
      </c>
      <c r="Z248" s="88">
        <v>44201.231828703705</v>
      </c>
      <c r="AA248" s="88">
        <v>44201.231828703705</v>
      </c>
      <c r="AB248" s="81"/>
      <c r="AC248" s="81"/>
      <c r="AD248" s="84" t="s">
        <v>2390</v>
      </c>
      <c r="AE248" s="82">
        <v>2</v>
      </c>
      <c r="AF248" s="83" t="str">
        <f>REPLACE(INDEX(GroupVertices[Group],MATCH(Edges[[#This Row],[Vertex 1]],GroupVertices[Vertex],0)),1,1,"")</f>
        <v>4</v>
      </c>
      <c r="AG248" s="83" t="str">
        <f>REPLACE(INDEX(GroupVertices[Group],MATCH(Edges[[#This Row],[Vertex 2]],GroupVertices[Vertex],0)),1,1,"")</f>
        <v>4</v>
      </c>
      <c r="AH248" s="111">
        <v>1</v>
      </c>
      <c r="AI248" s="112">
        <v>50</v>
      </c>
      <c r="AJ248" s="111">
        <v>0</v>
      </c>
      <c r="AK248" s="112">
        <v>0</v>
      </c>
      <c r="AL248" s="111">
        <v>0</v>
      </c>
      <c r="AM248" s="112">
        <v>0</v>
      </c>
      <c r="AN248" s="111">
        <v>1</v>
      </c>
      <c r="AO248" s="112">
        <v>50</v>
      </c>
      <c r="AP248" s="111">
        <v>2</v>
      </c>
    </row>
    <row r="249" spans="1:42" ht="15">
      <c r="A249" s="65" t="s">
        <v>412</v>
      </c>
      <c r="B249" s="65" t="s">
        <v>840</v>
      </c>
      <c r="C249" s="66" t="s">
        <v>4651</v>
      </c>
      <c r="D249" s="67">
        <v>3</v>
      </c>
      <c r="E249" s="68"/>
      <c r="F249" s="69">
        <v>40</v>
      </c>
      <c r="G249" s="66"/>
      <c r="H249" s="70"/>
      <c r="I249" s="71"/>
      <c r="J249" s="71"/>
      <c r="K249" s="35" t="s">
        <v>65</v>
      </c>
      <c r="L249" s="79">
        <v>249</v>
      </c>
      <c r="M249" s="79"/>
      <c r="N249" s="73"/>
      <c r="O249" s="81" t="s">
        <v>844</v>
      </c>
      <c r="P249" s="81" t="s">
        <v>199</v>
      </c>
      <c r="Q249" s="84" t="s">
        <v>1085</v>
      </c>
      <c r="R249" s="81" t="s">
        <v>412</v>
      </c>
      <c r="S249" s="81" t="s">
        <v>1771</v>
      </c>
      <c r="T249" s="86" t="str">
        <f>HYPERLINK("http://www.youtube.com/channel/UCbpHmbOD5MTu7DzhZXZdzPg")</f>
        <v>http://www.youtube.com/channel/UCbpHmbOD5MTu7DzhZXZdzPg</v>
      </c>
      <c r="U249" s="81"/>
      <c r="V249" s="81" t="s">
        <v>2312</v>
      </c>
      <c r="W249" s="86" t="str">
        <f>HYPERLINK("https://www.youtube.com/watch?v=vpEAos0blyw")</f>
        <v>https://www.youtube.com/watch?v=vpEAos0blyw</v>
      </c>
      <c r="X249" s="81" t="s">
        <v>2349</v>
      </c>
      <c r="Y249" s="81">
        <v>0</v>
      </c>
      <c r="Z249" s="88">
        <v>44208.63943287037</v>
      </c>
      <c r="AA249" s="88">
        <v>44208.63943287037</v>
      </c>
      <c r="AB249" s="81"/>
      <c r="AC249" s="81"/>
      <c r="AD249" s="84" t="s">
        <v>2390</v>
      </c>
      <c r="AE249" s="82">
        <v>1</v>
      </c>
      <c r="AF249" s="83" t="str">
        <f>REPLACE(INDEX(GroupVertices[Group],MATCH(Edges[[#This Row],[Vertex 1]],GroupVertices[Vertex],0)),1,1,"")</f>
        <v>4</v>
      </c>
      <c r="AG249" s="83" t="str">
        <f>REPLACE(INDEX(GroupVertices[Group],MATCH(Edges[[#This Row],[Vertex 2]],GroupVertices[Vertex],0)),1,1,"")</f>
        <v>4</v>
      </c>
      <c r="AH249" s="111">
        <v>0</v>
      </c>
      <c r="AI249" s="112">
        <v>0</v>
      </c>
      <c r="AJ249" s="111">
        <v>0</v>
      </c>
      <c r="AK249" s="112">
        <v>0</v>
      </c>
      <c r="AL249" s="111">
        <v>0</v>
      </c>
      <c r="AM249" s="112">
        <v>0</v>
      </c>
      <c r="AN249" s="111">
        <v>2</v>
      </c>
      <c r="AO249" s="112">
        <v>100</v>
      </c>
      <c r="AP249" s="111">
        <v>2</v>
      </c>
    </row>
    <row r="250" spans="1:42" ht="15">
      <c r="A250" s="65" t="s">
        <v>413</v>
      </c>
      <c r="B250" s="65" t="s">
        <v>840</v>
      </c>
      <c r="C250" s="66" t="s">
        <v>4651</v>
      </c>
      <c r="D250" s="67">
        <v>3</v>
      </c>
      <c r="E250" s="68"/>
      <c r="F250" s="69">
        <v>40</v>
      </c>
      <c r="G250" s="66"/>
      <c r="H250" s="70"/>
      <c r="I250" s="71"/>
      <c r="J250" s="71"/>
      <c r="K250" s="35" t="s">
        <v>65</v>
      </c>
      <c r="L250" s="79">
        <v>250</v>
      </c>
      <c r="M250" s="79"/>
      <c r="N250" s="73"/>
      <c r="O250" s="81" t="s">
        <v>844</v>
      </c>
      <c r="P250" s="81" t="s">
        <v>199</v>
      </c>
      <c r="Q250" s="84" t="s">
        <v>1086</v>
      </c>
      <c r="R250" s="81" t="s">
        <v>413</v>
      </c>
      <c r="S250" s="81" t="s">
        <v>1772</v>
      </c>
      <c r="T250" s="86" t="str">
        <f>HYPERLINK("http://www.youtube.com/channel/UC3Qsj1mJvYnpN9eT3sN1buw")</f>
        <v>http://www.youtube.com/channel/UC3Qsj1mJvYnpN9eT3sN1buw</v>
      </c>
      <c r="U250" s="81"/>
      <c r="V250" s="81" t="s">
        <v>2312</v>
      </c>
      <c r="W250" s="86" t="str">
        <f>HYPERLINK("https://www.youtube.com/watch?v=vpEAos0blyw")</f>
        <v>https://www.youtube.com/watch?v=vpEAos0blyw</v>
      </c>
      <c r="X250" s="81" t="s">
        <v>2349</v>
      </c>
      <c r="Y250" s="81">
        <v>1</v>
      </c>
      <c r="Z250" s="88">
        <v>44209.62898148148</v>
      </c>
      <c r="AA250" s="88">
        <v>44209.62898148148</v>
      </c>
      <c r="AB250" s="81"/>
      <c r="AC250" s="81"/>
      <c r="AD250" s="84" t="s">
        <v>2390</v>
      </c>
      <c r="AE250" s="82">
        <v>1</v>
      </c>
      <c r="AF250" s="83" t="str">
        <f>REPLACE(INDEX(GroupVertices[Group],MATCH(Edges[[#This Row],[Vertex 1]],GroupVertices[Vertex],0)),1,1,"")</f>
        <v>4</v>
      </c>
      <c r="AG250" s="83" t="str">
        <f>REPLACE(INDEX(GroupVertices[Group],MATCH(Edges[[#This Row],[Vertex 2]],GroupVertices[Vertex],0)),1,1,"")</f>
        <v>4</v>
      </c>
      <c r="AH250" s="111">
        <v>0</v>
      </c>
      <c r="AI250" s="112">
        <v>0</v>
      </c>
      <c r="AJ250" s="111">
        <v>0</v>
      </c>
      <c r="AK250" s="112">
        <v>0</v>
      </c>
      <c r="AL250" s="111">
        <v>0</v>
      </c>
      <c r="AM250" s="112">
        <v>0</v>
      </c>
      <c r="AN250" s="111">
        <v>10</v>
      </c>
      <c r="AO250" s="112">
        <v>100</v>
      </c>
      <c r="AP250" s="111">
        <v>10</v>
      </c>
    </row>
    <row r="251" spans="1:42" ht="15">
      <c r="A251" s="65" t="s">
        <v>414</v>
      </c>
      <c r="B251" s="65" t="s">
        <v>415</v>
      </c>
      <c r="C251" s="66" t="s">
        <v>4651</v>
      </c>
      <c r="D251" s="67">
        <v>3</v>
      </c>
      <c r="E251" s="68"/>
      <c r="F251" s="69">
        <v>40</v>
      </c>
      <c r="G251" s="66"/>
      <c r="H251" s="70"/>
      <c r="I251" s="71"/>
      <c r="J251" s="71"/>
      <c r="K251" s="35" t="s">
        <v>65</v>
      </c>
      <c r="L251" s="79">
        <v>251</v>
      </c>
      <c r="M251" s="79"/>
      <c r="N251" s="73"/>
      <c r="O251" s="81" t="s">
        <v>845</v>
      </c>
      <c r="P251" s="81" t="s">
        <v>847</v>
      </c>
      <c r="Q251" s="84" t="s">
        <v>1087</v>
      </c>
      <c r="R251" s="81" t="s">
        <v>414</v>
      </c>
      <c r="S251" s="81" t="s">
        <v>1773</v>
      </c>
      <c r="T251" s="86" t="str">
        <f>HYPERLINK("http://www.youtube.com/channel/UCGo0zwvmGTyrPhIfxqzfV6A")</f>
        <v>http://www.youtube.com/channel/UCGo0zwvmGTyrPhIfxqzfV6A</v>
      </c>
      <c r="U251" s="81" t="s">
        <v>2217</v>
      </c>
      <c r="V251" s="81" t="s">
        <v>2312</v>
      </c>
      <c r="W251" s="86" t="str">
        <f>HYPERLINK("https://www.youtube.com/watch?v=vpEAos0blyw")</f>
        <v>https://www.youtube.com/watch?v=vpEAos0blyw</v>
      </c>
      <c r="X251" s="81" t="s">
        <v>2349</v>
      </c>
      <c r="Y251" s="81">
        <v>0</v>
      </c>
      <c r="Z251" s="88">
        <v>44263.817037037035</v>
      </c>
      <c r="AA251" s="88">
        <v>44263.817037037035</v>
      </c>
      <c r="AB251" s="81"/>
      <c r="AC251" s="81"/>
      <c r="AD251" s="84" t="s">
        <v>2390</v>
      </c>
      <c r="AE251" s="82">
        <v>1</v>
      </c>
      <c r="AF251" s="83" t="str">
        <f>REPLACE(INDEX(GroupVertices[Group],MATCH(Edges[[#This Row],[Vertex 1]],GroupVertices[Vertex],0)),1,1,"")</f>
        <v>4</v>
      </c>
      <c r="AG251" s="83" t="str">
        <f>REPLACE(INDEX(GroupVertices[Group],MATCH(Edges[[#This Row],[Vertex 2]],GroupVertices[Vertex],0)),1,1,"")</f>
        <v>4</v>
      </c>
      <c r="AH251" s="111">
        <v>0</v>
      </c>
      <c r="AI251" s="112">
        <v>0</v>
      </c>
      <c r="AJ251" s="111">
        <v>0</v>
      </c>
      <c r="AK251" s="112">
        <v>0</v>
      </c>
      <c r="AL251" s="111">
        <v>0</v>
      </c>
      <c r="AM251" s="112">
        <v>0</v>
      </c>
      <c r="AN251" s="111">
        <v>1</v>
      </c>
      <c r="AO251" s="112">
        <v>100</v>
      </c>
      <c r="AP251" s="111">
        <v>1</v>
      </c>
    </row>
    <row r="252" spans="1:42" ht="15">
      <c r="A252" s="65" t="s">
        <v>415</v>
      </c>
      <c r="B252" s="65" t="s">
        <v>840</v>
      </c>
      <c r="C252" s="66" t="s">
        <v>4651</v>
      </c>
      <c r="D252" s="67">
        <v>3</v>
      </c>
      <c r="E252" s="68"/>
      <c r="F252" s="69">
        <v>40</v>
      </c>
      <c r="G252" s="66"/>
      <c r="H252" s="70"/>
      <c r="I252" s="71"/>
      <c r="J252" s="71"/>
      <c r="K252" s="35" t="s">
        <v>65</v>
      </c>
      <c r="L252" s="79">
        <v>252</v>
      </c>
      <c r="M252" s="79"/>
      <c r="N252" s="73"/>
      <c r="O252" s="81" t="s">
        <v>844</v>
      </c>
      <c r="P252" s="81" t="s">
        <v>199</v>
      </c>
      <c r="Q252" s="84" t="s">
        <v>1088</v>
      </c>
      <c r="R252" s="81" t="s">
        <v>415</v>
      </c>
      <c r="S252" s="81" t="s">
        <v>1774</v>
      </c>
      <c r="T252" s="86" t="str">
        <f>HYPERLINK("http://www.youtube.com/channel/UClVpvZXsBpevMFsvyo126Sg")</f>
        <v>http://www.youtube.com/channel/UClVpvZXsBpevMFsvyo126Sg</v>
      </c>
      <c r="U252" s="81"/>
      <c r="V252" s="81" t="s">
        <v>2312</v>
      </c>
      <c r="W252" s="86" t="str">
        <f>HYPERLINK("https://www.youtube.com/watch?v=vpEAos0blyw")</f>
        <v>https://www.youtube.com/watch?v=vpEAos0blyw</v>
      </c>
      <c r="X252" s="81" t="s">
        <v>2349</v>
      </c>
      <c r="Y252" s="81">
        <v>3</v>
      </c>
      <c r="Z252" s="88">
        <v>44215.93069444445</v>
      </c>
      <c r="AA252" s="88">
        <v>44215.939467592594</v>
      </c>
      <c r="AB252" s="81"/>
      <c r="AC252" s="81"/>
      <c r="AD252" s="84" t="s">
        <v>2390</v>
      </c>
      <c r="AE252" s="82">
        <v>1</v>
      </c>
      <c r="AF252" s="83" t="str">
        <f>REPLACE(INDEX(GroupVertices[Group],MATCH(Edges[[#This Row],[Vertex 1]],GroupVertices[Vertex],0)),1,1,"")</f>
        <v>4</v>
      </c>
      <c r="AG252" s="83" t="str">
        <f>REPLACE(INDEX(GroupVertices[Group],MATCH(Edges[[#This Row],[Vertex 2]],GroupVertices[Vertex],0)),1,1,"")</f>
        <v>4</v>
      </c>
      <c r="AH252" s="111">
        <v>0</v>
      </c>
      <c r="AI252" s="112">
        <v>0</v>
      </c>
      <c r="AJ252" s="111">
        <v>0</v>
      </c>
      <c r="AK252" s="112">
        <v>0</v>
      </c>
      <c r="AL252" s="111">
        <v>0</v>
      </c>
      <c r="AM252" s="112">
        <v>0</v>
      </c>
      <c r="AN252" s="111">
        <v>6</v>
      </c>
      <c r="AO252" s="112">
        <v>100</v>
      </c>
      <c r="AP252" s="111">
        <v>6</v>
      </c>
    </row>
    <row r="253" spans="1:42" ht="15">
      <c r="A253" s="65" t="s">
        <v>416</v>
      </c>
      <c r="B253" s="65" t="s">
        <v>840</v>
      </c>
      <c r="C253" s="66" t="s">
        <v>4651</v>
      </c>
      <c r="D253" s="67">
        <v>3</v>
      </c>
      <c r="E253" s="68"/>
      <c r="F253" s="69">
        <v>40</v>
      </c>
      <c r="G253" s="66"/>
      <c r="H253" s="70"/>
      <c r="I253" s="71"/>
      <c r="J253" s="71"/>
      <c r="K253" s="35" t="s">
        <v>65</v>
      </c>
      <c r="L253" s="79">
        <v>253</v>
      </c>
      <c r="M253" s="79"/>
      <c r="N253" s="73"/>
      <c r="O253" s="81" t="s">
        <v>844</v>
      </c>
      <c r="P253" s="81" t="s">
        <v>199</v>
      </c>
      <c r="Q253" s="84" t="s">
        <v>1089</v>
      </c>
      <c r="R253" s="81" t="s">
        <v>416</v>
      </c>
      <c r="S253" s="81" t="s">
        <v>1775</v>
      </c>
      <c r="T253" s="86" t="str">
        <f>HYPERLINK("http://www.youtube.com/channel/UCNtS0FKXhokuCLCIRHUhpuQ")</f>
        <v>http://www.youtube.com/channel/UCNtS0FKXhokuCLCIRHUhpuQ</v>
      </c>
      <c r="U253" s="81"/>
      <c r="V253" s="81" t="s">
        <v>2312</v>
      </c>
      <c r="W253" s="86" t="str">
        <f>HYPERLINK("https://www.youtube.com/watch?v=vpEAos0blyw")</f>
        <v>https://www.youtube.com/watch?v=vpEAos0blyw</v>
      </c>
      <c r="X253" s="81" t="s">
        <v>2349</v>
      </c>
      <c r="Y253" s="81">
        <v>1</v>
      </c>
      <c r="Z253" s="88">
        <v>44221.88741898148</v>
      </c>
      <c r="AA253" s="88">
        <v>44221.88741898148</v>
      </c>
      <c r="AB253" s="81"/>
      <c r="AC253" s="81"/>
      <c r="AD253" s="84" t="s">
        <v>2390</v>
      </c>
      <c r="AE253" s="82">
        <v>1</v>
      </c>
      <c r="AF253" s="83" t="str">
        <f>REPLACE(INDEX(GroupVertices[Group],MATCH(Edges[[#This Row],[Vertex 1]],GroupVertices[Vertex],0)),1,1,"")</f>
        <v>4</v>
      </c>
      <c r="AG253" s="83" t="str">
        <f>REPLACE(INDEX(GroupVertices[Group],MATCH(Edges[[#This Row],[Vertex 2]],GroupVertices[Vertex],0)),1,1,"")</f>
        <v>4</v>
      </c>
      <c r="AH253" s="111">
        <v>0</v>
      </c>
      <c r="AI253" s="112">
        <v>0</v>
      </c>
      <c r="AJ253" s="111">
        <v>0</v>
      </c>
      <c r="AK253" s="112">
        <v>0</v>
      </c>
      <c r="AL253" s="111">
        <v>0</v>
      </c>
      <c r="AM253" s="112">
        <v>0</v>
      </c>
      <c r="AN253" s="111">
        <v>1</v>
      </c>
      <c r="AO253" s="112">
        <v>100</v>
      </c>
      <c r="AP253" s="111">
        <v>1</v>
      </c>
    </row>
    <row r="254" spans="1:42" ht="15">
      <c r="A254" s="65" t="s">
        <v>417</v>
      </c>
      <c r="B254" s="65" t="s">
        <v>840</v>
      </c>
      <c r="C254" s="66" t="s">
        <v>4651</v>
      </c>
      <c r="D254" s="67">
        <v>3</v>
      </c>
      <c r="E254" s="68"/>
      <c r="F254" s="69">
        <v>40</v>
      </c>
      <c r="G254" s="66"/>
      <c r="H254" s="70"/>
      <c r="I254" s="71"/>
      <c r="J254" s="71"/>
      <c r="K254" s="35" t="s">
        <v>65</v>
      </c>
      <c r="L254" s="79">
        <v>254</v>
      </c>
      <c r="M254" s="79"/>
      <c r="N254" s="73"/>
      <c r="O254" s="81" t="s">
        <v>844</v>
      </c>
      <c r="P254" s="81" t="s">
        <v>199</v>
      </c>
      <c r="Q254" s="84" t="s">
        <v>1090</v>
      </c>
      <c r="R254" s="81" t="s">
        <v>417</v>
      </c>
      <c r="S254" s="81" t="s">
        <v>1776</v>
      </c>
      <c r="T254" s="86" t="str">
        <f>HYPERLINK("http://www.youtube.com/channel/UCKV1NkUh1xjX8Nm3j5nP-rQ")</f>
        <v>http://www.youtube.com/channel/UCKV1NkUh1xjX8Nm3j5nP-rQ</v>
      </c>
      <c r="U254" s="81"/>
      <c r="V254" s="81" t="s">
        <v>2312</v>
      </c>
      <c r="W254" s="86" t="str">
        <f>HYPERLINK("https://www.youtube.com/watch?v=vpEAos0blyw")</f>
        <v>https://www.youtube.com/watch?v=vpEAos0blyw</v>
      </c>
      <c r="X254" s="81" t="s">
        <v>2349</v>
      </c>
      <c r="Y254" s="81">
        <v>0</v>
      </c>
      <c r="Z254" s="88">
        <v>44228.65943287037</v>
      </c>
      <c r="AA254" s="88">
        <v>44228.65943287037</v>
      </c>
      <c r="AB254" s="81" t="s">
        <v>2365</v>
      </c>
      <c r="AC254" s="81" t="s">
        <v>2378</v>
      </c>
      <c r="AD254" s="84" t="s">
        <v>2390</v>
      </c>
      <c r="AE254" s="82">
        <v>1</v>
      </c>
      <c r="AF254" s="83" t="str">
        <f>REPLACE(INDEX(GroupVertices[Group],MATCH(Edges[[#This Row],[Vertex 1]],GroupVertices[Vertex],0)),1,1,"")</f>
        <v>4</v>
      </c>
      <c r="AG254" s="83" t="str">
        <f>REPLACE(INDEX(GroupVertices[Group],MATCH(Edges[[#This Row],[Vertex 2]],GroupVertices[Vertex],0)),1,1,"")</f>
        <v>4</v>
      </c>
      <c r="AH254" s="111">
        <v>0</v>
      </c>
      <c r="AI254" s="112">
        <v>0</v>
      </c>
      <c r="AJ254" s="111">
        <v>0</v>
      </c>
      <c r="AK254" s="112">
        <v>0</v>
      </c>
      <c r="AL254" s="111">
        <v>0</v>
      </c>
      <c r="AM254" s="112">
        <v>0</v>
      </c>
      <c r="AN254" s="111">
        <v>11</v>
      </c>
      <c r="AO254" s="112">
        <v>100</v>
      </c>
      <c r="AP254" s="111">
        <v>11</v>
      </c>
    </row>
    <row r="255" spans="1:42" ht="15">
      <c r="A255" s="65" t="s">
        <v>418</v>
      </c>
      <c r="B255" s="65" t="s">
        <v>419</v>
      </c>
      <c r="C255" s="66" t="s">
        <v>4651</v>
      </c>
      <c r="D255" s="67">
        <v>3</v>
      </c>
      <c r="E255" s="68"/>
      <c r="F255" s="69">
        <v>40</v>
      </c>
      <c r="G255" s="66"/>
      <c r="H255" s="70"/>
      <c r="I255" s="71"/>
      <c r="J255" s="71"/>
      <c r="K255" s="35" t="s">
        <v>65</v>
      </c>
      <c r="L255" s="79">
        <v>255</v>
      </c>
      <c r="M255" s="79"/>
      <c r="N255" s="73"/>
      <c r="O255" s="81" t="s">
        <v>845</v>
      </c>
      <c r="P255" s="81" t="s">
        <v>847</v>
      </c>
      <c r="Q255" s="84" t="s">
        <v>1091</v>
      </c>
      <c r="R255" s="81" t="s">
        <v>418</v>
      </c>
      <c r="S255" s="81" t="s">
        <v>1777</v>
      </c>
      <c r="T255" s="86" t="str">
        <f>HYPERLINK("http://www.youtube.com/channel/UC3OdxrcUKm7hxEjt_05vNAg")</f>
        <v>http://www.youtube.com/channel/UC3OdxrcUKm7hxEjt_05vNAg</v>
      </c>
      <c r="U255" s="81" t="s">
        <v>2218</v>
      </c>
      <c r="V255" s="81" t="s">
        <v>2312</v>
      </c>
      <c r="W255" s="86" t="str">
        <f>HYPERLINK("https://www.youtube.com/watch?v=vpEAos0blyw")</f>
        <v>https://www.youtube.com/watch?v=vpEAos0blyw</v>
      </c>
      <c r="X255" s="81" t="s">
        <v>2349</v>
      </c>
      <c r="Y255" s="81">
        <v>1</v>
      </c>
      <c r="Z255" s="88">
        <v>44237.63111111111</v>
      </c>
      <c r="AA255" s="88">
        <v>44237.63111111111</v>
      </c>
      <c r="AB255" s="81"/>
      <c r="AC255" s="81"/>
      <c r="AD255" s="84" t="s">
        <v>2390</v>
      </c>
      <c r="AE255" s="82">
        <v>1</v>
      </c>
      <c r="AF255" s="83" t="str">
        <f>REPLACE(INDEX(GroupVertices[Group],MATCH(Edges[[#This Row],[Vertex 1]],GroupVertices[Vertex],0)),1,1,"")</f>
        <v>4</v>
      </c>
      <c r="AG255" s="83" t="str">
        <f>REPLACE(INDEX(GroupVertices[Group],MATCH(Edges[[#This Row],[Vertex 2]],GroupVertices[Vertex],0)),1,1,"")</f>
        <v>4</v>
      </c>
      <c r="AH255" s="111">
        <v>1</v>
      </c>
      <c r="AI255" s="112">
        <v>16.666666666666668</v>
      </c>
      <c r="AJ255" s="111">
        <v>0</v>
      </c>
      <c r="AK255" s="112">
        <v>0</v>
      </c>
      <c r="AL255" s="111">
        <v>0</v>
      </c>
      <c r="AM255" s="112">
        <v>0</v>
      </c>
      <c r="AN255" s="111">
        <v>5</v>
      </c>
      <c r="AO255" s="112">
        <v>83.33333333333333</v>
      </c>
      <c r="AP255" s="111">
        <v>6</v>
      </c>
    </row>
    <row r="256" spans="1:42" ht="15">
      <c r="A256" s="65" t="s">
        <v>419</v>
      </c>
      <c r="B256" s="65" t="s">
        <v>840</v>
      </c>
      <c r="C256" s="66" t="s">
        <v>4651</v>
      </c>
      <c r="D256" s="67">
        <v>3</v>
      </c>
      <c r="E256" s="68"/>
      <c r="F256" s="69">
        <v>40</v>
      </c>
      <c r="G256" s="66"/>
      <c r="H256" s="70"/>
      <c r="I256" s="71"/>
      <c r="J256" s="71"/>
      <c r="K256" s="35" t="s">
        <v>65</v>
      </c>
      <c r="L256" s="79">
        <v>256</v>
      </c>
      <c r="M256" s="79"/>
      <c r="N256" s="73"/>
      <c r="O256" s="81" t="s">
        <v>844</v>
      </c>
      <c r="P256" s="81" t="s">
        <v>199</v>
      </c>
      <c r="Q256" s="84" t="s">
        <v>1092</v>
      </c>
      <c r="R256" s="81" t="s">
        <v>419</v>
      </c>
      <c r="S256" s="81" t="s">
        <v>1778</v>
      </c>
      <c r="T256" s="86" t="str">
        <f>HYPERLINK("http://www.youtube.com/channel/UCYPdADqT4AVkx1fZS9sIbpQ")</f>
        <v>http://www.youtube.com/channel/UCYPdADqT4AVkx1fZS9sIbpQ</v>
      </c>
      <c r="U256" s="81"/>
      <c r="V256" s="81" t="s">
        <v>2312</v>
      </c>
      <c r="W256" s="86" t="str">
        <f>HYPERLINK("https://www.youtube.com/watch?v=vpEAos0blyw")</f>
        <v>https://www.youtube.com/watch?v=vpEAos0blyw</v>
      </c>
      <c r="X256" s="81" t="s">
        <v>2349</v>
      </c>
      <c r="Y256" s="81">
        <v>3</v>
      </c>
      <c r="Z256" s="88">
        <v>44237.6290625</v>
      </c>
      <c r="AA256" s="88">
        <v>44237.6290625</v>
      </c>
      <c r="AB256" s="81"/>
      <c r="AC256" s="81"/>
      <c r="AD256" s="84" t="s">
        <v>2390</v>
      </c>
      <c r="AE256" s="82">
        <v>1</v>
      </c>
      <c r="AF256" s="83" t="str">
        <f>REPLACE(INDEX(GroupVertices[Group],MATCH(Edges[[#This Row],[Vertex 1]],GroupVertices[Vertex],0)),1,1,"")</f>
        <v>4</v>
      </c>
      <c r="AG256" s="83" t="str">
        <f>REPLACE(INDEX(GroupVertices[Group],MATCH(Edges[[#This Row],[Vertex 2]],GroupVertices[Vertex],0)),1,1,"")</f>
        <v>4</v>
      </c>
      <c r="AH256" s="111">
        <v>0</v>
      </c>
      <c r="AI256" s="112">
        <v>0</v>
      </c>
      <c r="AJ256" s="111">
        <v>0</v>
      </c>
      <c r="AK256" s="112">
        <v>0</v>
      </c>
      <c r="AL256" s="111">
        <v>0</v>
      </c>
      <c r="AM256" s="112">
        <v>0</v>
      </c>
      <c r="AN256" s="111">
        <v>9</v>
      </c>
      <c r="AO256" s="112">
        <v>100</v>
      </c>
      <c r="AP256" s="111">
        <v>9</v>
      </c>
    </row>
    <row r="257" spans="1:42" ht="15">
      <c r="A257" s="65" t="s">
        <v>414</v>
      </c>
      <c r="B257" s="65" t="s">
        <v>840</v>
      </c>
      <c r="C257" s="66" t="s">
        <v>4651</v>
      </c>
      <c r="D257" s="67">
        <v>3</v>
      </c>
      <c r="E257" s="68"/>
      <c r="F257" s="69">
        <v>40</v>
      </c>
      <c r="G257" s="66"/>
      <c r="H257" s="70"/>
      <c r="I257" s="71"/>
      <c r="J257" s="71"/>
      <c r="K257" s="35" t="s">
        <v>65</v>
      </c>
      <c r="L257" s="79">
        <v>257</v>
      </c>
      <c r="M257" s="79"/>
      <c r="N257" s="73"/>
      <c r="O257" s="81" t="s">
        <v>844</v>
      </c>
      <c r="P257" s="81" t="s">
        <v>199</v>
      </c>
      <c r="Q257" s="84" t="s">
        <v>1093</v>
      </c>
      <c r="R257" s="81" t="s">
        <v>414</v>
      </c>
      <c r="S257" s="81" t="s">
        <v>1773</v>
      </c>
      <c r="T257" s="86" t="str">
        <f>HYPERLINK("http://www.youtube.com/channel/UCGo0zwvmGTyrPhIfxqzfV6A")</f>
        <v>http://www.youtube.com/channel/UCGo0zwvmGTyrPhIfxqzfV6A</v>
      </c>
      <c r="U257" s="81"/>
      <c r="V257" s="81" t="s">
        <v>2312</v>
      </c>
      <c r="W257" s="86" t="str">
        <f>HYPERLINK("https://www.youtube.com/watch?v=vpEAos0blyw")</f>
        <v>https://www.youtube.com/watch?v=vpEAos0blyw</v>
      </c>
      <c r="X257" s="81" t="s">
        <v>2349</v>
      </c>
      <c r="Y257" s="81">
        <v>4</v>
      </c>
      <c r="Z257" s="88">
        <v>44263.8265625</v>
      </c>
      <c r="AA257" s="88">
        <v>44263.82665509259</v>
      </c>
      <c r="AB257" s="81"/>
      <c r="AC257" s="81"/>
      <c r="AD257" s="84" t="s">
        <v>2390</v>
      </c>
      <c r="AE257" s="82">
        <v>1</v>
      </c>
      <c r="AF257" s="83" t="str">
        <f>REPLACE(INDEX(GroupVertices[Group],MATCH(Edges[[#This Row],[Vertex 1]],GroupVertices[Vertex],0)),1,1,"")</f>
        <v>4</v>
      </c>
      <c r="AG257" s="83" t="str">
        <f>REPLACE(INDEX(GroupVertices[Group],MATCH(Edges[[#This Row],[Vertex 2]],GroupVertices[Vertex],0)),1,1,"")</f>
        <v>4</v>
      </c>
      <c r="AH257" s="111">
        <v>0</v>
      </c>
      <c r="AI257" s="112">
        <v>0</v>
      </c>
      <c r="AJ257" s="111">
        <v>0</v>
      </c>
      <c r="AK257" s="112">
        <v>0</v>
      </c>
      <c r="AL257" s="111">
        <v>0</v>
      </c>
      <c r="AM257" s="112">
        <v>0</v>
      </c>
      <c r="AN257" s="111">
        <v>17</v>
      </c>
      <c r="AO257" s="112">
        <v>100</v>
      </c>
      <c r="AP257" s="111">
        <v>17</v>
      </c>
    </row>
    <row r="258" spans="1:42" ht="15">
      <c r="A258" s="65" t="s">
        <v>420</v>
      </c>
      <c r="B258" s="65" t="s">
        <v>840</v>
      </c>
      <c r="C258" s="66" t="s">
        <v>4651</v>
      </c>
      <c r="D258" s="67">
        <v>3</v>
      </c>
      <c r="E258" s="68"/>
      <c r="F258" s="69">
        <v>40</v>
      </c>
      <c r="G258" s="66"/>
      <c r="H258" s="70"/>
      <c r="I258" s="71"/>
      <c r="J258" s="71"/>
      <c r="K258" s="35" t="s">
        <v>65</v>
      </c>
      <c r="L258" s="79">
        <v>258</v>
      </c>
      <c r="M258" s="79"/>
      <c r="N258" s="73"/>
      <c r="O258" s="81" t="s">
        <v>844</v>
      </c>
      <c r="P258" s="81" t="s">
        <v>199</v>
      </c>
      <c r="Q258" s="84" t="s">
        <v>1094</v>
      </c>
      <c r="R258" s="81" t="s">
        <v>420</v>
      </c>
      <c r="S258" s="81" t="s">
        <v>1779</v>
      </c>
      <c r="T258" s="86" t="str">
        <f>HYPERLINK("http://www.youtube.com/channel/UC_gk4RP_wHVZdqkFrZ8SMZQ")</f>
        <v>http://www.youtube.com/channel/UC_gk4RP_wHVZdqkFrZ8SMZQ</v>
      </c>
      <c r="U258" s="81"/>
      <c r="V258" s="81" t="s">
        <v>2312</v>
      </c>
      <c r="W258" s="86" t="str">
        <f>HYPERLINK("https://www.youtube.com/watch?v=vpEAos0blyw")</f>
        <v>https://www.youtube.com/watch?v=vpEAos0blyw</v>
      </c>
      <c r="X258" s="81" t="s">
        <v>2349</v>
      </c>
      <c r="Y258" s="81">
        <v>0</v>
      </c>
      <c r="Z258" s="88">
        <v>44274.15462962963</v>
      </c>
      <c r="AA258" s="88">
        <v>44274.15462962963</v>
      </c>
      <c r="AB258" s="81"/>
      <c r="AC258" s="81"/>
      <c r="AD258" s="84" t="s">
        <v>2390</v>
      </c>
      <c r="AE258" s="82">
        <v>1</v>
      </c>
      <c r="AF258" s="83" t="str">
        <f>REPLACE(INDEX(GroupVertices[Group],MATCH(Edges[[#This Row],[Vertex 1]],GroupVertices[Vertex],0)),1,1,"")</f>
        <v>4</v>
      </c>
      <c r="AG258" s="83" t="str">
        <f>REPLACE(INDEX(GroupVertices[Group],MATCH(Edges[[#This Row],[Vertex 2]],GroupVertices[Vertex],0)),1,1,"")</f>
        <v>4</v>
      </c>
      <c r="AH258" s="111">
        <v>1</v>
      </c>
      <c r="AI258" s="112">
        <v>10</v>
      </c>
      <c r="AJ258" s="111">
        <v>1</v>
      </c>
      <c r="AK258" s="112">
        <v>10</v>
      </c>
      <c r="AL258" s="111">
        <v>0</v>
      </c>
      <c r="AM258" s="112">
        <v>0</v>
      </c>
      <c r="AN258" s="111">
        <v>8</v>
      </c>
      <c r="AO258" s="112">
        <v>80</v>
      </c>
      <c r="AP258" s="111">
        <v>10</v>
      </c>
    </row>
    <row r="259" spans="1:42" ht="15">
      <c r="A259" s="65" t="s">
        <v>421</v>
      </c>
      <c r="B259" s="65" t="s">
        <v>840</v>
      </c>
      <c r="C259" s="66" t="s">
        <v>4651</v>
      </c>
      <c r="D259" s="67">
        <v>3</v>
      </c>
      <c r="E259" s="68"/>
      <c r="F259" s="69">
        <v>40</v>
      </c>
      <c r="G259" s="66"/>
      <c r="H259" s="70"/>
      <c r="I259" s="71"/>
      <c r="J259" s="71"/>
      <c r="K259" s="35" t="s">
        <v>65</v>
      </c>
      <c r="L259" s="79">
        <v>259</v>
      </c>
      <c r="M259" s="79"/>
      <c r="N259" s="73"/>
      <c r="O259" s="81" t="s">
        <v>844</v>
      </c>
      <c r="P259" s="81" t="s">
        <v>199</v>
      </c>
      <c r="Q259" s="84" t="s">
        <v>1095</v>
      </c>
      <c r="R259" s="81" t="s">
        <v>421</v>
      </c>
      <c r="S259" s="81" t="s">
        <v>1780</v>
      </c>
      <c r="T259" s="86" t="str">
        <f>HYPERLINK("http://www.youtube.com/channel/UCL83fivuM6bm_DNu_caNzcA")</f>
        <v>http://www.youtube.com/channel/UCL83fivuM6bm_DNu_caNzcA</v>
      </c>
      <c r="U259" s="81"/>
      <c r="V259" s="81" t="s">
        <v>2312</v>
      </c>
      <c r="W259" s="86" t="str">
        <f>HYPERLINK("https://www.youtube.com/watch?v=vpEAos0blyw")</f>
        <v>https://www.youtube.com/watch?v=vpEAos0blyw</v>
      </c>
      <c r="X259" s="81" t="s">
        <v>2349</v>
      </c>
      <c r="Y259" s="81">
        <v>2</v>
      </c>
      <c r="Z259" s="88">
        <v>44277.58923611111</v>
      </c>
      <c r="AA259" s="88">
        <v>44277.58923611111</v>
      </c>
      <c r="AB259" s="81"/>
      <c r="AC259" s="81"/>
      <c r="AD259" s="84" t="s">
        <v>2390</v>
      </c>
      <c r="AE259" s="82">
        <v>1</v>
      </c>
      <c r="AF259" s="83" t="str">
        <f>REPLACE(INDEX(GroupVertices[Group],MATCH(Edges[[#This Row],[Vertex 1]],GroupVertices[Vertex],0)),1,1,"")</f>
        <v>4</v>
      </c>
      <c r="AG259" s="83" t="str">
        <f>REPLACE(INDEX(GroupVertices[Group],MATCH(Edges[[#This Row],[Vertex 2]],GroupVertices[Vertex],0)),1,1,"")</f>
        <v>4</v>
      </c>
      <c r="AH259" s="111">
        <v>0</v>
      </c>
      <c r="AI259" s="112">
        <v>0</v>
      </c>
      <c r="AJ259" s="111">
        <v>0</v>
      </c>
      <c r="AK259" s="112">
        <v>0</v>
      </c>
      <c r="AL259" s="111">
        <v>0</v>
      </c>
      <c r="AM259" s="112">
        <v>0</v>
      </c>
      <c r="AN259" s="111">
        <v>7</v>
      </c>
      <c r="AO259" s="112">
        <v>100</v>
      </c>
      <c r="AP259" s="111">
        <v>7</v>
      </c>
    </row>
    <row r="260" spans="1:42" ht="15">
      <c r="A260" s="65" t="s">
        <v>422</v>
      </c>
      <c r="B260" s="65" t="s">
        <v>840</v>
      </c>
      <c r="C260" s="66" t="s">
        <v>4651</v>
      </c>
      <c r="D260" s="67">
        <v>3</v>
      </c>
      <c r="E260" s="68"/>
      <c r="F260" s="69">
        <v>40</v>
      </c>
      <c r="G260" s="66"/>
      <c r="H260" s="70"/>
      <c r="I260" s="71"/>
      <c r="J260" s="71"/>
      <c r="K260" s="35" t="s">
        <v>65</v>
      </c>
      <c r="L260" s="79">
        <v>260</v>
      </c>
      <c r="M260" s="79"/>
      <c r="N260" s="73"/>
      <c r="O260" s="81" t="s">
        <v>844</v>
      </c>
      <c r="P260" s="81" t="s">
        <v>199</v>
      </c>
      <c r="Q260" s="84" t="s">
        <v>1096</v>
      </c>
      <c r="R260" s="81" t="s">
        <v>422</v>
      </c>
      <c r="S260" s="81" t="s">
        <v>1781</v>
      </c>
      <c r="T260" s="86" t="str">
        <f>HYPERLINK("http://www.youtube.com/channel/UCs6LqhJ9r0BHGS04Bv85x-Q")</f>
        <v>http://www.youtube.com/channel/UCs6LqhJ9r0BHGS04Bv85x-Q</v>
      </c>
      <c r="U260" s="81"/>
      <c r="V260" s="81" t="s">
        <v>2312</v>
      </c>
      <c r="W260" s="86" t="str">
        <f>HYPERLINK("https://www.youtube.com/watch?v=vpEAos0blyw")</f>
        <v>https://www.youtube.com/watch?v=vpEAos0blyw</v>
      </c>
      <c r="X260" s="81" t="s">
        <v>2349</v>
      </c>
      <c r="Y260" s="81">
        <v>3</v>
      </c>
      <c r="Z260" s="88">
        <v>44279.58268518518</v>
      </c>
      <c r="AA260" s="88">
        <v>44279.58268518518</v>
      </c>
      <c r="AB260" s="81"/>
      <c r="AC260" s="81"/>
      <c r="AD260" s="84" t="s">
        <v>2390</v>
      </c>
      <c r="AE260" s="82">
        <v>1</v>
      </c>
      <c r="AF260" s="83" t="str">
        <f>REPLACE(INDEX(GroupVertices[Group],MATCH(Edges[[#This Row],[Vertex 1]],GroupVertices[Vertex],0)),1,1,"")</f>
        <v>4</v>
      </c>
      <c r="AG260" s="83" t="str">
        <f>REPLACE(INDEX(GroupVertices[Group],MATCH(Edges[[#This Row],[Vertex 2]],GroupVertices[Vertex],0)),1,1,"")</f>
        <v>4</v>
      </c>
      <c r="AH260" s="111">
        <v>0</v>
      </c>
      <c r="AI260" s="112">
        <v>0</v>
      </c>
      <c r="AJ260" s="111">
        <v>0</v>
      </c>
      <c r="AK260" s="112">
        <v>0</v>
      </c>
      <c r="AL260" s="111">
        <v>0</v>
      </c>
      <c r="AM260" s="112">
        <v>0</v>
      </c>
      <c r="AN260" s="111">
        <v>9</v>
      </c>
      <c r="AO260" s="112">
        <v>100</v>
      </c>
      <c r="AP260" s="111">
        <v>9</v>
      </c>
    </row>
    <row r="261" spans="1:42" ht="15">
      <c r="A261" s="65" t="s">
        <v>423</v>
      </c>
      <c r="B261" s="65" t="s">
        <v>840</v>
      </c>
      <c r="C261" s="66" t="s">
        <v>4651</v>
      </c>
      <c r="D261" s="67">
        <v>3</v>
      </c>
      <c r="E261" s="68"/>
      <c r="F261" s="69">
        <v>40</v>
      </c>
      <c r="G261" s="66"/>
      <c r="H261" s="70"/>
      <c r="I261" s="71"/>
      <c r="J261" s="71"/>
      <c r="K261" s="35" t="s">
        <v>65</v>
      </c>
      <c r="L261" s="79">
        <v>261</v>
      </c>
      <c r="M261" s="79"/>
      <c r="N261" s="73"/>
      <c r="O261" s="81" t="s">
        <v>844</v>
      </c>
      <c r="P261" s="81" t="s">
        <v>199</v>
      </c>
      <c r="Q261" s="84" t="s">
        <v>1097</v>
      </c>
      <c r="R261" s="81" t="s">
        <v>423</v>
      </c>
      <c r="S261" s="81" t="s">
        <v>1782</v>
      </c>
      <c r="T261" s="86" t="str">
        <f>HYPERLINK("http://www.youtube.com/channel/UCLNTQyP2KodLEA0QHEDSWnA")</f>
        <v>http://www.youtube.com/channel/UCLNTQyP2KodLEA0QHEDSWnA</v>
      </c>
      <c r="U261" s="81"/>
      <c r="V261" s="81" t="s">
        <v>2312</v>
      </c>
      <c r="W261" s="86" t="str">
        <f>HYPERLINK("https://www.youtube.com/watch?v=vpEAos0blyw")</f>
        <v>https://www.youtube.com/watch?v=vpEAos0blyw</v>
      </c>
      <c r="X261" s="81" t="s">
        <v>2349</v>
      </c>
      <c r="Y261" s="81">
        <v>0</v>
      </c>
      <c r="Z261" s="88">
        <v>44328.05320601852</v>
      </c>
      <c r="AA261" s="88">
        <v>44328.05320601852</v>
      </c>
      <c r="AB261" s="81"/>
      <c r="AC261" s="81"/>
      <c r="AD261" s="84" t="s">
        <v>2390</v>
      </c>
      <c r="AE261" s="82">
        <v>1</v>
      </c>
      <c r="AF261" s="83" t="str">
        <f>REPLACE(INDEX(GroupVertices[Group],MATCH(Edges[[#This Row],[Vertex 1]],GroupVertices[Vertex],0)),1,1,"")</f>
        <v>4</v>
      </c>
      <c r="AG261" s="83" t="str">
        <f>REPLACE(INDEX(GroupVertices[Group],MATCH(Edges[[#This Row],[Vertex 2]],GroupVertices[Vertex],0)),1,1,"")</f>
        <v>4</v>
      </c>
      <c r="AH261" s="111">
        <v>0</v>
      </c>
      <c r="AI261" s="112">
        <v>0</v>
      </c>
      <c r="AJ261" s="111">
        <v>0</v>
      </c>
      <c r="AK261" s="112">
        <v>0</v>
      </c>
      <c r="AL261" s="111">
        <v>0</v>
      </c>
      <c r="AM261" s="112">
        <v>0</v>
      </c>
      <c r="AN261" s="111">
        <v>11</v>
      </c>
      <c r="AO261" s="112">
        <v>100</v>
      </c>
      <c r="AP261" s="111">
        <v>11</v>
      </c>
    </row>
    <row r="262" spans="1:42" ht="15">
      <c r="A262" s="65" t="s">
        <v>424</v>
      </c>
      <c r="B262" s="65" t="s">
        <v>840</v>
      </c>
      <c r="C262" s="66" t="s">
        <v>4651</v>
      </c>
      <c r="D262" s="67">
        <v>3</v>
      </c>
      <c r="E262" s="68"/>
      <c r="F262" s="69">
        <v>40</v>
      </c>
      <c r="G262" s="66"/>
      <c r="H262" s="70"/>
      <c r="I262" s="71"/>
      <c r="J262" s="71"/>
      <c r="K262" s="35" t="s">
        <v>65</v>
      </c>
      <c r="L262" s="79">
        <v>262</v>
      </c>
      <c r="M262" s="79"/>
      <c r="N262" s="73"/>
      <c r="O262" s="81" t="s">
        <v>844</v>
      </c>
      <c r="P262" s="81" t="s">
        <v>199</v>
      </c>
      <c r="Q262" s="84" t="s">
        <v>1098</v>
      </c>
      <c r="R262" s="81" t="s">
        <v>424</v>
      </c>
      <c r="S262" s="81" t="s">
        <v>1783</v>
      </c>
      <c r="T262" s="86" t="str">
        <f>HYPERLINK("http://www.youtube.com/channel/UCaiwUmql4DEAqsN-FWUgoLQ")</f>
        <v>http://www.youtube.com/channel/UCaiwUmql4DEAqsN-FWUgoLQ</v>
      </c>
      <c r="U262" s="81"/>
      <c r="V262" s="81" t="s">
        <v>2312</v>
      </c>
      <c r="W262" s="86" t="str">
        <f>HYPERLINK("https://www.youtube.com/watch?v=vpEAos0blyw")</f>
        <v>https://www.youtube.com/watch?v=vpEAos0blyw</v>
      </c>
      <c r="X262" s="81" t="s">
        <v>2349</v>
      </c>
      <c r="Y262" s="81">
        <v>0</v>
      </c>
      <c r="Z262" s="88">
        <v>44361.915717592594</v>
      </c>
      <c r="AA262" s="88">
        <v>44361.915717592594</v>
      </c>
      <c r="AB262" s="81" t="s">
        <v>2366</v>
      </c>
      <c r="AC262" s="81" t="s">
        <v>2379</v>
      </c>
      <c r="AD262" s="84" t="s">
        <v>2390</v>
      </c>
      <c r="AE262" s="82">
        <v>1</v>
      </c>
      <c r="AF262" s="83" t="str">
        <f>REPLACE(INDEX(GroupVertices[Group],MATCH(Edges[[#This Row],[Vertex 1]],GroupVertices[Vertex],0)),1,1,"")</f>
        <v>4</v>
      </c>
      <c r="AG262" s="83" t="str">
        <f>REPLACE(INDEX(GroupVertices[Group],MATCH(Edges[[#This Row],[Vertex 2]],GroupVertices[Vertex],0)),1,1,"")</f>
        <v>4</v>
      </c>
      <c r="AH262" s="111">
        <v>0</v>
      </c>
      <c r="AI262" s="112">
        <v>0</v>
      </c>
      <c r="AJ262" s="111">
        <v>0</v>
      </c>
      <c r="AK262" s="112">
        <v>0</v>
      </c>
      <c r="AL262" s="111">
        <v>0</v>
      </c>
      <c r="AM262" s="112">
        <v>0</v>
      </c>
      <c r="AN262" s="111">
        <v>20</v>
      </c>
      <c r="AO262" s="112">
        <v>100</v>
      </c>
      <c r="AP262" s="111">
        <v>20</v>
      </c>
    </row>
    <row r="263" spans="1:42" ht="15">
      <c r="A263" s="65" t="s">
        <v>425</v>
      </c>
      <c r="B263" s="65" t="s">
        <v>841</v>
      </c>
      <c r="C263" s="66" t="s">
        <v>4651</v>
      </c>
      <c r="D263" s="67">
        <v>3</v>
      </c>
      <c r="E263" s="68"/>
      <c r="F263" s="69">
        <v>40</v>
      </c>
      <c r="G263" s="66"/>
      <c r="H263" s="70"/>
      <c r="I263" s="71"/>
      <c r="J263" s="71"/>
      <c r="K263" s="35" t="s">
        <v>65</v>
      </c>
      <c r="L263" s="79">
        <v>263</v>
      </c>
      <c r="M263" s="79"/>
      <c r="N263" s="73"/>
      <c r="O263" s="81" t="s">
        <v>844</v>
      </c>
      <c r="P263" s="81" t="s">
        <v>199</v>
      </c>
      <c r="Q263" s="84" t="s">
        <v>1099</v>
      </c>
      <c r="R263" s="81" t="s">
        <v>425</v>
      </c>
      <c r="S263" s="81" t="s">
        <v>1784</v>
      </c>
      <c r="T263" s="86" t="str">
        <f>HYPERLINK("http://www.youtube.com/channel/UCmkfwnFpXrrsHSxXmdgmCLg")</f>
        <v>http://www.youtube.com/channel/UCmkfwnFpXrrsHSxXmdgmCLg</v>
      </c>
      <c r="U263" s="81"/>
      <c r="V263" s="81" t="s">
        <v>2313</v>
      </c>
      <c r="W263" s="86" t="str">
        <f>HYPERLINK("https://www.youtube.com/watch?v=mNWdLV2Cv0U")</f>
        <v>https://www.youtube.com/watch?v=mNWdLV2Cv0U</v>
      </c>
      <c r="X263" s="81" t="s">
        <v>2349</v>
      </c>
      <c r="Y263" s="81">
        <v>0</v>
      </c>
      <c r="Z263" s="88">
        <v>44332.07195601852</v>
      </c>
      <c r="AA263" s="88">
        <v>44332.07195601852</v>
      </c>
      <c r="AB263" s="81"/>
      <c r="AC263" s="81"/>
      <c r="AD263" s="84" t="s">
        <v>2390</v>
      </c>
      <c r="AE263" s="82">
        <v>1</v>
      </c>
      <c r="AF263" s="83" t="str">
        <f>REPLACE(INDEX(GroupVertices[Group],MATCH(Edges[[#This Row],[Vertex 1]],GroupVertices[Vertex],0)),1,1,"")</f>
        <v>5</v>
      </c>
      <c r="AG263" s="83" t="str">
        <f>REPLACE(INDEX(GroupVertices[Group],MATCH(Edges[[#This Row],[Vertex 2]],GroupVertices[Vertex],0)),1,1,"")</f>
        <v>5</v>
      </c>
      <c r="AH263" s="111">
        <v>2</v>
      </c>
      <c r="AI263" s="112">
        <v>3.3333333333333335</v>
      </c>
      <c r="AJ263" s="111">
        <v>3</v>
      </c>
      <c r="AK263" s="112">
        <v>5</v>
      </c>
      <c r="AL263" s="111">
        <v>0</v>
      </c>
      <c r="AM263" s="112">
        <v>0</v>
      </c>
      <c r="AN263" s="111">
        <v>55</v>
      </c>
      <c r="AO263" s="112">
        <v>91.66666666666667</v>
      </c>
      <c r="AP263" s="111">
        <v>60</v>
      </c>
    </row>
    <row r="264" spans="1:42" ht="15">
      <c r="A264" s="65" t="s">
        <v>426</v>
      </c>
      <c r="B264" s="65" t="s">
        <v>841</v>
      </c>
      <c r="C264" s="66" t="s">
        <v>4651</v>
      </c>
      <c r="D264" s="67">
        <v>3</v>
      </c>
      <c r="E264" s="68"/>
      <c r="F264" s="69">
        <v>40</v>
      </c>
      <c r="G264" s="66"/>
      <c r="H264" s="70"/>
      <c r="I264" s="71"/>
      <c r="J264" s="71"/>
      <c r="K264" s="35" t="s">
        <v>65</v>
      </c>
      <c r="L264" s="79">
        <v>264</v>
      </c>
      <c r="M264" s="79"/>
      <c r="N264" s="73"/>
      <c r="O264" s="81" t="s">
        <v>844</v>
      </c>
      <c r="P264" s="81" t="s">
        <v>199</v>
      </c>
      <c r="Q264" s="84" t="s">
        <v>1100</v>
      </c>
      <c r="R264" s="81" t="s">
        <v>426</v>
      </c>
      <c r="S264" s="81" t="s">
        <v>1785</v>
      </c>
      <c r="T264" s="86" t="str">
        <f>HYPERLINK("http://www.youtube.com/channel/UCfqvjDtJ56SzG8sWiIG4Txw")</f>
        <v>http://www.youtube.com/channel/UCfqvjDtJ56SzG8sWiIG4Txw</v>
      </c>
      <c r="U264" s="81"/>
      <c r="V264" s="81" t="s">
        <v>2313</v>
      </c>
      <c r="W264" s="86" t="str">
        <f>HYPERLINK("https://www.youtube.com/watch?v=mNWdLV2Cv0U")</f>
        <v>https://www.youtube.com/watch?v=mNWdLV2Cv0U</v>
      </c>
      <c r="X264" s="81" t="s">
        <v>2349</v>
      </c>
      <c r="Y264" s="81">
        <v>0</v>
      </c>
      <c r="Z264" s="88">
        <v>44336.63700231481</v>
      </c>
      <c r="AA264" s="88">
        <v>44336.63700231481</v>
      </c>
      <c r="AB264" s="81"/>
      <c r="AC264" s="81"/>
      <c r="AD264" s="84" t="s">
        <v>2390</v>
      </c>
      <c r="AE264" s="82">
        <v>1</v>
      </c>
      <c r="AF264" s="83" t="str">
        <f>REPLACE(INDEX(GroupVertices[Group],MATCH(Edges[[#This Row],[Vertex 1]],GroupVertices[Vertex],0)),1,1,"")</f>
        <v>5</v>
      </c>
      <c r="AG264" s="83" t="str">
        <f>REPLACE(INDEX(GroupVertices[Group],MATCH(Edges[[#This Row],[Vertex 2]],GroupVertices[Vertex],0)),1,1,"")</f>
        <v>5</v>
      </c>
      <c r="AH264" s="111">
        <v>1</v>
      </c>
      <c r="AI264" s="112">
        <v>3.225806451612903</v>
      </c>
      <c r="AJ264" s="111">
        <v>0</v>
      </c>
      <c r="AK264" s="112">
        <v>0</v>
      </c>
      <c r="AL264" s="111">
        <v>0</v>
      </c>
      <c r="AM264" s="112">
        <v>0</v>
      </c>
      <c r="AN264" s="111">
        <v>30</v>
      </c>
      <c r="AO264" s="112">
        <v>96.7741935483871</v>
      </c>
      <c r="AP264" s="111">
        <v>31</v>
      </c>
    </row>
    <row r="265" spans="1:42" ht="15">
      <c r="A265" s="65" t="s">
        <v>427</v>
      </c>
      <c r="B265" s="65" t="s">
        <v>841</v>
      </c>
      <c r="C265" s="66" t="s">
        <v>4651</v>
      </c>
      <c r="D265" s="67">
        <v>3</v>
      </c>
      <c r="E265" s="68"/>
      <c r="F265" s="69">
        <v>40</v>
      </c>
      <c r="G265" s="66"/>
      <c r="H265" s="70"/>
      <c r="I265" s="71"/>
      <c r="J265" s="71"/>
      <c r="K265" s="35" t="s">
        <v>65</v>
      </c>
      <c r="L265" s="79">
        <v>265</v>
      </c>
      <c r="M265" s="79"/>
      <c r="N265" s="73"/>
      <c r="O265" s="81" t="s">
        <v>844</v>
      </c>
      <c r="P265" s="81" t="s">
        <v>199</v>
      </c>
      <c r="Q265" s="84" t="s">
        <v>1101</v>
      </c>
      <c r="R265" s="81" t="s">
        <v>427</v>
      </c>
      <c r="S265" s="81" t="s">
        <v>1786</v>
      </c>
      <c r="T265" s="86" t="str">
        <f>HYPERLINK("http://www.youtube.com/channel/UCq1q117t2Vk1Unor5hn5X7A")</f>
        <v>http://www.youtube.com/channel/UCq1q117t2Vk1Unor5hn5X7A</v>
      </c>
      <c r="U265" s="81"/>
      <c r="V265" s="81" t="s">
        <v>2314</v>
      </c>
      <c r="W265" s="86" t="str">
        <f>HYPERLINK("https://www.youtube.com/watch?v=qr6waNqVjrw")</f>
        <v>https://www.youtube.com/watch?v=qr6waNqVjrw</v>
      </c>
      <c r="X265" s="81" t="s">
        <v>2349</v>
      </c>
      <c r="Y265" s="81">
        <v>1</v>
      </c>
      <c r="Z265" s="88">
        <v>44327.75215277778</v>
      </c>
      <c r="AA265" s="88">
        <v>44327.75215277778</v>
      </c>
      <c r="AB265" s="81"/>
      <c r="AC265" s="81"/>
      <c r="AD265" s="84" t="s">
        <v>2390</v>
      </c>
      <c r="AE265" s="82">
        <v>1</v>
      </c>
      <c r="AF265" s="83" t="str">
        <f>REPLACE(INDEX(GroupVertices[Group],MATCH(Edges[[#This Row],[Vertex 1]],GroupVertices[Vertex],0)),1,1,"")</f>
        <v>5</v>
      </c>
      <c r="AG265" s="83" t="str">
        <f>REPLACE(INDEX(GroupVertices[Group],MATCH(Edges[[#This Row],[Vertex 2]],GroupVertices[Vertex],0)),1,1,"")</f>
        <v>5</v>
      </c>
      <c r="AH265" s="111">
        <v>0</v>
      </c>
      <c r="AI265" s="112">
        <v>0</v>
      </c>
      <c r="AJ265" s="111">
        <v>0</v>
      </c>
      <c r="AK265" s="112">
        <v>0</v>
      </c>
      <c r="AL265" s="111">
        <v>0</v>
      </c>
      <c r="AM265" s="112">
        <v>0</v>
      </c>
      <c r="AN265" s="111">
        <v>16</v>
      </c>
      <c r="AO265" s="112">
        <v>100</v>
      </c>
      <c r="AP265" s="111">
        <v>16</v>
      </c>
    </row>
    <row r="266" spans="1:42" ht="15">
      <c r="A266" s="65" t="s">
        <v>428</v>
      </c>
      <c r="B266" s="65" t="s">
        <v>841</v>
      </c>
      <c r="C266" s="66" t="s">
        <v>4651</v>
      </c>
      <c r="D266" s="67">
        <v>3</v>
      </c>
      <c r="E266" s="68"/>
      <c r="F266" s="69">
        <v>40</v>
      </c>
      <c r="G266" s="66"/>
      <c r="H266" s="70"/>
      <c r="I266" s="71"/>
      <c r="J266" s="71"/>
      <c r="K266" s="35" t="s">
        <v>65</v>
      </c>
      <c r="L266" s="79">
        <v>266</v>
      </c>
      <c r="M266" s="79"/>
      <c r="N266" s="73"/>
      <c r="O266" s="81" t="s">
        <v>844</v>
      </c>
      <c r="P266" s="81" t="s">
        <v>199</v>
      </c>
      <c r="Q266" s="84" t="s">
        <v>1102</v>
      </c>
      <c r="R266" s="81" t="s">
        <v>428</v>
      </c>
      <c r="S266" s="81" t="s">
        <v>1787</v>
      </c>
      <c r="T266" s="86" t="str">
        <f>HYPERLINK("http://www.youtube.com/channel/UClqII0Yg_DO1VekNPD9hY6w")</f>
        <v>http://www.youtube.com/channel/UClqII0Yg_DO1VekNPD9hY6w</v>
      </c>
      <c r="U266" s="81"/>
      <c r="V266" s="81" t="s">
        <v>2314</v>
      </c>
      <c r="W266" s="86" t="str">
        <f>HYPERLINK("https://www.youtube.com/watch?v=qr6waNqVjrw")</f>
        <v>https://www.youtube.com/watch?v=qr6waNqVjrw</v>
      </c>
      <c r="X266" s="81" t="s">
        <v>2349</v>
      </c>
      <c r="Y266" s="81">
        <v>1</v>
      </c>
      <c r="Z266" s="88">
        <v>44327.754837962966</v>
      </c>
      <c r="AA266" s="88">
        <v>44327.754837962966</v>
      </c>
      <c r="AB266" s="81"/>
      <c r="AC266" s="81"/>
      <c r="AD266" s="84" t="s">
        <v>2390</v>
      </c>
      <c r="AE266" s="82">
        <v>1</v>
      </c>
      <c r="AF266" s="83" t="str">
        <f>REPLACE(INDEX(GroupVertices[Group],MATCH(Edges[[#This Row],[Vertex 1]],GroupVertices[Vertex],0)),1,1,"")</f>
        <v>5</v>
      </c>
      <c r="AG266" s="83" t="str">
        <f>REPLACE(INDEX(GroupVertices[Group],MATCH(Edges[[#This Row],[Vertex 2]],GroupVertices[Vertex],0)),1,1,"")</f>
        <v>5</v>
      </c>
      <c r="AH266" s="111">
        <v>1</v>
      </c>
      <c r="AI266" s="112">
        <v>9.090909090909092</v>
      </c>
      <c r="AJ266" s="111">
        <v>0</v>
      </c>
      <c r="AK266" s="112">
        <v>0</v>
      </c>
      <c r="AL266" s="111">
        <v>0</v>
      </c>
      <c r="AM266" s="112">
        <v>0</v>
      </c>
      <c r="AN266" s="111">
        <v>10</v>
      </c>
      <c r="AO266" s="112">
        <v>90.9090909090909</v>
      </c>
      <c r="AP266" s="111">
        <v>11</v>
      </c>
    </row>
    <row r="267" spans="1:42" ht="15">
      <c r="A267" s="65" t="s">
        <v>429</v>
      </c>
      <c r="B267" s="65" t="s">
        <v>841</v>
      </c>
      <c r="C267" s="66" t="s">
        <v>4651</v>
      </c>
      <c r="D267" s="67">
        <v>3</v>
      </c>
      <c r="E267" s="68"/>
      <c r="F267" s="69">
        <v>40</v>
      </c>
      <c r="G267" s="66"/>
      <c r="H267" s="70"/>
      <c r="I267" s="71"/>
      <c r="J267" s="71"/>
      <c r="K267" s="35" t="s">
        <v>65</v>
      </c>
      <c r="L267" s="79">
        <v>267</v>
      </c>
      <c r="M267" s="79"/>
      <c r="N267" s="73"/>
      <c r="O267" s="81" t="s">
        <v>844</v>
      </c>
      <c r="P267" s="81" t="s">
        <v>199</v>
      </c>
      <c r="Q267" s="84" t="s">
        <v>1103</v>
      </c>
      <c r="R267" s="81" t="s">
        <v>429</v>
      </c>
      <c r="S267" s="81" t="s">
        <v>1788</v>
      </c>
      <c r="T267" s="86" t="str">
        <f>HYPERLINK("http://www.youtube.com/channel/UCMsjtkQjBJQTAHgen-aDNBA")</f>
        <v>http://www.youtube.com/channel/UCMsjtkQjBJQTAHgen-aDNBA</v>
      </c>
      <c r="U267" s="81"/>
      <c r="V267" s="81" t="s">
        <v>2314</v>
      </c>
      <c r="W267" s="86" t="str">
        <f>HYPERLINK("https://www.youtube.com/watch?v=qr6waNqVjrw")</f>
        <v>https://www.youtube.com/watch?v=qr6waNqVjrw</v>
      </c>
      <c r="X267" s="81" t="s">
        <v>2349</v>
      </c>
      <c r="Y267" s="81">
        <v>2</v>
      </c>
      <c r="Z267" s="88">
        <v>44328.11331018519</v>
      </c>
      <c r="AA267" s="88">
        <v>44328.11331018519</v>
      </c>
      <c r="AB267" s="81"/>
      <c r="AC267" s="81"/>
      <c r="AD267" s="84" t="s">
        <v>2390</v>
      </c>
      <c r="AE267" s="82">
        <v>1</v>
      </c>
      <c r="AF267" s="83" t="str">
        <f>REPLACE(INDEX(GroupVertices[Group],MATCH(Edges[[#This Row],[Vertex 1]],GroupVertices[Vertex],0)),1,1,"")</f>
        <v>5</v>
      </c>
      <c r="AG267" s="83" t="str">
        <f>REPLACE(INDEX(GroupVertices[Group],MATCH(Edges[[#This Row],[Vertex 2]],GroupVertices[Vertex],0)),1,1,"")</f>
        <v>5</v>
      </c>
      <c r="AH267" s="111">
        <v>0</v>
      </c>
      <c r="AI267" s="112">
        <v>0</v>
      </c>
      <c r="AJ267" s="111">
        <v>0</v>
      </c>
      <c r="AK267" s="112">
        <v>0</v>
      </c>
      <c r="AL267" s="111">
        <v>0</v>
      </c>
      <c r="AM267" s="112">
        <v>0</v>
      </c>
      <c r="AN267" s="111">
        <v>9</v>
      </c>
      <c r="AO267" s="112">
        <v>100</v>
      </c>
      <c r="AP267" s="111">
        <v>9</v>
      </c>
    </row>
    <row r="268" spans="1:42" ht="15">
      <c r="A268" s="65" t="s">
        <v>430</v>
      </c>
      <c r="B268" s="65" t="s">
        <v>841</v>
      </c>
      <c r="C268" s="66" t="s">
        <v>4651</v>
      </c>
      <c r="D268" s="67">
        <v>3</v>
      </c>
      <c r="E268" s="68"/>
      <c r="F268" s="69">
        <v>40</v>
      </c>
      <c r="G268" s="66"/>
      <c r="H268" s="70"/>
      <c r="I268" s="71"/>
      <c r="J268" s="71"/>
      <c r="K268" s="35" t="s">
        <v>65</v>
      </c>
      <c r="L268" s="79">
        <v>268</v>
      </c>
      <c r="M268" s="79"/>
      <c r="N268" s="73"/>
      <c r="O268" s="81" t="s">
        <v>844</v>
      </c>
      <c r="P268" s="81" t="s">
        <v>199</v>
      </c>
      <c r="Q268" s="84" t="s">
        <v>1104</v>
      </c>
      <c r="R268" s="81" t="s">
        <v>430</v>
      </c>
      <c r="S268" s="81" t="s">
        <v>1789</v>
      </c>
      <c r="T268" s="86" t="str">
        <f>HYPERLINK("http://www.youtube.com/channel/UCiamsAfM2zYhgpZAV_X7H2g")</f>
        <v>http://www.youtube.com/channel/UCiamsAfM2zYhgpZAV_X7H2g</v>
      </c>
      <c r="U268" s="81"/>
      <c r="V268" s="81" t="s">
        <v>2314</v>
      </c>
      <c r="W268" s="86" t="str">
        <f>HYPERLINK("https://www.youtube.com/watch?v=qr6waNqVjrw")</f>
        <v>https://www.youtube.com/watch?v=qr6waNqVjrw</v>
      </c>
      <c r="X268" s="81" t="s">
        <v>2349</v>
      </c>
      <c r="Y268" s="81">
        <v>0</v>
      </c>
      <c r="Z268" s="88">
        <v>44328.143472222226</v>
      </c>
      <c r="AA268" s="88">
        <v>44328.143472222226</v>
      </c>
      <c r="AB268" s="81"/>
      <c r="AC268" s="81"/>
      <c r="AD268" s="84" t="s">
        <v>2390</v>
      </c>
      <c r="AE268" s="82">
        <v>1</v>
      </c>
      <c r="AF268" s="83" t="str">
        <f>REPLACE(INDEX(GroupVertices[Group],MATCH(Edges[[#This Row],[Vertex 1]],GroupVertices[Vertex],0)),1,1,"")</f>
        <v>5</v>
      </c>
      <c r="AG268" s="83" t="str">
        <f>REPLACE(INDEX(GroupVertices[Group],MATCH(Edges[[#This Row],[Vertex 2]],GroupVertices[Vertex],0)),1,1,"")</f>
        <v>5</v>
      </c>
      <c r="AH268" s="111">
        <v>1</v>
      </c>
      <c r="AI268" s="112">
        <v>1.5873015873015872</v>
      </c>
      <c r="AJ268" s="111">
        <v>11</v>
      </c>
      <c r="AK268" s="112">
        <v>17.46031746031746</v>
      </c>
      <c r="AL268" s="111">
        <v>0</v>
      </c>
      <c r="AM268" s="112">
        <v>0</v>
      </c>
      <c r="AN268" s="111">
        <v>51</v>
      </c>
      <c r="AO268" s="112">
        <v>80.95238095238095</v>
      </c>
      <c r="AP268" s="111">
        <v>63</v>
      </c>
    </row>
    <row r="269" spans="1:42" ht="15">
      <c r="A269" s="65" t="s">
        <v>431</v>
      </c>
      <c r="B269" s="65" t="s">
        <v>841</v>
      </c>
      <c r="C269" s="66" t="s">
        <v>4651</v>
      </c>
      <c r="D269" s="67">
        <v>3</v>
      </c>
      <c r="E269" s="68"/>
      <c r="F269" s="69">
        <v>40</v>
      </c>
      <c r="G269" s="66"/>
      <c r="H269" s="70"/>
      <c r="I269" s="71"/>
      <c r="J269" s="71"/>
      <c r="K269" s="35" t="s">
        <v>65</v>
      </c>
      <c r="L269" s="79">
        <v>269</v>
      </c>
      <c r="M269" s="79"/>
      <c r="N269" s="73"/>
      <c r="O269" s="81" t="s">
        <v>844</v>
      </c>
      <c r="P269" s="81" t="s">
        <v>199</v>
      </c>
      <c r="Q269" s="84" t="s">
        <v>1105</v>
      </c>
      <c r="R269" s="81" t="s">
        <v>431</v>
      </c>
      <c r="S269" s="81" t="s">
        <v>1790</v>
      </c>
      <c r="T269" s="86" t="str">
        <f>HYPERLINK("http://www.youtube.com/channel/UCh86aG9eDxMiQaISQdtv9zA")</f>
        <v>http://www.youtube.com/channel/UCh86aG9eDxMiQaISQdtv9zA</v>
      </c>
      <c r="U269" s="81"/>
      <c r="V269" s="81" t="s">
        <v>2314</v>
      </c>
      <c r="W269" s="86" t="str">
        <f>HYPERLINK("https://www.youtube.com/watch?v=qr6waNqVjrw")</f>
        <v>https://www.youtube.com/watch?v=qr6waNqVjrw</v>
      </c>
      <c r="X269" s="81" t="s">
        <v>2349</v>
      </c>
      <c r="Y269" s="81">
        <v>0</v>
      </c>
      <c r="Z269" s="88">
        <v>44328.33337962963</v>
      </c>
      <c r="AA269" s="88">
        <v>44328.33337962963</v>
      </c>
      <c r="AB269" s="81"/>
      <c r="AC269" s="81"/>
      <c r="AD269" s="84" t="s">
        <v>2390</v>
      </c>
      <c r="AE269" s="82">
        <v>1</v>
      </c>
      <c r="AF269" s="83" t="str">
        <f>REPLACE(INDEX(GroupVertices[Group],MATCH(Edges[[#This Row],[Vertex 1]],GroupVertices[Vertex],0)),1,1,"")</f>
        <v>5</v>
      </c>
      <c r="AG269" s="83" t="str">
        <f>REPLACE(INDEX(GroupVertices[Group],MATCH(Edges[[#This Row],[Vertex 2]],GroupVertices[Vertex],0)),1,1,"")</f>
        <v>5</v>
      </c>
      <c r="AH269" s="111">
        <v>0</v>
      </c>
      <c r="AI269" s="112">
        <v>0</v>
      </c>
      <c r="AJ269" s="111">
        <v>0</v>
      </c>
      <c r="AK269" s="112">
        <v>0</v>
      </c>
      <c r="AL269" s="111">
        <v>0</v>
      </c>
      <c r="AM269" s="112">
        <v>0</v>
      </c>
      <c r="AN269" s="111">
        <v>11</v>
      </c>
      <c r="AO269" s="112">
        <v>100</v>
      </c>
      <c r="AP269" s="111">
        <v>11</v>
      </c>
    </row>
    <row r="270" spans="1:42" ht="15">
      <c r="A270" s="65" t="s">
        <v>432</v>
      </c>
      <c r="B270" s="65" t="s">
        <v>841</v>
      </c>
      <c r="C270" s="66" t="s">
        <v>4651</v>
      </c>
      <c r="D270" s="67">
        <v>3</v>
      </c>
      <c r="E270" s="68"/>
      <c r="F270" s="69">
        <v>40</v>
      </c>
      <c r="G270" s="66"/>
      <c r="H270" s="70"/>
      <c r="I270" s="71"/>
      <c r="J270" s="71"/>
      <c r="K270" s="35" t="s">
        <v>65</v>
      </c>
      <c r="L270" s="79">
        <v>270</v>
      </c>
      <c r="M270" s="79"/>
      <c r="N270" s="73"/>
      <c r="O270" s="81" t="s">
        <v>844</v>
      </c>
      <c r="P270" s="81" t="s">
        <v>199</v>
      </c>
      <c r="Q270" s="84" t="s">
        <v>1106</v>
      </c>
      <c r="R270" s="81" t="s">
        <v>432</v>
      </c>
      <c r="S270" s="81" t="s">
        <v>1791</v>
      </c>
      <c r="T270" s="86" t="str">
        <f>HYPERLINK("http://www.youtube.com/channel/UCMnSie2ldazA13s1pbTiUYw")</f>
        <v>http://www.youtube.com/channel/UCMnSie2ldazA13s1pbTiUYw</v>
      </c>
      <c r="U270" s="81"/>
      <c r="V270" s="81" t="s">
        <v>2314</v>
      </c>
      <c r="W270" s="86" t="str">
        <f>HYPERLINK("https://www.youtube.com/watch?v=qr6waNqVjrw")</f>
        <v>https://www.youtube.com/watch?v=qr6waNqVjrw</v>
      </c>
      <c r="X270" s="81" t="s">
        <v>2349</v>
      </c>
      <c r="Y270" s="81">
        <v>0</v>
      </c>
      <c r="Z270" s="88">
        <v>44328.41490740741</v>
      </c>
      <c r="AA270" s="88">
        <v>44328.41490740741</v>
      </c>
      <c r="AB270" s="81"/>
      <c r="AC270" s="81"/>
      <c r="AD270" s="84" t="s">
        <v>2390</v>
      </c>
      <c r="AE270" s="82">
        <v>1</v>
      </c>
      <c r="AF270" s="83" t="str">
        <f>REPLACE(INDEX(GroupVertices[Group],MATCH(Edges[[#This Row],[Vertex 1]],GroupVertices[Vertex],0)),1,1,"")</f>
        <v>5</v>
      </c>
      <c r="AG270" s="83" t="str">
        <f>REPLACE(INDEX(GroupVertices[Group],MATCH(Edges[[#This Row],[Vertex 2]],GroupVertices[Vertex],0)),1,1,"")</f>
        <v>5</v>
      </c>
      <c r="AH270" s="111">
        <v>0</v>
      </c>
      <c r="AI270" s="112">
        <v>0</v>
      </c>
      <c r="AJ270" s="111">
        <v>1</v>
      </c>
      <c r="AK270" s="112">
        <v>33.333333333333336</v>
      </c>
      <c r="AL270" s="111">
        <v>0</v>
      </c>
      <c r="AM270" s="112">
        <v>0</v>
      </c>
      <c r="AN270" s="111">
        <v>2</v>
      </c>
      <c r="AO270" s="112">
        <v>66.66666666666667</v>
      </c>
      <c r="AP270" s="111">
        <v>3</v>
      </c>
    </row>
    <row r="271" spans="1:42" ht="15">
      <c r="A271" s="65" t="s">
        <v>433</v>
      </c>
      <c r="B271" s="65" t="s">
        <v>841</v>
      </c>
      <c r="C271" s="66" t="s">
        <v>4651</v>
      </c>
      <c r="D271" s="67">
        <v>3</v>
      </c>
      <c r="E271" s="68"/>
      <c r="F271" s="69">
        <v>40</v>
      </c>
      <c r="G271" s="66"/>
      <c r="H271" s="70"/>
      <c r="I271" s="71"/>
      <c r="J271" s="71"/>
      <c r="K271" s="35" t="s">
        <v>65</v>
      </c>
      <c r="L271" s="79">
        <v>271</v>
      </c>
      <c r="M271" s="79"/>
      <c r="N271" s="73"/>
      <c r="O271" s="81" t="s">
        <v>844</v>
      </c>
      <c r="P271" s="81" t="s">
        <v>199</v>
      </c>
      <c r="Q271" s="84" t="s">
        <v>1107</v>
      </c>
      <c r="R271" s="81" t="s">
        <v>433</v>
      </c>
      <c r="S271" s="81" t="s">
        <v>1792</v>
      </c>
      <c r="T271" s="86" t="str">
        <f>HYPERLINK("http://www.youtube.com/channel/UCHIpOdCr-NFQRR_OQcwa4Sg")</f>
        <v>http://www.youtube.com/channel/UCHIpOdCr-NFQRR_OQcwa4Sg</v>
      </c>
      <c r="U271" s="81"/>
      <c r="V271" s="81" t="s">
        <v>2314</v>
      </c>
      <c r="W271" s="86" t="str">
        <f>HYPERLINK("https://www.youtube.com/watch?v=qr6waNqVjrw")</f>
        <v>https://www.youtube.com/watch?v=qr6waNqVjrw</v>
      </c>
      <c r="X271" s="81" t="s">
        <v>2349</v>
      </c>
      <c r="Y271" s="81">
        <v>0</v>
      </c>
      <c r="Z271" s="88">
        <v>44331.80525462963</v>
      </c>
      <c r="AA271" s="88">
        <v>44331.80525462963</v>
      </c>
      <c r="AB271" s="81"/>
      <c r="AC271" s="81"/>
      <c r="AD271" s="84" t="s">
        <v>2390</v>
      </c>
      <c r="AE271" s="82">
        <v>1</v>
      </c>
      <c r="AF271" s="83" t="str">
        <f>REPLACE(INDEX(GroupVertices[Group],MATCH(Edges[[#This Row],[Vertex 1]],GroupVertices[Vertex],0)),1,1,"")</f>
        <v>5</v>
      </c>
      <c r="AG271" s="83" t="str">
        <f>REPLACE(INDEX(GroupVertices[Group],MATCH(Edges[[#This Row],[Vertex 2]],GroupVertices[Vertex],0)),1,1,"")</f>
        <v>5</v>
      </c>
      <c r="AH271" s="111">
        <v>2</v>
      </c>
      <c r="AI271" s="112">
        <v>4.444444444444445</v>
      </c>
      <c r="AJ271" s="111">
        <v>1</v>
      </c>
      <c r="AK271" s="112">
        <v>2.2222222222222223</v>
      </c>
      <c r="AL271" s="111">
        <v>0</v>
      </c>
      <c r="AM271" s="112">
        <v>0</v>
      </c>
      <c r="AN271" s="111">
        <v>42</v>
      </c>
      <c r="AO271" s="112">
        <v>93.33333333333333</v>
      </c>
      <c r="AP271" s="111">
        <v>45</v>
      </c>
    </row>
    <row r="272" spans="1:42" ht="15">
      <c r="A272" s="65" t="s">
        <v>434</v>
      </c>
      <c r="B272" s="65" t="s">
        <v>841</v>
      </c>
      <c r="C272" s="66" t="s">
        <v>4651</v>
      </c>
      <c r="D272" s="67">
        <v>3</v>
      </c>
      <c r="E272" s="68"/>
      <c r="F272" s="69">
        <v>40</v>
      </c>
      <c r="G272" s="66"/>
      <c r="H272" s="70"/>
      <c r="I272" s="71"/>
      <c r="J272" s="71"/>
      <c r="K272" s="35" t="s">
        <v>65</v>
      </c>
      <c r="L272" s="79">
        <v>272</v>
      </c>
      <c r="M272" s="79"/>
      <c r="N272" s="73"/>
      <c r="O272" s="81" t="s">
        <v>844</v>
      </c>
      <c r="P272" s="81" t="s">
        <v>199</v>
      </c>
      <c r="Q272" s="84" t="s">
        <v>1108</v>
      </c>
      <c r="R272" s="81" t="s">
        <v>434</v>
      </c>
      <c r="S272" s="81" t="s">
        <v>1793</v>
      </c>
      <c r="T272" s="86" t="str">
        <f>HYPERLINK("http://www.youtube.com/channel/UCwCF8Ic6Lgs32CrljeWydrw")</f>
        <v>http://www.youtube.com/channel/UCwCF8Ic6Lgs32CrljeWydrw</v>
      </c>
      <c r="U272" s="81"/>
      <c r="V272" s="81" t="s">
        <v>2315</v>
      </c>
      <c r="W272" s="86" t="str">
        <f>HYPERLINK("https://www.youtube.com/watch?v=qoyPQNU9ypc")</f>
        <v>https://www.youtube.com/watch?v=qoyPQNU9ypc</v>
      </c>
      <c r="X272" s="81" t="s">
        <v>2349</v>
      </c>
      <c r="Y272" s="81">
        <v>1</v>
      </c>
      <c r="Z272" s="88">
        <v>43755.679444444446</v>
      </c>
      <c r="AA272" s="88">
        <v>43755.679444444446</v>
      </c>
      <c r="AB272" s="81"/>
      <c r="AC272" s="81"/>
      <c r="AD272" s="84" t="s">
        <v>2390</v>
      </c>
      <c r="AE272" s="82">
        <v>1</v>
      </c>
      <c r="AF272" s="83" t="str">
        <f>REPLACE(INDEX(GroupVertices[Group],MATCH(Edges[[#This Row],[Vertex 1]],GroupVertices[Vertex],0)),1,1,"")</f>
        <v>5</v>
      </c>
      <c r="AG272" s="83" t="str">
        <f>REPLACE(INDEX(GroupVertices[Group],MATCH(Edges[[#This Row],[Vertex 2]],GroupVertices[Vertex],0)),1,1,"")</f>
        <v>5</v>
      </c>
      <c r="AH272" s="111">
        <v>0</v>
      </c>
      <c r="AI272" s="112">
        <v>0</v>
      </c>
      <c r="AJ272" s="111">
        <v>0</v>
      </c>
      <c r="AK272" s="112">
        <v>0</v>
      </c>
      <c r="AL272" s="111">
        <v>0</v>
      </c>
      <c r="AM272" s="112">
        <v>0</v>
      </c>
      <c r="AN272" s="111">
        <v>3</v>
      </c>
      <c r="AO272" s="112">
        <v>100</v>
      </c>
      <c r="AP272" s="111">
        <v>3</v>
      </c>
    </row>
    <row r="273" spans="1:42" ht="15">
      <c r="A273" s="65" t="s">
        <v>435</v>
      </c>
      <c r="B273" s="65" t="s">
        <v>841</v>
      </c>
      <c r="C273" s="66" t="s">
        <v>4651</v>
      </c>
      <c r="D273" s="67">
        <v>3</v>
      </c>
      <c r="E273" s="68"/>
      <c r="F273" s="69">
        <v>40</v>
      </c>
      <c r="G273" s="66"/>
      <c r="H273" s="70"/>
      <c r="I273" s="71"/>
      <c r="J273" s="71"/>
      <c r="K273" s="35" t="s">
        <v>65</v>
      </c>
      <c r="L273" s="79">
        <v>273</v>
      </c>
      <c r="M273" s="79"/>
      <c r="N273" s="73"/>
      <c r="O273" s="81" t="s">
        <v>844</v>
      </c>
      <c r="P273" s="81" t="s">
        <v>199</v>
      </c>
      <c r="Q273" s="84" t="s">
        <v>1109</v>
      </c>
      <c r="R273" s="81" t="s">
        <v>435</v>
      </c>
      <c r="S273" s="81" t="s">
        <v>1794</v>
      </c>
      <c r="T273" s="86" t="str">
        <f>HYPERLINK("http://www.youtube.com/channel/UC4VHPTjnxvlkd8NrT8wDd8g")</f>
        <v>http://www.youtube.com/channel/UC4VHPTjnxvlkd8NrT8wDd8g</v>
      </c>
      <c r="U273" s="81"/>
      <c r="V273" s="81" t="s">
        <v>2316</v>
      </c>
      <c r="W273" s="86" t="str">
        <f>HYPERLINK("https://www.youtube.com/watch?v=PmNVhCoki_E")</f>
        <v>https://www.youtube.com/watch?v=PmNVhCoki_E</v>
      </c>
      <c r="X273" s="81" t="s">
        <v>2349</v>
      </c>
      <c r="Y273" s="81">
        <v>1</v>
      </c>
      <c r="Z273" s="88">
        <v>43942.33331018518</v>
      </c>
      <c r="AA273" s="88">
        <v>43942.33331018518</v>
      </c>
      <c r="AB273" s="81"/>
      <c r="AC273" s="81"/>
      <c r="AD273" s="84" t="s">
        <v>2390</v>
      </c>
      <c r="AE273" s="82">
        <v>1</v>
      </c>
      <c r="AF273" s="83" t="str">
        <f>REPLACE(INDEX(GroupVertices[Group],MATCH(Edges[[#This Row],[Vertex 1]],GroupVertices[Vertex],0)),1,1,"")</f>
        <v>5</v>
      </c>
      <c r="AG273" s="83" t="str">
        <f>REPLACE(INDEX(GroupVertices[Group],MATCH(Edges[[#This Row],[Vertex 2]],GroupVertices[Vertex],0)),1,1,"")</f>
        <v>5</v>
      </c>
      <c r="AH273" s="111">
        <v>0</v>
      </c>
      <c r="AI273" s="112">
        <v>0</v>
      </c>
      <c r="AJ273" s="111">
        <v>0</v>
      </c>
      <c r="AK273" s="112">
        <v>0</v>
      </c>
      <c r="AL273" s="111">
        <v>0</v>
      </c>
      <c r="AM273" s="112">
        <v>0</v>
      </c>
      <c r="AN273" s="111">
        <v>0</v>
      </c>
      <c r="AO273" s="112">
        <v>0</v>
      </c>
      <c r="AP273" s="111">
        <v>0</v>
      </c>
    </row>
    <row r="274" spans="1:42" ht="15">
      <c r="A274" s="65" t="s">
        <v>436</v>
      </c>
      <c r="B274" s="65" t="s">
        <v>841</v>
      </c>
      <c r="C274" s="66" t="s">
        <v>4651</v>
      </c>
      <c r="D274" s="67">
        <v>3</v>
      </c>
      <c r="E274" s="68"/>
      <c r="F274" s="69">
        <v>40</v>
      </c>
      <c r="G274" s="66"/>
      <c r="H274" s="70"/>
      <c r="I274" s="71"/>
      <c r="J274" s="71"/>
      <c r="K274" s="35" t="s">
        <v>65</v>
      </c>
      <c r="L274" s="79">
        <v>274</v>
      </c>
      <c r="M274" s="79"/>
      <c r="N274" s="73"/>
      <c r="O274" s="81" t="s">
        <v>844</v>
      </c>
      <c r="P274" s="81" t="s">
        <v>199</v>
      </c>
      <c r="Q274" s="84" t="s">
        <v>1110</v>
      </c>
      <c r="R274" s="81" t="s">
        <v>436</v>
      </c>
      <c r="S274" s="81" t="s">
        <v>1795</v>
      </c>
      <c r="T274" s="86" t="str">
        <f>HYPERLINK("http://www.youtube.com/channel/UCmoHhgVdE0VFusUvKRD2pKA")</f>
        <v>http://www.youtube.com/channel/UCmoHhgVdE0VFusUvKRD2pKA</v>
      </c>
      <c r="U274" s="81"/>
      <c r="V274" s="81" t="s">
        <v>2316</v>
      </c>
      <c r="W274" s="86" t="str">
        <f>HYPERLINK("https://www.youtube.com/watch?v=PmNVhCoki_E")</f>
        <v>https://www.youtube.com/watch?v=PmNVhCoki_E</v>
      </c>
      <c r="X274" s="81" t="s">
        <v>2349</v>
      </c>
      <c r="Y274" s="81">
        <v>1</v>
      </c>
      <c r="Z274" s="88">
        <v>43942.33335648148</v>
      </c>
      <c r="AA274" s="88">
        <v>43942.33335648148</v>
      </c>
      <c r="AB274" s="81"/>
      <c r="AC274" s="81"/>
      <c r="AD274" s="84" t="s">
        <v>2390</v>
      </c>
      <c r="AE274" s="82">
        <v>1</v>
      </c>
      <c r="AF274" s="83" t="str">
        <f>REPLACE(INDEX(GroupVertices[Group],MATCH(Edges[[#This Row],[Vertex 1]],GroupVertices[Vertex],0)),1,1,"")</f>
        <v>5</v>
      </c>
      <c r="AG274" s="83" t="str">
        <f>REPLACE(INDEX(GroupVertices[Group],MATCH(Edges[[#This Row],[Vertex 2]],GroupVertices[Vertex],0)),1,1,"")</f>
        <v>5</v>
      </c>
      <c r="AH274" s="111">
        <v>1</v>
      </c>
      <c r="AI274" s="112">
        <v>100</v>
      </c>
      <c r="AJ274" s="111">
        <v>0</v>
      </c>
      <c r="AK274" s="112">
        <v>0</v>
      </c>
      <c r="AL274" s="111">
        <v>0</v>
      </c>
      <c r="AM274" s="112">
        <v>0</v>
      </c>
      <c r="AN274" s="111">
        <v>0</v>
      </c>
      <c r="AO274" s="112">
        <v>0</v>
      </c>
      <c r="AP274" s="111">
        <v>1</v>
      </c>
    </row>
    <row r="275" spans="1:42" ht="15">
      <c r="A275" s="65" t="s">
        <v>437</v>
      </c>
      <c r="B275" s="65" t="s">
        <v>438</v>
      </c>
      <c r="C275" s="66" t="s">
        <v>4651</v>
      </c>
      <c r="D275" s="67">
        <v>3</v>
      </c>
      <c r="E275" s="68"/>
      <c r="F275" s="69">
        <v>40</v>
      </c>
      <c r="G275" s="66"/>
      <c r="H275" s="70"/>
      <c r="I275" s="71"/>
      <c r="J275" s="71"/>
      <c r="K275" s="35" t="s">
        <v>65</v>
      </c>
      <c r="L275" s="79">
        <v>275</v>
      </c>
      <c r="M275" s="79"/>
      <c r="N275" s="73"/>
      <c r="O275" s="81" t="s">
        <v>845</v>
      </c>
      <c r="P275" s="81" t="s">
        <v>847</v>
      </c>
      <c r="Q275" s="84" t="s">
        <v>1111</v>
      </c>
      <c r="R275" s="81" t="s">
        <v>437</v>
      </c>
      <c r="S275" s="81" t="s">
        <v>1796</v>
      </c>
      <c r="T275" s="86" t="str">
        <f>HYPERLINK("http://www.youtube.com/channel/UCe9hfK183Q1xmpYMTJgULKQ")</f>
        <v>http://www.youtube.com/channel/UCe9hfK183Q1xmpYMTJgULKQ</v>
      </c>
      <c r="U275" s="81" t="s">
        <v>2219</v>
      </c>
      <c r="V275" s="81" t="s">
        <v>2316</v>
      </c>
      <c r="W275" s="86" t="str">
        <f>HYPERLINK("https://www.youtube.com/watch?v=PmNVhCoki_E")</f>
        <v>https://www.youtube.com/watch?v=PmNVhCoki_E</v>
      </c>
      <c r="X275" s="81" t="s">
        <v>2349</v>
      </c>
      <c r="Y275" s="81">
        <v>1</v>
      </c>
      <c r="Z275" s="88">
        <v>43942.33729166666</v>
      </c>
      <c r="AA275" s="88">
        <v>43942.33729166666</v>
      </c>
      <c r="AB275" s="81"/>
      <c r="AC275" s="81"/>
      <c r="AD275" s="84" t="s">
        <v>2390</v>
      </c>
      <c r="AE275" s="82">
        <v>1</v>
      </c>
      <c r="AF275" s="83" t="str">
        <f>REPLACE(INDEX(GroupVertices[Group],MATCH(Edges[[#This Row],[Vertex 1]],GroupVertices[Vertex],0)),1,1,"")</f>
        <v>5</v>
      </c>
      <c r="AG275" s="83" t="str">
        <f>REPLACE(INDEX(GroupVertices[Group],MATCH(Edges[[#This Row],[Vertex 2]],GroupVertices[Vertex],0)),1,1,"")</f>
        <v>5</v>
      </c>
      <c r="AH275" s="111">
        <v>0</v>
      </c>
      <c r="AI275" s="112">
        <v>0</v>
      </c>
      <c r="AJ275" s="111">
        <v>0</v>
      </c>
      <c r="AK275" s="112">
        <v>0</v>
      </c>
      <c r="AL275" s="111">
        <v>0</v>
      </c>
      <c r="AM275" s="112">
        <v>0</v>
      </c>
      <c r="AN275" s="111">
        <v>1</v>
      </c>
      <c r="AO275" s="112">
        <v>100</v>
      </c>
      <c r="AP275" s="111">
        <v>1</v>
      </c>
    </row>
    <row r="276" spans="1:42" ht="15">
      <c r="A276" s="65" t="s">
        <v>438</v>
      </c>
      <c r="B276" s="65" t="s">
        <v>841</v>
      </c>
      <c r="C276" s="66" t="s">
        <v>4651</v>
      </c>
      <c r="D276" s="67">
        <v>3</v>
      </c>
      <c r="E276" s="68"/>
      <c r="F276" s="69">
        <v>40</v>
      </c>
      <c r="G276" s="66"/>
      <c r="H276" s="70"/>
      <c r="I276" s="71"/>
      <c r="J276" s="71"/>
      <c r="K276" s="35" t="s">
        <v>65</v>
      </c>
      <c r="L276" s="79">
        <v>276</v>
      </c>
      <c r="M276" s="79"/>
      <c r="N276" s="73"/>
      <c r="O276" s="81" t="s">
        <v>844</v>
      </c>
      <c r="P276" s="81" t="s">
        <v>199</v>
      </c>
      <c r="Q276" s="84" t="s">
        <v>1112</v>
      </c>
      <c r="R276" s="81" t="s">
        <v>438</v>
      </c>
      <c r="S276" s="81" t="s">
        <v>1797</v>
      </c>
      <c r="T276" s="86" t="str">
        <f>HYPERLINK("http://www.youtube.com/channel/UCcC4IZqNHmwGIYAC3e6Y-ng")</f>
        <v>http://www.youtube.com/channel/UCcC4IZqNHmwGIYAC3e6Y-ng</v>
      </c>
      <c r="U276" s="81"/>
      <c r="V276" s="81" t="s">
        <v>2316</v>
      </c>
      <c r="W276" s="86" t="str">
        <f>HYPERLINK("https://www.youtube.com/watch?v=PmNVhCoki_E")</f>
        <v>https://www.youtube.com/watch?v=PmNVhCoki_E</v>
      </c>
      <c r="X276" s="81" t="s">
        <v>2349</v>
      </c>
      <c r="Y276" s="81">
        <v>1</v>
      </c>
      <c r="Z276" s="88">
        <v>43942.33356481481</v>
      </c>
      <c r="AA276" s="88">
        <v>43942.33356481481</v>
      </c>
      <c r="AB276" s="81"/>
      <c r="AC276" s="81"/>
      <c r="AD276" s="84" t="s">
        <v>2390</v>
      </c>
      <c r="AE276" s="82">
        <v>1</v>
      </c>
      <c r="AF276" s="83" t="str">
        <f>REPLACE(INDEX(GroupVertices[Group],MATCH(Edges[[#This Row],[Vertex 1]],GroupVertices[Vertex],0)),1,1,"")</f>
        <v>5</v>
      </c>
      <c r="AG276" s="83" t="str">
        <f>REPLACE(INDEX(GroupVertices[Group],MATCH(Edges[[#This Row],[Vertex 2]],GroupVertices[Vertex],0)),1,1,"")</f>
        <v>5</v>
      </c>
      <c r="AH276" s="111">
        <v>0</v>
      </c>
      <c r="AI276" s="112">
        <v>0</v>
      </c>
      <c r="AJ276" s="111">
        <v>0</v>
      </c>
      <c r="AK276" s="112">
        <v>0</v>
      </c>
      <c r="AL276" s="111">
        <v>0</v>
      </c>
      <c r="AM276" s="112">
        <v>0</v>
      </c>
      <c r="AN276" s="111">
        <v>5</v>
      </c>
      <c r="AO276" s="112">
        <v>100</v>
      </c>
      <c r="AP276" s="111">
        <v>5</v>
      </c>
    </row>
    <row r="277" spans="1:42" ht="15">
      <c r="A277" s="65" t="s">
        <v>437</v>
      </c>
      <c r="B277" s="65" t="s">
        <v>439</v>
      </c>
      <c r="C277" s="66" t="s">
        <v>4651</v>
      </c>
      <c r="D277" s="67">
        <v>3</v>
      </c>
      <c r="E277" s="68"/>
      <c r="F277" s="69">
        <v>40</v>
      </c>
      <c r="G277" s="66"/>
      <c r="H277" s="70"/>
      <c r="I277" s="71"/>
      <c r="J277" s="71"/>
      <c r="K277" s="35" t="s">
        <v>65</v>
      </c>
      <c r="L277" s="79">
        <v>277</v>
      </c>
      <c r="M277" s="79"/>
      <c r="N277" s="73"/>
      <c r="O277" s="81" t="s">
        <v>845</v>
      </c>
      <c r="P277" s="81" t="s">
        <v>847</v>
      </c>
      <c r="Q277" s="84" t="s">
        <v>1111</v>
      </c>
      <c r="R277" s="81" t="s">
        <v>437</v>
      </c>
      <c r="S277" s="81" t="s">
        <v>1796</v>
      </c>
      <c r="T277" s="86" t="str">
        <f>HYPERLINK("http://www.youtube.com/channel/UCe9hfK183Q1xmpYMTJgULKQ")</f>
        <v>http://www.youtube.com/channel/UCe9hfK183Q1xmpYMTJgULKQ</v>
      </c>
      <c r="U277" s="81" t="s">
        <v>2220</v>
      </c>
      <c r="V277" s="81" t="s">
        <v>2316</v>
      </c>
      <c r="W277" s="86" t="str">
        <f>HYPERLINK("https://www.youtube.com/watch?v=PmNVhCoki_E")</f>
        <v>https://www.youtube.com/watch?v=PmNVhCoki_E</v>
      </c>
      <c r="X277" s="81" t="s">
        <v>2349</v>
      </c>
      <c r="Y277" s="81">
        <v>0</v>
      </c>
      <c r="Z277" s="88">
        <v>43942.33738425926</v>
      </c>
      <c r="AA277" s="88">
        <v>43942.33738425926</v>
      </c>
      <c r="AB277" s="81"/>
      <c r="AC277" s="81"/>
      <c r="AD277" s="84" t="s">
        <v>2390</v>
      </c>
      <c r="AE277" s="82">
        <v>1</v>
      </c>
      <c r="AF277" s="83" t="str">
        <f>REPLACE(INDEX(GroupVertices[Group],MATCH(Edges[[#This Row],[Vertex 1]],GroupVertices[Vertex],0)),1,1,"")</f>
        <v>5</v>
      </c>
      <c r="AG277" s="83" t="str">
        <f>REPLACE(INDEX(GroupVertices[Group],MATCH(Edges[[#This Row],[Vertex 2]],GroupVertices[Vertex],0)),1,1,"")</f>
        <v>5</v>
      </c>
      <c r="AH277" s="111">
        <v>0</v>
      </c>
      <c r="AI277" s="112">
        <v>0</v>
      </c>
      <c r="AJ277" s="111">
        <v>0</v>
      </c>
      <c r="AK277" s="112">
        <v>0</v>
      </c>
      <c r="AL277" s="111">
        <v>0</v>
      </c>
      <c r="AM277" s="112">
        <v>0</v>
      </c>
      <c r="AN277" s="111">
        <v>1</v>
      </c>
      <c r="AO277" s="112">
        <v>100</v>
      </c>
      <c r="AP277" s="111">
        <v>1</v>
      </c>
    </row>
    <row r="278" spans="1:42" ht="15">
      <c r="A278" s="65" t="s">
        <v>439</v>
      </c>
      <c r="B278" s="65" t="s">
        <v>841</v>
      </c>
      <c r="C278" s="66" t="s">
        <v>4651</v>
      </c>
      <c r="D278" s="67">
        <v>3</v>
      </c>
      <c r="E278" s="68"/>
      <c r="F278" s="69">
        <v>40</v>
      </c>
      <c r="G278" s="66"/>
      <c r="H278" s="70"/>
      <c r="I278" s="71"/>
      <c r="J278" s="71"/>
      <c r="K278" s="35" t="s">
        <v>65</v>
      </c>
      <c r="L278" s="79">
        <v>278</v>
      </c>
      <c r="M278" s="79"/>
      <c r="N278" s="73"/>
      <c r="O278" s="81" t="s">
        <v>844</v>
      </c>
      <c r="P278" s="81" t="s">
        <v>199</v>
      </c>
      <c r="Q278" s="84" t="s">
        <v>1113</v>
      </c>
      <c r="R278" s="81" t="s">
        <v>439</v>
      </c>
      <c r="S278" s="81" t="s">
        <v>1798</v>
      </c>
      <c r="T278" s="86" t="str">
        <f>HYPERLINK("http://www.youtube.com/channel/UCxhbi6OhggzKnO7bUeXbliw")</f>
        <v>http://www.youtube.com/channel/UCxhbi6OhggzKnO7bUeXbliw</v>
      </c>
      <c r="U278" s="81"/>
      <c r="V278" s="81" t="s">
        <v>2316</v>
      </c>
      <c r="W278" s="86" t="str">
        <f>HYPERLINK("https://www.youtube.com/watch?v=PmNVhCoki_E")</f>
        <v>https://www.youtube.com/watch?v=PmNVhCoki_E</v>
      </c>
      <c r="X278" s="81" t="s">
        <v>2349</v>
      </c>
      <c r="Y278" s="81">
        <v>0</v>
      </c>
      <c r="Z278" s="88">
        <v>43942.33609953704</v>
      </c>
      <c r="AA278" s="88">
        <v>43942.33609953704</v>
      </c>
      <c r="AB278" s="81"/>
      <c r="AC278" s="81"/>
      <c r="AD278" s="84" t="s">
        <v>2390</v>
      </c>
      <c r="AE278" s="82">
        <v>1</v>
      </c>
      <c r="AF278" s="83" t="str">
        <f>REPLACE(INDEX(GroupVertices[Group],MATCH(Edges[[#This Row],[Vertex 1]],GroupVertices[Vertex],0)),1,1,"")</f>
        <v>5</v>
      </c>
      <c r="AG278" s="83" t="str">
        <f>REPLACE(INDEX(GroupVertices[Group],MATCH(Edges[[#This Row],[Vertex 2]],GroupVertices[Vertex],0)),1,1,"")</f>
        <v>5</v>
      </c>
      <c r="AH278" s="111">
        <v>0</v>
      </c>
      <c r="AI278" s="112">
        <v>0</v>
      </c>
      <c r="AJ278" s="111">
        <v>0</v>
      </c>
      <c r="AK278" s="112">
        <v>0</v>
      </c>
      <c r="AL278" s="111">
        <v>0</v>
      </c>
      <c r="AM278" s="112">
        <v>0</v>
      </c>
      <c r="AN278" s="111">
        <v>1</v>
      </c>
      <c r="AO278" s="112">
        <v>100</v>
      </c>
      <c r="AP278" s="111">
        <v>1</v>
      </c>
    </row>
    <row r="279" spans="1:42" ht="15">
      <c r="A279" s="65" t="s">
        <v>437</v>
      </c>
      <c r="B279" s="65" t="s">
        <v>841</v>
      </c>
      <c r="C279" s="66" t="s">
        <v>4651</v>
      </c>
      <c r="D279" s="67">
        <v>3</v>
      </c>
      <c r="E279" s="68"/>
      <c r="F279" s="69">
        <v>40</v>
      </c>
      <c r="G279" s="66"/>
      <c r="H279" s="70"/>
      <c r="I279" s="71"/>
      <c r="J279" s="71"/>
      <c r="K279" s="35" t="s">
        <v>65</v>
      </c>
      <c r="L279" s="79">
        <v>279</v>
      </c>
      <c r="M279" s="79"/>
      <c r="N279" s="73"/>
      <c r="O279" s="81" t="s">
        <v>844</v>
      </c>
      <c r="P279" s="81" t="s">
        <v>199</v>
      </c>
      <c r="Q279" s="84" t="s">
        <v>1114</v>
      </c>
      <c r="R279" s="81" t="s">
        <v>437</v>
      </c>
      <c r="S279" s="81" t="s">
        <v>1796</v>
      </c>
      <c r="T279" s="86" t="str">
        <f>HYPERLINK("http://www.youtube.com/channel/UCe9hfK183Q1xmpYMTJgULKQ")</f>
        <v>http://www.youtube.com/channel/UCe9hfK183Q1xmpYMTJgULKQ</v>
      </c>
      <c r="U279" s="81"/>
      <c r="V279" s="81" t="s">
        <v>2316</v>
      </c>
      <c r="W279" s="86" t="str">
        <f>HYPERLINK("https://www.youtube.com/watch?v=PmNVhCoki_E")</f>
        <v>https://www.youtube.com/watch?v=PmNVhCoki_E</v>
      </c>
      <c r="X279" s="81" t="s">
        <v>2349</v>
      </c>
      <c r="Y279" s="81">
        <v>1</v>
      </c>
      <c r="Z279" s="88">
        <v>43942.33710648148</v>
      </c>
      <c r="AA279" s="88">
        <v>43942.33710648148</v>
      </c>
      <c r="AB279" s="81"/>
      <c r="AC279" s="81"/>
      <c r="AD279" s="84" t="s">
        <v>2390</v>
      </c>
      <c r="AE279" s="82">
        <v>1</v>
      </c>
      <c r="AF279" s="83" t="str">
        <f>REPLACE(INDEX(GroupVertices[Group],MATCH(Edges[[#This Row],[Vertex 1]],GroupVertices[Vertex],0)),1,1,"")</f>
        <v>5</v>
      </c>
      <c r="AG279" s="83" t="str">
        <f>REPLACE(INDEX(GroupVertices[Group],MATCH(Edges[[#This Row],[Vertex 2]],GroupVertices[Vertex],0)),1,1,"")</f>
        <v>5</v>
      </c>
      <c r="AH279" s="111">
        <v>0</v>
      </c>
      <c r="AI279" s="112">
        <v>0</v>
      </c>
      <c r="AJ279" s="111">
        <v>0</v>
      </c>
      <c r="AK279" s="112">
        <v>0</v>
      </c>
      <c r="AL279" s="111">
        <v>0</v>
      </c>
      <c r="AM279" s="112">
        <v>0</v>
      </c>
      <c r="AN279" s="111">
        <v>3</v>
      </c>
      <c r="AO279" s="112">
        <v>100</v>
      </c>
      <c r="AP279" s="111">
        <v>3</v>
      </c>
    </row>
    <row r="280" spans="1:42" ht="15">
      <c r="A280" s="65" t="s">
        <v>440</v>
      </c>
      <c r="B280" s="65" t="s">
        <v>441</v>
      </c>
      <c r="C280" s="66" t="s">
        <v>4613</v>
      </c>
      <c r="D280" s="67">
        <v>10</v>
      </c>
      <c r="E280" s="68"/>
      <c r="F280" s="69">
        <v>15</v>
      </c>
      <c r="G280" s="66"/>
      <c r="H280" s="70"/>
      <c r="I280" s="71"/>
      <c r="J280" s="71"/>
      <c r="K280" s="35" t="s">
        <v>65</v>
      </c>
      <c r="L280" s="79">
        <v>280</v>
      </c>
      <c r="M280" s="79"/>
      <c r="N280" s="73"/>
      <c r="O280" s="81" t="s">
        <v>845</v>
      </c>
      <c r="P280" s="81" t="s">
        <v>847</v>
      </c>
      <c r="Q280" s="84" t="s">
        <v>1115</v>
      </c>
      <c r="R280" s="81" t="s">
        <v>440</v>
      </c>
      <c r="S280" s="81" t="s">
        <v>1799</v>
      </c>
      <c r="T280" s="86" t="str">
        <f>HYPERLINK("http://www.youtube.com/channel/UCQmnCtBS2LgVNb7hVmDsvEQ")</f>
        <v>http://www.youtube.com/channel/UCQmnCtBS2LgVNb7hVmDsvEQ</v>
      </c>
      <c r="U280" s="81" t="s">
        <v>2221</v>
      </c>
      <c r="V280" s="81" t="s">
        <v>2316</v>
      </c>
      <c r="W280" s="86" t="str">
        <f>HYPERLINK("https://www.youtube.com/watch?v=PmNVhCoki_E")</f>
        <v>https://www.youtube.com/watch?v=PmNVhCoki_E</v>
      </c>
      <c r="X280" s="81" t="s">
        <v>2349</v>
      </c>
      <c r="Y280" s="81">
        <v>1</v>
      </c>
      <c r="Z280" s="88">
        <v>43942.342627314814</v>
      </c>
      <c r="AA280" s="88">
        <v>43942.342627314814</v>
      </c>
      <c r="AB280" s="81"/>
      <c r="AC280" s="81"/>
      <c r="AD280" s="84" t="s">
        <v>2390</v>
      </c>
      <c r="AE280" s="82">
        <v>2</v>
      </c>
      <c r="AF280" s="83" t="str">
        <f>REPLACE(INDEX(GroupVertices[Group],MATCH(Edges[[#This Row],[Vertex 1]],GroupVertices[Vertex],0)),1,1,"")</f>
        <v>5</v>
      </c>
      <c r="AG280" s="83" t="str">
        <f>REPLACE(INDEX(GroupVertices[Group],MATCH(Edges[[#This Row],[Vertex 2]],GroupVertices[Vertex],0)),1,1,"")</f>
        <v>5</v>
      </c>
      <c r="AH280" s="111">
        <v>0</v>
      </c>
      <c r="AI280" s="112">
        <v>0</v>
      </c>
      <c r="AJ280" s="111">
        <v>0</v>
      </c>
      <c r="AK280" s="112">
        <v>0</v>
      </c>
      <c r="AL280" s="111">
        <v>0</v>
      </c>
      <c r="AM280" s="112">
        <v>0</v>
      </c>
      <c r="AN280" s="111">
        <v>3</v>
      </c>
      <c r="AO280" s="112">
        <v>100</v>
      </c>
      <c r="AP280" s="111">
        <v>3</v>
      </c>
    </row>
    <row r="281" spans="1:42" ht="15">
      <c r="A281" s="65" t="s">
        <v>440</v>
      </c>
      <c r="B281" s="65" t="s">
        <v>441</v>
      </c>
      <c r="C281" s="66" t="s">
        <v>4613</v>
      </c>
      <c r="D281" s="67">
        <v>10</v>
      </c>
      <c r="E281" s="68"/>
      <c r="F281" s="69">
        <v>15</v>
      </c>
      <c r="G281" s="66"/>
      <c r="H281" s="70"/>
      <c r="I281" s="71"/>
      <c r="J281" s="71"/>
      <c r="K281" s="35" t="s">
        <v>65</v>
      </c>
      <c r="L281" s="79">
        <v>281</v>
      </c>
      <c r="M281" s="79"/>
      <c r="N281" s="73"/>
      <c r="O281" s="81" t="s">
        <v>845</v>
      </c>
      <c r="P281" s="81" t="s">
        <v>847</v>
      </c>
      <c r="Q281" s="84" t="s">
        <v>1116</v>
      </c>
      <c r="R281" s="81" t="s">
        <v>440</v>
      </c>
      <c r="S281" s="81" t="s">
        <v>1799</v>
      </c>
      <c r="T281" s="86" t="str">
        <f>HYPERLINK("http://www.youtube.com/channel/UCQmnCtBS2LgVNb7hVmDsvEQ")</f>
        <v>http://www.youtube.com/channel/UCQmnCtBS2LgVNb7hVmDsvEQ</v>
      </c>
      <c r="U281" s="81" t="s">
        <v>2221</v>
      </c>
      <c r="V281" s="81" t="s">
        <v>2316</v>
      </c>
      <c r="W281" s="86" t="str">
        <f>HYPERLINK("https://www.youtube.com/watch?v=PmNVhCoki_E")</f>
        <v>https://www.youtube.com/watch?v=PmNVhCoki_E</v>
      </c>
      <c r="X281" s="81" t="s">
        <v>2349</v>
      </c>
      <c r="Y281" s="81">
        <v>1</v>
      </c>
      <c r="Z281" s="88">
        <v>43942.37940972222</v>
      </c>
      <c r="AA281" s="88">
        <v>43942.37940972222</v>
      </c>
      <c r="AB281" s="81"/>
      <c r="AC281" s="81"/>
      <c r="AD281" s="84" t="s">
        <v>2390</v>
      </c>
      <c r="AE281" s="82">
        <v>2</v>
      </c>
      <c r="AF281" s="83" t="str">
        <f>REPLACE(INDEX(GroupVertices[Group],MATCH(Edges[[#This Row],[Vertex 1]],GroupVertices[Vertex],0)),1,1,"")</f>
        <v>5</v>
      </c>
      <c r="AG281" s="83" t="str">
        <f>REPLACE(INDEX(GroupVertices[Group],MATCH(Edges[[#This Row],[Vertex 2]],GroupVertices[Vertex],0)),1,1,"")</f>
        <v>5</v>
      </c>
      <c r="AH281" s="111">
        <v>0</v>
      </c>
      <c r="AI281" s="112">
        <v>0</v>
      </c>
      <c r="AJ281" s="111">
        <v>0</v>
      </c>
      <c r="AK281" s="112">
        <v>0</v>
      </c>
      <c r="AL281" s="111">
        <v>0</v>
      </c>
      <c r="AM281" s="112">
        <v>0</v>
      </c>
      <c r="AN281" s="111">
        <v>3</v>
      </c>
      <c r="AO281" s="112">
        <v>100</v>
      </c>
      <c r="AP281" s="111">
        <v>3</v>
      </c>
    </row>
    <row r="282" spans="1:42" ht="15">
      <c r="A282" s="65" t="s">
        <v>441</v>
      </c>
      <c r="B282" s="65" t="s">
        <v>441</v>
      </c>
      <c r="C282" s="66" t="s">
        <v>4651</v>
      </c>
      <c r="D282" s="67">
        <v>3</v>
      </c>
      <c r="E282" s="68"/>
      <c r="F282" s="69">
        <v>40</v>
      </c>
      <c r="G282" s="66"/>
      <c r="H282" s="70"/>
      <c r="I282" s="71"/>
      <c r="J282" s="71"/>
      <c r="K282" s="35" t="s">
        <v>65</v>
      </c>
      <c r="L282" s="79">
        <v>282</v>
      </c>
      <c r="M282" s="79"/>
      <c r="N282" s="73"/>
      <c r="O282" s="81" t="s">
        <v>845</v>
      </c>
      <c r="P282" s="81" t="s">
        <v>847</v>
      </c>
      <c r="Q282" s="84" t="s">
        <v>1117</v>
      </c>
      <c r="R282" s="81" t="s">
        <v>441</v>
      </c>
      <c r="S282" s="81" t="s">
        <v>1800</v>
      </c>
      <c r="T282" s="86" t="str">
        <f>HYPERLINK("http://www.youtube.com/channel/UCSxjlinkH_dpcqvI4gaOIqg")</f>
        <v>http://www.youtube.com/channel/UCSxjlinkH_dpcqvI4gaOIqg</v>
      </c>
      <c r="U282" s="81" t="s">
        <v>2221</v>
      </c>
      <c r="V282" s="81" t="s">
        <v>2316</v>
      </c>
      <c r="W282" s="86" t="str">
        <f>HYPERLINK("https://www.youtube.com/watch?v=PmNVhCoki_E")</f>
        <v>https://www.youtube.com/watch?v=PmNVhCoki_E</v>
      </c>
      <c r="X282" s="81" t="s">
        <v>2349</v>
      </c>
      <c r="Y282" s="81">
        <v>1</v>
      </c>
      <c r="Z282" s="88">
        <v>43942.37143518519</v>
      </c>
      <c r="AA282" s="88">
        <v>43942.37143518519</v>
      </c>
      <c r="AB282" s="81"/>
      <c r="AC282" s="81"/>
      <c r="AD282" s="84" t="s">
        <v>2390</v>
      </c>
      <c r="AE282" s="82">
        <v>1</v>
      </c>
      <c r="AF282" s="83" t="str">
        <f>REPLACE(INDEX(GroupVertices[Group],MATCH(Edges[[#This Row],[Vertex 1]],GroupVertices[Vertex],0)),1,1,"")</f>
        <v>5</v>
      </c>
      <c r="AG282" s="83" t="str">
        <f>REPLACE(INDEX(GroupVertices[Group],MATCH(Edges[[#This Row],[Vertex 2]],GroupVertices[Vertex],0)),1,1,"")</f>
        <v>5</v>
      </c>
      <c r="AH282" s="111">
        <v>0</v>
      </c>
      <c r="AI282" s="112">
        <v>0</v>
      </c>
      <c r="AJ282" s="111">
        <v>0</v>
      </c>
      <c r="AK282" s="112">
        <v>0</v>
      </c>
      <c r="AL282" s="111">
        <v>0</v>
      </c>
      <c r="AM282" s="112">
        <v>0</v>
      </c>
      <c r="AN282" s="111">
        <v>4</v>
      </c>
      <c r="AO282" s="112">
        <v>100</v>
      </c>
      <c r="AP282" s="111">
        <v>4</v>
      </c>
    </row>
    <row r="283" spans="1:42" ht="15">
      <c r="A283" s="65" t="s">
        <v>441</v>
      </c>
      <c r="B283" s="65" t="s">
        <v>841</v>
      </c>
      <c r="C283" s="66" t="s">
        <v>4651</v>
      </c>
      <c r="D283" s="67">
        <v>3</v>
      </c>
      <c r="E283" s="68"/>
      <c r="F283" s="69">
        <v>40</v>
      </c>
      <c r="G283" s="66"/>
      <c r="H283" s="70"/>
      <c r="I283" s="71"/>
      <c r="J283" s="71"/>
      <c r="K283" s="35" t="s">
        <v>65</v>
      </c>
      <c r="L283" s="79">
        <v>283</v>
      </c>
      <c r="M283" s="79"/>
      <c r="N283" s="73"/>
      <c r="O283" s="81" t="s">
        <v>844</v>
      </c>
      <c r="P283" s="81" t="s">
        <v>199</v>
      </c>
      <c r="Q283" s="84" t="s">
        <v>1118</v>
      </c>
      <c r="R283" s="81" t="s">
        <v>441</v>
      </c>
      <c r="S283" s="81" t="s">
        <v>1800</v>
      </c>
      <c r="T283" s="86" t="str">
        <f>HYPERLINK("http://www.youtube.com/channel/UCSxjlinkH_dpcqvI4gaOIqg")</f>
        <v>http://www.youtube.com/channel/UCSxjlinkH_dpcqvI4gaOIqg</v>
      </c>
      <c r="U283" s="81"/>
      <c r="V283" s="81" t="s">
        <v>2316</v>
      </c>
      <c r="W283" s="86" t="str">
        <f>HYPERLINK("https://www.youtube.com/watch?v=PmNVhCoki_E")</f>
        <v>https://www.youtube.com/watch?v=PmNVhCoki_E</v>
      </c>
      <c r="X283" s="81" t="s">
        <v>2349</v>
      </c>
      <c r="Y283" s="81">
        <v>1</v>
      </c>
      <c r="Z283" s="88">
        <v>43942.34006944444</v>
      </c>
      <c r="AA283" s="88">
        <v>43942.34006944444</v>
      </c>
      <c r="AB283" s="81"/>
      <c r="AC283" s="81"/>
      <c r="AD283" s="84" t="s">
        <v>2390</v>
      </c>
      <c r="AE283" s="82">
        <v>1</v>
      </c>
      <c r="AF283" s="83" t="str">
        <f>REPLACE(INDEX(GroupVertices[Group],MATCH(Edges[[#This Row],[Vertex 1]],GroupVertices[Vertex],0)),1,1,"")</f>
        <v>5</v>
      </c>
      <c r="AG283" s="83" t="str">
        <f>REPLACE(INDEX(GroupVertices[Group],MATCH(Edges[[#This Row],[Vertex 2]],GroupVertices[Vertex],0)),1,1,"")</f>
        <v>5</v>
      </c>
      <c r="AH283" s="111">
        <v>0</v>
      </c>
      <c r="AI283" s="112">
        <v>0</v>
      </c>
      <c r="AJ283" s="111">
        <v>0</v>
      </c>
      <c r="AK283" s="112">
        <v>0</v>
      </c>
      <c r="AL283" s="111">
        <v>0</v>
      </c>
      <c r="AM283" s="112">
        <v>0</v>
      </c>
      <c r="AN283" s="111">
        <v>1</v>
      </c>
      <c r="AO283" s="112">
        <v>100</v>
      </c>
      <c r="AP283" s="111">
        <v>1</v>
      </c>
    </row>
    <row r="284" spans="1:42" ht="15">
      <c r="A284" s="65" t="s">
        <v>441</v>
      </c>
      <c r="B284" s="65" t="s">
        <v>442</v>
      </c>
      <c r="C284" s="66" t="s">
        <v>4613</v>
      </c>
      <c r="D284" s="67">
        <v>10</v>
      </c>
      <c r="E284" s="68"/>
      <c r="F284" s="69">
        <v>15</v>
      </c>
      <c r="G284" s="66"/>
      <c r="H284" s="70"/>
      <c r="I284" s="71"/>
      <c r="J284" s="71"/>
      <c r="K284" s="35" t="s">
        <v>65</v>
      </c>
      <c r="L284" s="79">
        <v>284</v>
      </c>
      <c r="M284" s="79"/>
      <c r="N284" s="73"/>
      <c r="O284" s="81" t="s">
        <v>845</v>
      </c>
      <c r="P284" s="81" t="s">
        <v>847</v>
      </c>
      <c r="Q284" s="84" t="s">
        <v>1119</v>
      </c>
      <c r="R284" s="81" t="s">
        <v>441</v>
      </c>
      <c r="S284" s="81" t="s">
        <v>1800</v>
      </c>
      <c r="T284" s="86" t="str">
        <f>HYPERLINK("http://www.youtube.com/channel/UCSxjlinkH_dpcqvI4gaOIqg")</f>
        <v>http://www.youtube.com/channel/UCSxjlinkH_dpcqvI4gaOIqg</v>
      </c>
      <c r="U284" s="81" t="s">
        <v>2222</v>
      </c>
      <c r="V284" s="81" t="s">
        <v>2316</v>
      </c>
      <c r="W284" s="86" t="str">
        <f>HYPERLINK("https://www.youtube.com/watch?v=PmNVhCoki_E")</f>
        <v>https://www.youtube.com/watch?v=PmNVhCoki_E</v>
      </c>
      <c r="X284" s="81" t="s">
        <v>2349</v>
      </c>
      <c r="Y284" s="81">
        <v>0</v>
      </c>
      <c r="Z284" s="88">
        <v>43942.342361111114</v>
      </c>
      <c r="AA284" s="88">
        <v>43942.342361111114</v>
      </c>
      <c r="AB284" s="81"/>
      <c r="AC284" s="81"/>
      <c r="AD284" s="84" t="s">
        <v>2390</v>
      </c>
      <c r="AE284" s="82">
        <v>2</v>
      </c>
      <c r="AF284" s="83" t="str">
        <f>REPLACE(INDEX(GroupVertices[Group],MATCH(Edges[[#This Row],[Vertex 1]],GroupVertices[Vertex],0)),1,1,"")</f>
        <v>5</v>
      </c>
      <c r="AG284" s="83" t="str">
        <f>REPLACE(INDEX(GroupVertices[Group],MATCH(Edges[[#This Row],[Vertex 2]],GroupVertices[Vertex],0)),1,1,"")</f>
        <v>5</v>
      </c>
      <c r="AH284" s="111">
        <v>0</v>
      </c>
      <c r="AI284" s="112">
        <v>0</v>
      </c>
      <c r="AJ284" s="111">
        <v>0</v>
      </c>
      <c r="AK284" s="112">
        <v>0</v>
      </c>
      <c r="AL284" s="111">
        <v>0</v>
      </c>
      <c r="AM284" s="112">
        <v>0</v>
      </c>
      <c r="AN284" s="111">
        <v>1</v>
      </c>
      <c r="AO284" s="112">
        <v>100</v>
      </c>
      <c r="AP284" s="111">
        <v>1</v>
      </c>
    </row>
    <row r="285" spans="1:42" ht="15">
      <c r="A285" s="65" t="s">
        <v>441</v>
      </c>
      <c r="B285" s="65" t="s">
        <v>442</v>
      </c>
      <c r="C285" s="66" t="s">
        <v>4613</v>
      </c>
      <c r="D285" s="67">
        <v>10</v>
      </c>
      <c r="E285" s="68"/>
      <c r="F285" s="69">
        <v>15</v>
      </c>
      <c r="G285" s="66"/>
      <c r="H285" s="70"/>
      <c r="I285" s="71"/>
      <c r="J285" s="71"/>
      <c r="K285" s="35" t="s">
        <v>65</v>
      </c>
      <c r="L285" s="79">
        <v>285</v>
      </c>
      <c r="M285" s="79"/>
      <c r="N285" s="73"/>
      <c r="O285" s="81" t="s">
        <v>845</v>
      </c>
      <c r="P285" s="81" t="s">
        <v>847</v>
      </c>
      <c r="Q285" s="84" t="s">
        <v>1120</v>
      </c>
      <c r="R285" s="81" t="s">
        <v>441</v>
      </c>
      <c r="S285" s="81" t="s">
        <v>1800</v>
      </c>
      <c r="T285" s="86" t="str">
        <f>HYPERLINK("http://www.youtube.com/channel/UCSxjlinkH_dpcqvI4gaOIqg")</f>
        <v>http://www.youtube.com/channel/UCSxjlinkH_dpcqvI4gaOIqg</v>
      </c>
      <c r="U285" s="81" t="s">
        <v>2222</v>
      </c>
      <c r="V285" s="81" t="s">
        <v>2316</v>
      </c>
      <c r="W285" s="86" t="str">
        <f>HYPERLINK("https://www.youtube.com/watch?v=PmNVhCoki_E")</f>
        <v>https://www.youtube.com/watch?v=PmNVhCoki_E</v>
      </c>
      <c r="X285" s="81" t="s">
        <v>2349</v>
      </c>
      <c r="Y285" s="81">
        <v>0</v>
      </c>
      <c r="Z285" s="88">
        <v>43942.34270833333</v>
      </c>
      <c r="AA285" s="88">
        <v>43942.34270833333</v>
      </c>
      <c r="AB285" s="81"/>
      <c r="AC285" s="81"/>
      <c r="AD285" s="84" t="s">
        <v>2390</v>
      </c>
      <c r="AE285" s="82">
        <v>2</v>
      </c>
      <c r="AF285" s="83" t="str">
        <f>REPLACE(INDEX(GroupVertices[Group],MATCH(Edges[[#This Row],[Vertex 1]],GroupVertices[Vertex],0)),1,1,"")</f>
        <v>5</v>
      </c>
      <c r="AG285" s="83" t="str">
        <f>REPLACE(INDEX(GroupVertices[Group],MATCH(Edges[[#This Row],[Vertex 2]],GroupVertices[Vertex],0)),1,1,"")</f>
        <v>5</v>
      </c>
      <c r="AH285" s="111">
        <v>0</v>
      </c>
      <c r="AI285" s="112">
        <v>0</v>
      </c>
      <c r="AJ285" s="111">
        <v>0</v>
      </c>
      <c r="AK285" s="112">
        <v>0</v>
      </c>
      <c r="AL285" s="111">
        <v>0</v>
      </c>
      <c r="AM285" s="112">
        <v>0</v>
      </c>
      <c r="AN285" s="111">
        <v>2</v>
      </c>
      <c r="AO285" s="112">
        <v>100</v>
      </c>
      <c r="AP285" s="111">
        <v>2</v>
      </c>
    </row>
    <row r="286" spans="1:42" ht="15">
      <c r="A286" s="65" t="s">
        <v>442</v>
      </c>
      <c r="B286" s="65" t="s">
        <v>841</v>
      </c>
      <c r="C286" s="66" t="s">
        <v>4651</v>
      </c>
      <c r="D286" s="67">
        <v>3</v>
      </c>
      <c r="E286" s="68"/>
      <c r="F286" s="69">
        <v>40</v>
      </c>
      <c r="G286" s="66"/>
      <c r="H286" s="70"/>
      <c r="I286" s="71"/>
      <c r="J286" s="71"/>
      <c r="K286" s="35" t="s">
        <v>65</v>
      </c>
      <c r="L286" s="79">
        <v>286</v>
      </c>
      <c r="M286" s="79"/>
      <c r="N286" s="73"/>
      <c r="O286" s="81" t="s">
        <v>844</v>
      </c>
      <c r="P286" s="81" t="s">
        <v>199</v>
      </c>
      <c r="Q286" s="84" t="s">
        <v>1121</v>
      </c>
      <c r="R286" s="81" t="s">
        <v>442</v>
      </c>
      <c r="S286" s="81" t="s">
        <v>1801</v>
      </c>
      <c r="T286" s="86" t="str">
        <f>HYPERLINK("http://www.youtube.com/channel/UCEGWyDisp2t9CSLMhOCUjcg")</f>
        <v>http://www.youtube.com/channel/UCEGWyDisp2t9CSLMhOCUjcg</v>
      </c>
      <c r="U286" s="81"/>
      <c r="V286" s="81" t="s">
        <v>2316</v>
      </c>
      <c r="W286" s="86" t="str">
        <f>HYPERLINK("https://www.youtube.com/watch?v=PmNVhCoki_E")</f>
        <v>https://www.youtube.com/watch?v=PmNVhCoki_E</v>
      </c>
      <c r="X286" s="81" t="s">
        <v>2349</v>
      </c>
      <c r="Y286" s="81">
        <v>0</v>
      </c>
      <c r="Z286" s="88">
        <v>43942.341527777775</v>
      </c>
      <c r="AA286" s="88">
        <v>43942.341527777775</v>
      </c>
      <c r="AB286" s="81"/>
      <c r="AC286" s="81"/>
      <c r="AD286" s="84" t="s">
        <v>2390</v>
      </c>
      <c r="AE286" s="82">
        <v>1</v>
      </c>
      <c r="AF286" s="83" t="str">
        <f>REPLACE(INDEX(GroupVertices[Group],MATCH(Edges[[#This Row],[Vertex 1]],GroupVertices[Vertex],0)),1,1,"")</f>
        <v>5</v>
      </c>
      <c r="AG286" s="83" t="str">
        <f>REPLACE(INDEX(GroupVertices[Group],MATCH(Edges[[#This Row],[Vertex 2]],GroupVertices[Vertex],0)),1,1,"")</f>
        <v>5</v>
      </c>
      <c r="AH286" s="111">
        <v>0</v>
      </c>
      <c r="AI286" s="112">
        <v>0</v>
      </c>
      <c r="AJ286" s="111">
        <v>0</v>
      </c>
      <c r="AK286" s="112">
        <v>0</v>
      </c>
      <c r="AL286" s="111">
        <v>0</v>
      </c>
      <c r="AM286" s="112">
        <v>0</v>
      </c>
      <c r="AN286" s="111">
        <v>1</v>
      </c>
      <c r="AO286" s="112">
        <v>100</v>
      </c>
      <c r="AP286" s="111">
        <v>1</v>
      </c>
    </row>
    <row r="287" spans="1:42" ht="15">
      <c r="A287" s="65" t="s">
        <v>443</v>
      </c>
      <c r="B287" s="65" t="s">
        <v>841</v>
      </c>
      <c r="C287" s="66" t="s">
        <v>4651</v>
      </c>
      <c r="D287" s="67">
        <v>3</v>
      </c>
      <c r="E287" s="68"/>
      <c r="F287" s="69">
        <v>40</v>
      </c>
      <c r="G287" s="66"/>
      <c r="H287" s="70"/>
      <c r="I287" s="71"/>
      <c r="J287" s="71"/>
      <c r="K287" s="35" t="s">
        <v>65</v>
      </c>
      <c r="L287" s="79">
        <v>287</v>
      </c>
      <c r="M287" s="79"/>
      <c r="N287" s="73"/>
      <c r="O287" s="81" t="s">
        <v>844</v>
      </c>
      <c r="P287" s="81" t="s">
        <v>199</v>
      </c>
      <c r="Q287" s="84" t="s">
        <v>1030</v>
      </c>
      <c r="R287" s="81" t="s">
        <v>443</v>
      </c>
      <c r="S287" s="81" t="s">
        <v>1802</v>
      </c>
      <c r="T287" s="86" t="str">
        <f>HYPERLINK("http://www.youtube.com/channel/UCVPA_jZSz-I4Au3RCo9LHTg")</f>
        <v>http://www.youtube.com/channel/UCVPA_jZSz-I4Au3RCo9LHTg</v>
      </c>
      <c r="U287" s="81"/>
      <c r="V287" s="81" t="s">
        <v>2316</v>
      </c>
      <c r="W287" s="86" t="str">
        <f>HYPERLINK("https://www.youtube.com/watch?v=PmNVhCoki_E")</f>
        <v>https://www.youtube.com/watch?v=PmNVhCoki_E</v>
      </c>
      <c r="X287" s="81" t="s">
        <v>2349</v>
      </c>
      <c r="Y287" s="81">
        <v>0</v>
      </c>
      <c r="Z287" s="88">
        <v>44168.88290509259</v>
      </c>
      <c r="AA287" s="88">
        <v>44168.88290509259</v>
      </c>
      <c r="AB287" s="81"/>
      <c r="AC287" s="81"/>
      <c r="AD287" s="84" t="s">
        <v>2390</v>
      </c>
      <c r="AE287" s="82">
        <v>1</v>
      </c>
      <c r="AF287" s="83" t="str">
        <f>REPLACE(INDEX(GroupVertices[Group],MATCH(Edges[[#This Row],[Vertex 1]],GroupVertices[Vertex],0)),1,1,"")</f>
        <v>5</v>
      </c>
      <c r="AG287" s="83" t="str">
        <f>REPLACE(INDEX(GroupVertices[Group],MATCH(Edges[[#This Row],[Vertex 2]],GroupVertices[Vertex],0)),1,1,"")</f>
        <v>5</v>
      </c>
      <c r="AH287" s="111">
        <v>1</v>
      </c>
      <c r="AI287" s="112">
        <v>100</v>
      </c>
      <c r="AJ287" s="111">
        <v>0</v>
      </c>
      <c r="AK287" s="112">
        <v>0</v>
      </c>
      <c r="AL287" s="111">
        <v>0</v>
      </c>
      <c r="AM287" s="112">
        <v>0</v>
      </c>
      <c r="AN287" s="111">
        <v>0</v>
      </c>
      <c r="AO287" s="112">
        <v>0</v>
      </c>
      <c r="AP287" s="111">
        <v>1</v>
      </c>
    </row>
    <row r="288" spans="1:42" ht="15">
      <c r="A288" s="65" t="s">
        <v>444</v>
      </c>
      <c r="B288" s="65" t="s">
        <v>446</v>
      </c>
      <c r="C288" s="66" t="s">
        <v>4651</v>
      </c>
      <c r="D288" s="67">
        <v>3</v>
      </c>
      <c r="E288" s="68"/>
      <c r="F288" s="69">
        <v>40</v>
      </c>
      <c r="G288" s="66"/>
      <c r="H288" s="70"/>
      <c r="I288" s="71"/>
      <c r="J288" s="71"/>
      <c r="K288" s="35" t="s">
        <v>65</v>
      </c>
      <c r="L288" s="79">
        <v>288</v>
      </c>
      <c r="M288" s="79"/>
      <c r="N288" s="73"/>
      <c r="O288" s="81" t="s">
        <v>845</v>
      </c>
      <c r="P288" s="81" t="s">
        <v>847</v>
      </c>
      <c r="Q288" s="84" t="s">
        <v>1122</v>
      </c>
      <c r="R288" s="81" t="s">
        <v>444</v>
      </c>
      <c r="S288" s="81" t="s">
        <v>1803</v>
      </c>
      <c r="T288" s="86" t="str">
        <f>HYPERLINK("http://www.youtube.com/channel/UC8Y45KtVOj8uJg3cnNzI_-Q")</f>
        <v>http://www.youtube.com/channel/UC8Y45KtVOj8uJg3cnNzI_-Q</v>
      </c>
      <c r="U288" s="81" t="s">
        <v>2223</v>
      </c>
      <c r="V288" s="81" t="s">
        <v>2317</v>
      </c>
      <c r="W288" s="86" t="str">
        <f>HYPERLINK("https://www.youtube.com/watch?v=niztAhOnXpQ")</f>
        <v>https://www.youtube.com/watch?v=niztAhOnXpQ</v>
      </c>
      <c r="X288" s="81" t="s">
        <v>2349</v>
      </c>
      <c r="Y288" s="81">
        <v>0</v>
      </c>
      <c r="Z288" s="88">
        <v>44319.89144675926</v>
      </c>
      <c r="AA288" s="88">
        <v>44319.89144675926</v>
      </c>
      <c r="AB288" s="81"/>
      <c r="AC288" s="81"/>
      <c r="AD288" s="84" t="s">
        <v>2390</v>
      </c>
      <c r="AE288" s="82">
        <v>1</v>
      </c>
      <c r="AF288" s="83" t="str">
        <f>REPLACE(INDEX(GroupVertices[Group],MATCH(Edges[[#This Row],[Vertex 1]],GroupVertices[Vertex],0)),1,1,"")</f>
        <v>20</v>
      </c>
      <c r="AG288" s="83" t="str">
        <f>REPLACE(INDEX(GroupVertices[Group],MATCH(Edges[[#This Row],[Vertex 2]],GroupVertices[Vertex],0)),1,1,"")</f>
        <v>20</v>
      </c>
      <c r="AH288" s="111">
        <v>1</v>
      </c>
      <c r="AI288" s="112">
        <v>11.11111111111111</v>
      </c>
      <c r="AJ288" s="111">
        <v>0</v>
      </c>
      <c r="AK288" s="112">
        <v>0</v>
      </c>
      <c r="AL288" s="111">
        <v>0</v>
      </c>
      <c r="AM288" s="112">
        <v>0</v>
      </c>
      <c r="AN288" s="111">
        <v>8</v>
      </c>
      <c r="AO288" s="112">
        <v>88.88888888888889</v>
      </c>
      <c r="AP288" s="111">
        <v>9</v>
      </c>
    </row>
    <row r="289" spans="1:42" ht="15">
      <c r="A289" s="65" t="s">
        <v>445</v>
      </c>
      <c r="B289" s="65" t="s">
        <v>446</v>
      </c>
      <c r="C289" s="66" t="s">
        <v>4651</v>
      </c>
      <c r="D289" s="67">
        <v>3</v>
      </c>
      <c r="E289" s="68"/>
      <c r="F289" s="69">
        <v>40</v>
      </c>
      <c r="G289" s="66"/>
      <c r="H289" s="70"/>
      <c r="I289" s="71"/>
      <c r="J289" s="71"/>
      <c r="K289" s="35" t="s">
        <v>66</v>
      </c>
      <c r="L289" s="79">
        <v>289</v>
      </c>
      <c r="M289" s="79"/>
      <c r="N289" s="73"/>
      <c r="O289" s="81" t="s">
        <v>845</v>
      </c>
      <c r="P289" s="81" t="s">
        <v>847</v>
      </c>
      <c r="Q289" s="84" t="s">
        <v>1123</v>
      </c>
      <c r="R289" s="81" t="s">
        <v>445</v>
      </c>
      <c r="S289" s="81" t="s">
        <v>1804</v>
      </c>
      <c r="T289" s="86" t="str">
        <f>HYPERLINK("http://www.youtube.com/channel/UCwCK4I1ApV4gDpWxv3EvPAg")</f>
        <v>http://www.youtube.com/channel/UCwCK4I1ApV4gDpWxv3EvPAg</v>
      </c>
      <c r="U289" s="81" t="s">
        <v>2223</v>
      </c>
      <c r="V289" s="81" t="s">
        <v>2317</v>
      </c>
      <c r="W289" s="86" t="str">
        <f>HYPERLINK("https://www.youtube.com/watch?v=niztAhOnXpQ")</f>
        <v>https://www.youtube.com/watch?v=niztAhOnXpQ</v>
      </c>
      <c r="X289" s="81" t="s">
        <v>2349</v>
      </c>
      <c r="Y289" s="81">
        <v>0</v>
      </c>
      <c r="Z289" s="88">
        <v>44304.758425925924</v>
      </c>
      <c r="AA289" s="88">
        <v>44305.72990740741</v>
      </c>
      <c r="AB289" s="81" t="s">
        <v>2367</v>
      </c>
      <c r="AC289" s="81" t="s">
        <v>2385</v>
      </c>
      <c r="AD289" s="84" t="s">
        <v>2390</v>
      </c>
      <c r="AE289" s="82">
        <v>1</v>
      </c>
      <c r="AF289" s="83" t="str">
        <f>REPLACE(INDEX(GroupVertices[Group],MATCH(Edges[[#This Row],[Vertex 1]],GroupVertices[Vertex],0)),1,1,"")</f>
        <v>20</v>
      </c>
      <c r="AG289" s="83" t="str">
        <f>REPLACE(INDEX(GroupVertices[Group],MATCH(Edges[[#This Row],[Vertex 2]],GroupVertices[Vertex],0)),1,1,"")</f>
        <v>20</v>
      </c>
      <c r="AH289" s="111">
        <v>1</v>
      </c>
      <c r="AI289" s="112">
        <v>4.761904761904762</v>
      </c>
      <c r="AJ289" s="111">
        <v>0</v>
      </c>
      <c r="AK289" s="112">
        <v>0</v>
      </c>
      <c r="AL289" s="111">
        <v>0</v>
      </c>
      <c r="AM289" s="112">
        <v>0</v>
      </c>
      <c r="AN289" s="111">
        <v>20</v>
      </c>
      <c r="AO289" s="112">
        <v>95.23809523809524</v>
      </c>
      <c r="AP289" s="111">
        <v>21</v>
      </c>
    </row>
    <row r="290" spans="1:42" ht="15">
      <c r="A290" s="65" t="s">
        <v>446</v>
      </c>
      <c r="B290" s="65" t="s">
        <v>445</v>
      </c>
      <c r="C290" s="66" t="s">
        <v>4651</v>
      </c>
      <c r="D290" s="67">
        <v>3</v>
      </c>
      <c r="E290" s="68"/>
      <c r="F290" s="69">
        <v>40</v>
      </c>
      <c r="G290" s="66"/>
      <c r="H290" s="70"/>
      <c r="I290" s="71"/>
      <c r="J290" s="71"/>
      <c r="K290" s="35" t="s">
        <v>66</v>
      </c>
      <c r="L290" s="79">
        <v>290</v>
      </c>
      <c r="M290" s="79"/>
      <c r="N290" s="73"/>
      <c r="O290" s="81" t="s">
        <v>844</v>
      </c>
      <c r="P290" s="81" t="s">
        <v>199</v>
      </c>
      <c r="Q290" s="84" t="s">
        <v>1124</v>
      </c>
      <c r="R290" s="81" t="s">
        <v>446</v>
      </c>
      <c r="S290" s="81" t="s">
        <v>1805</v>
      </c>
      <c r="T290" s="86" t="str">
        <f>HYPERLINK("http://www.youtube.com/channel/UCFA76NhvEp8Fck7qolxM5nQ")</f>
        <v>http://www.youtube.com/channel/UCFA76NhvEp8Fck7qolxM5nQ</v>
      </c>
      <c r="U290" s="81"/>
      <c r="V290" s="81" t="s">
        <v>2317</v>
      </c>
      <c r="W290" s="86" t="str">
        <f>HYPERLINK("https://www.youtube.com/watch?v=niztAhOnXpQ")</f>
        <v>https://www.youtube.com/watch?v=niztAhOnXpQ</v>
      </c>
      <c r="X290" s="81" t="s">
        <v>2349</v>
      </c>
      <c r="Y290" s="81">
        <v>1</v>
      </c>
      <c r="Z290" s="88">
        <v>44289.241875</v>
      </c>
      <c r="AA290" s="88">
        <v>44289.241875</v>
      </c>
      <c r="AB290" s="81"/>
      <c r="AC290" s="81"/>
      <c r="AD290" s="84" t="s">
        <v>2390</v>
      </c>
      <c r="AE290" s="82">
        <v>1</v>
      </c>
      <c r="AF290" s="83" t="str">
        <f>REPLACE(INDEX(GroupVertices[Group],MATCH(Edges[[#This Row],[Vertex 1]],GroupVertices[Vertex],0)),1,1,"")</f>
        <v>20</v>
      </c>
      <c r="AG290" s="83" t="str">
        <f>REPLACE(INDEX(GroupVertices[Group],MATCH(Edges[[#This Row],[Vertex 2]],GroupVertices[Vertex],0)),1,1,"")</f>
        <v>20</v>
      </c>
      <c r="AH290" s="111">
        <v>1</v>
      </c>
      <c r="AI290" s="112">
        <v>12.5</v>
      </c>
      <c r="AJ290" s="111">
        <v>0</v>
      </c>
      <c r="AK290" s="112">
        <v>0</v>
      </c>
      <c r="AL290" s="111">
        <v>0</v>
      </c>
      <c r="AM290" s="112">
        <v>0</v>
      </c>
      <c r="AN290" s="111">
        <v>7</v>
      </c>
      <c r="AO290" s="112">
        <v>87.5</v>
      </c>
      <c r="AP290" s="111">
        <v>8</v>
      </c>
    </row>
    <row r="291" spans="1:42" ht="15">
      <c r="A291" s="65" t="s">
        <v>445</v>
      </c>
      <c r="B291" s="65" t="s">
        <v>447</v>
      </c>
      <c r="C291" s="66" t="s">
        <v>4651</v>
      </c>
      <c r="D291" s="67">
        <v>3</v>
      </c>
      <c r="E291" s="68"/>
      <c r="F291" s="69">
        <v>40</v>
      </c>
      <c r="G291" s="66"/>
      <c r="H291" s="70"/>
      <c r="I291" s="71"/>
      <c r="J291" s="71"/>
      <c r="K291" s="35" t="s">
        <v>66</v>
      </c>
      <c r="L291" s="79">
        <v>291</v>
      </c>
      <c r="M291" s="79"/>
      <c r="N291" s="73"/>
      <c r="O291" s="81" t="s">
        <v>845</v>
      </c>
      <c r="P291" s="81" t="s">
        <v>847</v>
      </c>
      <c r="Q291" s="84" t="s">
        <v>1125</v>
      </c>
      <c r="R291" s="81" t="s">
        <v>445</v>
      </c>
      <c r="S291" s="81" t="s">
        <v>1804</v>
      </c>
      <c r="T291" s="86" t="str">
        <f>HYPERLINK("http://www.youtube.com/channel/UCwCK4I1ApV4gDpWxv3EvPAg")</f>
        <v>http://www.youtube.com/channel/UCwCK4I1ApV4gDpWxv3EvPAg</v>
      </c>
      <c r="U291" s="81" t="s">
        <v>2224</v>
      </c>
      <c r="V291" s="81" t="s">
        <v>2317</v>
      </c>
      <c r="W291" s="86" t="str">
        <f>HYPERLINK("https://www.youtube.com/watch?v=niztAhOnXpQ")</f>
        <v>https://www.youtube.com/watch?v=niztAhOnXpQ</v>
      </c>
      <c r="X291" s="81" t="s">
        <v>2349</v>
      </c>
      <c r="Y291" s="81">
        <v>0</v>
      </c>
      <c r="Z291" s="88">
        <v>44361.604629629626</v>
      </c>
      <c r="AA291" s="88">
        <v>44361.604629629626</v>
      </c>
      <c r="AB291" s="81"/>
      <c r="AC291" s="81"/>
      <c r="AD291" s="84" t="s">
        <v>2390</v>
      </c>
      <c r="AE291" s="82">
        <v>1</v>
      </c>
      <c r="AF291" s="83" t="str">
        <f>REPLACE(INDEX(GroupVertices[Group],MATCH(Edges[[#This Row],[Vertex 1]],GroupVertices[Vertex],0)),1,1,"")</f>
        <v>20</v>
      </c>
      <c r="AG291" s="83" t="str">
        <f>REPLACE(INDEX(GroupVertices[Group],MATCH(Edges[[#This Row],[Vertex 2]],GroupVertices[Vertex],0)),1,1,"")</f>
        <v>20</v>
      </c>
      <c r="AH291" s="111">
        <v>2</v>
      </c>
      <c r="AI291" s="112">
        <v>11.764705882352942</v>
      </c>
      <c r="AJ291" s="111">
        <v>0</v>
      </c>
      <c r="AK291" s="112">
        <v>0</v>
      </c>
      <c r="AL291" s="111">
        <v>0</v>
      </c>
      <c r="AM291" s="112">
        <v>0</v>
      </c>
      <c r="AN291" s="111">
        <v>15</v>
      </c>
      <c r="AO291" s="112">
        <v>88.23529411764706</v>
      </c>
      <c r="AP291" s="111">
        <v>17</v>
      </c>
    </row>
    <row r="292" spans="1:42" ht="15">
      <c r="A292" s="65" t="s">
        <v>447</v>
      </c>
      <c r="B292" s="65" t="s">
        <v>445</v>
      </c>
      <c r="C292" s="66" t="s">
        <v>4651</v>
      </c>
      <c r="D292" s="67">
        <v>3</v>
      </c>
      <c r="E292" s="68"/>
      <c r="F292" s="69">
        <v>40</v>
      </c>
      <c r="G292" s="66"/>
      <c r="H292" s="70"/>
      <c r="I292" s="71"/>
      <c r="J292" s="71"/>
      <c r="K292" s="35" t="s">
        <v>66</v>
      </c>
      <c r="L292" s="79">
        <v>292</v>
      </c>
      <c r="M292" s="79"/>
      <c r="N292" s="73"/>
      <c r="O292" s="81" t="s">
        <v>844</v>
      </c>
      <c r="P292" s="81" t="s">
        <v>199</v>
      </c>
      <c r="Q292" s="84" t="s">
        <v>1126</v>
      </c>
      <c r="R292" s="81" t="s">
        <v>447</v>
      </c>
      <c r="S292" s="81" t="s">
        <v>1806</v>
      </c>
      <c r="T292" s="86" t="str">
        <f>HYPERLINK("http://www.youtube.com/channel/UC41RPWl3MoEeDf9pNzNbOzw")</f>
        <v>http://www.youtube.com/channel/UC41RPWl3MoEeDf9pNzNbOzw</v>
      </c>
      <c r="U292" s="81"/>
      <c r="V292" s="81" t="s">
        <v>2317</v>
      </c>
      <c r="W292" s="86" t="str">
        <f>HYPERLINK("https://www.youtube.com/watch?v=niztAhOnXpQ")</f>
        <v>https://www.youtube.com/watch?v=niztAhOnXpQ</v>
      </c>
      <c r="X292" s="81" t="s">
        <v>2349</v>
      </c>
      <c r="Y292" s="81">
        <v>1</v>
      </c>
      <c r="Z292" s="88">
        <v>44358.7827662037</v>
      </c>
      <c r="AA292" s="88">
        <v>44358.7827662037</v>
      </c>
      <c r="AB292" s="81"/>
      <c r="AC292" s="81"/>
      <c r="AD292" s="84" t="s">
        <v>2390</v>
      </c>
      <c r="AE292" s="82">
        <v>1</v>
      </c>
      <c r="AF292" s="83" t="str">
        <f>REPLACE(INDEX(GroupVertices[Group],MATCH(Edges[[#This Row],[Vertex 1]],GroupVertices[Vertex],0)),1,1,"")</f>
        <v>20</v>
      </c>
      <c r="AG292" s="83" t="str">
        <f>REPLACE(INDEX(GroupVertices[Group],MATCH(Edges[[#This Row],[Vertex 2]],GroupVertices[Vertex],0)),1,1,"")</f>
        <v>20</v>
      </c>
      <c r="AH292" s="111">
        <v>2</v>
      </c>
      <c r="AI292" s="112">
        <v>50</v>
      </c>
      <c r="AJ292" s="111">
        <v>0</v>
      </c>
      <c r="AK292" s="112">
        <v>0</v>
      </c>
      <c r="AL292" s="111">
        <v>0</v>
      </c>
      <c r="AM292" s="112">
        <v>0</v>
      </c>
      <c r="AN292" s="111">
        <v>2</v>
      </c>
      <c r="AO292" s="112">
        <v>50</v>
      </c>
      <c r="AP292" s="111">
        <v>4</v>
      </c>
    </row>
    <row r="293" spans="1:42" ht="15">
      <c r="A293" s="65" t="s">
        <v>448</v>
      </c>
      <c r="B293" s="65" t="s">
        <v>455</v>
      </c>
      <c r="C293" s="66" t="s">
        <v>4651</v>
      </c>
      <c r="D293" s="67">
        <v>3</v>
      </c>
      <c r="E293" s="68"/>
      <c r="F293" s="69">
        <v>40</v>
      </c>
      <c r="G293" s="66"/>
      <c r="H293" s="70"/>
      <c r="I293" s="71"/>
      <c r="J293" s="71"/>
      <c r="K293" s="35" t="s">
        <v>65</v>
      </c>
      <c r="L293" s="79">
        <v>293</v>
      </c>
      <c r="M293" s="79"/>
      <c r="N293" s="73"/>
      <c r="O293" s="81" t="s">
        <v>844</v>
      </c>
      <c r="P293" s="81" t="s">
        <v>199</v>
      </c>
      <c r="Q293" s="84" t="s">
        <v>1127</v>
      </c>
      <c r="R293" s="81" t="s">
        <v>448</v>
      </c>
      <c r="S293" s="81" t="s">
        <v>1807</v>
      </c>
      <c r="T293" s="86" t="str">
        <f>HYPERLINK("http://www.youtube.com/channel/UCGygswvJxod6i7MCGCBlKIg")</f>
        <v>http://www.youtube.com/channel/UCGygswvJxod6i7MCGCBlKIg</v>
      </c>
      <c r="U293" s="81"/>
      <c r="V293" s="81" t="s">
        <v>2318</v>
      </c>
      <c r="W293" s="86" t="str">
        <f>HYPERLINK("https://www.youtube.com/watch?v=4gDOjS0xRAQ")</f>
        <v>https://www.youtube.com/watch?v=4gDOjS0xRAQ</v>
      </c>
      <c r="X293" s="81" t="s">
        <v>2349</v>
      </c>
      <c r="Y293" s="81">
        <v>1</v>
      </c>
      <c r="Z293" s="88">
        <v>43932.508206018516</v>
      </c>
      <c r="AA293" s="88">
        <v>43932.508206018516</v>
      </c>
      <c r="AB293" s="81"/>
      <c r="AC293" s="81"/>
      <c r="AD293" s="84" t="s">
        <v>2390</v>
      </c>
      <c r="AE293" s="82">
        <v>1</v>
      </c>
      <c r="AF293" s="83" t="str">
        <f>REPLACE(INDEX(GroupVertices[Group],MATCH(Edges[[#This Row],[Vertex 1]],GroupVertices[Vertex],0)),1,1,"")</f>
        <v>7</v>
      </c>
      <c r="AG293" s="83" t="str">
        <f>REPLACE(INDEX(GroupVertices[Group],MATCH(Edges[[#This Row],[Vertex 2]],GroupVertices[Vertex],0)),1,1,"")</f>
        <v>7</v>
      </c>
      <c r="AH293" s="111">
        <v>0</v>
      </c>
      <c r="AI293" s="112">
        <v>0</v>
      </c>
      <c r="AJ293" s="111">
        <v>0</v>
      </c>
      <c r="AK293" s="112">
        <v>0</v>
      </c>
      <c r="AL293" s="111">
        <v>0</v>
      </c>
      <c r="AM293" s="112">
        <v>0</v>
      </c>
      <c r="AN293" s="111">
        <v>3</v>
      </c>
      <c r="AO293" s="112">
        <v>100</v>
      </c>
      <c r="AP293" s="111">
        <v>3</v>
      </c>
    </row>
    <row r="294" spans="1:42" ht="15">
      <c r="A294" s="65" t="s">
        <v>449</v>
      </c>
      <c r="B294" s="65" t="s">
        <v>455</v>
      </c>
      <c r="C294" s="66" t="s">
        <v>4651</v>
      </c>
      <c r="D294" s="67">
        <v>3</v>
      </c>
      <c r="E294" s="68"/>
      <c r="F294" s="69">
        <v>40</v>
      </c>
      <c r="G294" s="66"/>
      <c r="H294" s="70"/>
      <c r="I294" s="71"/>
      <c r="J294" s="71"/>
      <c r="K294" s="35" t="s">
        <v>65</v>
      </c>
      <c r="L294" s="79">
        <v>294</v>
      </c>
      <c r="M294" s="79"/>
      <c r="N294" s="73"/>
      <c r="O294" s="81" t="s">
        <v>844</v>
      </c>
      <c r="P294" s="81" t="s">
        <v>199</v>
      </c>
      <c r="Q294" s="84" t="s">
        <v>882</v>
      </c>
      <c r="R294" s="81" t="s">
        <v>449</v>
      </c>
      <c r="S294" s="81" t="s">
        <v>1808</v>
      </c>
      <c r="T294" s="86" t="str">
        <f>HYPERLINK("http://www.youtube.com/channel/UCuS9KW_UfhJhTv1vI1kAH8Q")</f>
        <v>http://www.youtube.com/channel/UCuS9KW_UfhJhTv1vI1kAH8Q</v>
      </c>
      <c r="U294" s="81"/>
      <c r="V294" s="81" t="s">
        <v>2318</v>
      </c>
      <c r="W294" s="86" t="str">
        <f>HYPERLINK("https://www.youtube.com/watch?v=4gDOjS0xRAQ")</f>
        <v>https://www.youtube.com/watch?v=4gDOjS0xRAQ</v>
      </c>
      <c r="X294" s="81" t="s">
        <v>2349</v>
      </c>
      <c r="Y294" s="81">
        <v>1</v>
      </c>
      <c r="Z294" s="88">
        <v>43932.50900462963</v>
      </c>
      <c r="AA294" s="88">
        <v>43932.50900462963</v>
      </c>
      <c r="AB294" s="81"/>
      <c r="AC294" s="81"/>
      <c r="AD294" s="84" t="s">
        <v>2390</v>
      </c>
      <c r="AE294" s="82">
        <v>1</v>
      </c>
      <c r="AF294" s="83" t="str">
        <f>REPLACE(INDEX(GroupVertices[Group],MATCH(Edges[[#This Row],[Vertex 1]],GroupVertices[Vertex],0)),1,1,"")</f>
        <v>7</v>
      </c>
      <c r="AG294" s="83" t="str">
        <f>REPLACE(INDEX(GroupVertices[Group],MATCH(Edges[[#This Row],[Vertex 2]],GroupVertices[Vertex],0)),1,1,"")</f>
        <v>7</v>
      </c>
      <c r="AH294" s="111">
        <v>0</v>
      </c>
      <c r="AI294" s="112">
        <v>0</v>
      </c>
      <c r="AJ294" s="111">
        <v>0</v>
      </c>
      <c r="AK294" s="112">
        <v>0</v>
      </c>
      <c r="AL294" s="111">
        <v>0</v>
      </c>
      <c r="AM294" s="112">
        <v>0</v>
      </c>
      <c r="AN294" s="111">
        <v>2</v>
      </c>
      <c r="AO294" s="112">
        <v>100</v>
      </c>
      <c r="AP294" s="111">
        <v>2</v>
      </c>
    </row>
    <row r="295" spans="1:42" ht="15">
      <c r="A295" s="65" t="s">
        <v>450</v>
      </c>
      <c r="B295" s="65" t="s">
        <v>451</v>
      </c>
      <c r="C295" s="66" t="s">
        <v>4651</v>
      </c>
      <c r="D295" s="67">
        <v>3</v>
      </c>
      <c r="E295" s="68"/>
      <c r="F295" s="69">
        <v>40</v>
      </c>
      <c r="G295" s="66"/>
      <c r="H295" s="70"/>
      <c r="I295" s="71"/>
      <c r="J295" s="71"/>
      <c r="K295" s="35" t="s">
        <v>65</v>
      </c>
      <c r="L295" s="79">
        <v>295</v>
      </c>
      <c r="M295" s="79"/>
      <c r="N295" s="73"/>
      <c r="O295" s="81" t="s">
        <v>845</v>
      </c>
      <c r="P295" s="81" t="s">
        <v>847</v>
      </c>
      <c r="Q295" s="84" t="s">
        <v>1128</v>
      </c>
      <c r="R295" s="81" t="s">
        <v>450</v>
      </c>
      <c r="S295" s="81" t="s">
        <v>1809</v>
      </c>
      <c r="T295" s="86" t="str">
        <f>HYPERLINK("http://www.youtube.com/channel/UCaM4QVw7iINFe5FN4o6_BZw")</f>
        <v>http://www.youtube.com/channel/UCaM4QVw7iINFe5FN4o6_BZw</v>
      </c>
      <c r="U295" s="81" t="s">
        <v>2225</v>
      </c>
      <c r="V295" s="81" t="s">
        <v>2318</v>
      </c>
      <c r="W295" s="86" t="str">
        <f>HYPERLINK("https://www.youtube.com/watch?v=4gDOjS0xRAQ")</f>
        <v>https://www.youtube.com/watch?v=4gDOjS0xRAQ</v>
      </c>
      <c r="X295" s="81" t="s">
        <v>2349</v>
      </c>
      <c r="Y295" s="81">
        <v>1</v>
      </c>
      <c r="Z295" s="88">
        <v>43932.7124537037</v>
      </c>
      <c r="AA295" s="88">
        <v>43932.7124537037</v>
      </c>
      <c r="AB295" s="81"/>
      <c r="AC295" s="81"/>
      <c r="AD295" s="84" t="s">
        <v>2390</v>
      </c>
      <c r="AE295" s="82">
        <v>1</v>
      </c>
      <c r="AF295" s="83" t="str">
        <f>REPLACE(INDEX(GroupVertices[Group],MATCH(Edges[[#This Row],[Vertex 1]],GroupVertices[Vertex],0)),1,1,"")</f>
        <v>7</v>
      </c>
      <c r="AG295" s="83" t="str">
        <f>REPLACE(INDEX(GroupVertices[Group],MATCH(Edges[[#This Row],[Vertex 2]],GroupVertices[Vertex],0)),1,1,"")</f>
        <v>7</v>
      </c>
      <c r="AH295" s="111">
        <v>0</v>
      </c>
      <c r="AI295" s="112">
        <v>0</v>
      </c>
      <c r="AJ295" s="111">
        <v>0</v>
      </c>
      <c r="AK295" s="112">
        <v>0</v>
      </c>
      <c r="AL295" s="111">
        <v>0</v>
      </c>
      <c r="AM295" s="112">
        <v>0</v>
      </c>
      <c r="AN295" s="111">
        <v>7</v>
      </c>
      <c r="AO295" s="112">
        <v>100</v>
      </c>
      <c r="AP295" s="111">
        <v>7</v>
      </c>
    </row>
    <row r="296" spans="1:42" ht="15">
      <c r="A296" s="65" t="s">
        <v>451</v>
      </c>
      <c r="B296" s="65" t="s">
        <v>455</v>
      </c>
      <c r="C296" s="66" t="s">
        <v>4651</v>
      </c>
      <c r="D296" s="67">
        <v>3</v>
      </c>
      <c r="E296" s="68"/>
      <c r="F296" s="69">
        <v>40</v>
      </c>
      <c r="G296" s="66"/>
      <c r="H296" s="70"/>
      <c r="I296" s="71"/>
      <c r="J296" s="71"/>
      <c r="K296" s="35" t="s">
        <v>65</v>
      </c>
      <c r="L296" s="79">
        <v>296</v>
      </c>
      <c r="M296" s="79"/>
      <c r="N296" s="73"/>
      <c r="O296" s="81" t="s">
        <v>844</v>
      </c>
      <c r="P296" s="81" t="s">
        <v>199</v>
      </c>
      <c r="Q296" s="84" t="s">
        <v>1129</v>
      </c>
      <c r="R296" s="81" t="s">
        <v>451</v>
      </c>
      <c r="S296" s="81" t="s">
        <v>1810</v>
      </c>
      <c r="T296" s="86" t="str">
        <f>HYPERLINK("http://www.youtube.com/channel/UCAVnoqUAcRIbdq0972CYydw")</f>
        <v>http://www.youtube.com/channel/UCAVnoqUAcRIbdq0972CYydw</v>
      </c>
      <c r="U296" s="81"/>
      <c r="V296" s="81" t="s">
        <v>2318</v>
      </c>
      <c r="W296" s="86" t="str">
        <f>HYPERLINK("https://www.youtube.com/watch?v=4gDOjS0xRAQ")</f>
        <v>https://www.youtube.com/watch?v=4gDOjS0xRAQ</v>
      </c>
      <c r="X296" s="81" t="s">
        <v>2349</v>
      </c>
      <c r="Y296" s="81">
        <v>2</v>
      </c>
      <c r="Z296" s="88">
        <v>43932.51101851852</v>
      </c>
      <c r="AA296" s="88">
        <v>43932.51101851852</v>
      </c>
      <c r="AB296" s="81"/>
      <c r="AC296" s="81"/>
      <c r="AD296" s="84" t="s">
        <v>2390</v>
      </c>
      <c r="AE296" s="82">
        <v>1</v>
      </c>
      <c r="AF296" s="83" t="str">
        <f>REPLACE(INDEX(GroupVertices[Group],MATCH(Edges[[#This Row],[Vertex 1]],GroupVertices[Vertex],0)),1,1,"")</f>
        <v>7</v>
      </c>
      <c r="AG296" s="83" t="str">
        <f>REPLACE(INDEX(GroupVertices[Group],MATCH(Edges[[#This Row],[Vertex 2]],GroupVertices[Vertex],0)),1,1,"")</f>
        <v>7</v>
      </c>
      <c r="AH296" s="111">
        <v>0</v>
      </c>
      <c r="AI296" s="112">
        <v>0</v>
      </c>
      <c r="AJ296" s="111">
        <v>0</v>
      </c>
      <c r="AK296" s="112">
        <v>0</v>
      </c>
      <c r="AL296" s="111">
        <v>0</v>
      </c>
      <c r="AM296" s="112">
        <v>0</v>
      </c>
      <c r="AN296" s="111">
        <v>7</v>
      </c>
      <c r="AO296" s="112">
        <v>100</v>
      </c>
      <c r="AP296" s="111">
        <v>7</v>
      </c>
    </row>
    <row r="297" spans="1:42" ht="15">
      <c r="A297" s="65" t="s">
        <v>452</v>
      </c>
      <c r="B297" s="65" t="s">
        <v>455</v>
      </c>
      <c r="C297" s="66" t="s">
        <v>4651</v>
      </c>
      <c r="D297" s="67">
        <v>3</v>
      </c>
      <c r="E297" s="68"/>
      <c r="F297" s="69">
        <v>40</v>
      </c>
      <c r="G297" s="66"/>
      <c r="H297" s="70"/>
      <c r="I297" s="71"/>
      <c r="J297" s="71"/>
      <c r="K297" s="35" t="s">
        <v>65</v>
      </c>
      <c r="L297" s="79">
        <v>297</v>
      </c>
      <c r="M297" s="79"/>
      <c r="N297" s="73"/>
      <c r="O297" s="81" t="s">
        <v>844</v>
      </c>
      <c r="P297" s="81" t="s">
        <v>199</v>
      </c>
      <c r="Q297" s="84" t="s">
        <v>1130</v>
      </c>
      <c r="R297" s="81" t="s">
        <v>452</v>
      </c>
      <c r="S297" s="81" t="s">
        <v>1811</v>
      </c>
      <c r="T297" s="86" t="str">
        <f>HYPERLINK("http://www.youtube.com/channel/UCp7UdmlpZZ_S1QhablUDVIA")</f>
        <v>http://www.youtube.com/channel/UCp7UdmlpZZ_S1QhablUDVIA</v>
      </c>
      <c r="U297" s="81"/>
      <c r="V297" s="81" t="s">
        <v>2318</v>
      </c>
      <c r="W297" s="86" t="str">
        <f>HYPERLINK("https://www.youtube.com/watch?v=4gDOjS0xRAQ")</f>
        <v>https://www.youtube.com/watch?v=4gDOjS0xRAQ</v>
      </c>
      <c r="X297" s="81" t="s">
        <v>2349</v>
      </c>
      <c r="Y297" s="81">
        <v>1</v>
      </c>
      <c r="Z297" s="88">
        <v>43932.511782407404</v>
      </c>
      <c r="AA297" s="88">
        <v>43932.511782407404</v>
      </c>
      <c r="AB297" s="81"/>
      <c r="AC297" s="81"/>
      <c r="AD297" s="84" t="s">
        <v>2390</v>
      </c>
      <c r="AE297" s="82">
        <v>1</v>
      </c>
      <c r="AF297" s="83" t="str">
        <f>REPLACE(INDEX(GroupVertices[Group],MATCH(Edges[[#This Row],[Vertex 1]],GroupVertices[Vertex],0)),1,1,"")</f>
        <v>7</v>
      </c>
      <c r="AG297" s="83" t="str">
        <f>REPLACE(INDEX(GroupVertices[Group],MATCH(Edges[[#This Row],[Vertex 2]],GroupVertices[Vertex],0)),1,1,"")</f>
        <v>7</v>
      </c>
      <c r="AH297" s="111">
        <v>0</v>
      </c>
      <c r="AI297" s="112">
        <v>0</v>
      </c>
      <c r="AJ297" s="111">
        <v>0</v>
      </c>
      <c r="AK297" s="112">
        <v>0</v>
      </c>
      <c r="AL297" s="111">
        <v>0</v>
      </c>
      <c r="AM297" s="112">
        <v>0</v>
      </c>
      <c r="AN297" s="111">
        <v>6</v>
      </c>
      <c r="AO297" s="112">
        <v>100</v>
      </c>
      <c r="AP297" s="111">
        <v>6</v>
      </c>
    </row>
    <row r="298" spans="1:42" ht="15">
      <c r="A298" s="65" t="s">
        <v>453</v>
      </c>
      <c r="B298" s="65" t="s">
        <v>455</v>
      </c>
      <c r="C298" s="66" t="s">
        <v>4613</v>
      </c>
      <c r="D298" s="67">
        <v>10</v>
      </c>
      <c r="E298" s="68"/>
      <c r="F298" s="69">
        <v>15</v>
      </c>
      <c r="G298" s="66"/>
      <c r="H298" s="70"/>
      <c r="I298" s="71"/>
      <c r="J298" s="71"/>
      <c r="K298" s="35" t="s">
        <v>65</v>
      </c>
      <c r="L298" s="79">
        <v>298</v>
      </c>
      <c r="M298" s="79"/>
      <c r="N298" s="73"/>
      <c r="O298" s="81" t="s">
        <v>844</v>
      </c>
      <c r="P298" s="81" t="s">
        <v>199</v>
      </c>
      <c r="Q298" s="84" t="s">
        <v>882</v>
      </c>
      <c r="R298" s="81" t="s">
        <v>453</v>
      </c>
      <c r="S298" s="81" t="s">
        <v>1812</v>
      </c>
      <c r="T298" s="86" t="str">
        <f>HYPERLINK("http://www.youtube.com/channel/UC7Dg-uPxILqD_10CuPzQyCw")</f>
        <v>http://www.youtube.com/channel/UC7Dg-uPxILqD_10CuPzQyCw</v>
      </c>
      <c r="U298" s="81"/>
      <c r="V298" s="81" t="s">
        <v>2318</v>
      </c>
      <c r="W298" s="86" t="str">
        <f>HYPERLINK("https://www.youtube.com/watch?v=4gDOjS0xRAQ")</f>
        <v>https://www.youtube.com/watch?v=4gDOjS0xRAQ</v>
      </c>
      <c r="X298" s="81" t="s">
        <v>2349</v>
      </c>
      <c r="Y298" s="81">
        <v>1</v>
      </c>
      <c r="Z298" s="88">
        <v>43932.510625</v>
      </c>
      <c r="AA298" s="88">
        <v>43932.510625</v>
      </c>
      <c r="AB298" s="81"/>
      <c r="AC298" s="81"/>
      <c r="AD298" s="84" t="s">
        <v>2390</v>
      </c>
      <c r="AE298" s="82">
        <v>2</v>
      </c>
      <c r="AF298" s="83" t="str">
        <f>REPLACE(INDEX(GroupVertices[Group],MATCH(Edges[[#This Row],[Vertex 1]],GroupVertices[Vertex],0)),1,1,"")</f>
        <v>7</v>
      </c>
      <c r="AG298" s="83" t="str">
        <f>REPLACE(INDEX(GroupVertices[Group],MATCH(Edges[[#This Row],[Vertex 2]],GroupVertices[Vertex],0)),1,1,"")</f>
        <v>7</v>
      </c>
      <c r="AH298" s="111">
        <v>0</v>
      </c>
      <c r="AI298" s="112">
        <v>0</v>
      </c>
      <c r="AJ298" s="111">
        <v>0</v>
      </c>
      <c r="AK298" s="112">
        <v>0</v>
      </c>
      <c r="AL298" s="111">
        <v>0</v>
      </c>
      <c r="AM298" s="112">
        <v>0</v>
      </c>
      <c r="AN298" s="111">
        <v>2</v>
      </c>
      <c r="AO298" s="112">
        <v>100</v>
      </c>
      <c r="AP298" s="111">
        <v>2</v>
      </c>
    </row>
    <row r="299" spans="1:42" ht="15">
      <c r="A299" s="65" t="s">
        <v>453</v>
      </c>
      <c r="B299" s="65" t="s">
        <v>455</v>
      </c>
      <c r="C299" s="66" t="s">
        <v>4613</v>
      </c>
      <c r="D299" s="67">
        <v>10</v>
      </c>
      <c r="E299" s="68"/>
      <c r="F299" s="69">
        <v>15</v>
      </c>
      <c r="G299" s="66"/>
      <c r="H299" s="70"/>
      <c r="I299" s="71"/>
      <c r="J299" s="71"/>
      <c r="K299" s="35" t="s">
        <v>65</v>
      </c>
      <c r="L299" s="79">
        <v>299</v>
      </c>
      <c r="M299" s="79"/>
      <c r="N299" s="73"/>
      <c r="O299" s="81" t="s">
        <v>844</v>
      </c>
      <c r="P299" s="81" t="s">
        <v>199</v>
      </c>
      <c r="Q299" s="84" t="s">
        <v>1131</v>
      </c>
      <c r="R299" s="81" t="s">
        <v>453</v>
      </c>
      <c r="S299" s="81" t="s">
        <v>1812</v>
      </c>
      <c r="T299" s="86" t="str">
        <f>HYPERLINK("http://www.youtube.com/channel/UC7Dg-uPxILqD_10CuPzQyCw")</f>
        <v>http://www.youtube.com/channel/UC7Dg-uPxILqD_10CuPzQyCw</v>
      </c>
      <c r="U299" s="81"/>
      <c r="V299" s="81" t="s">
        <v>2318</v>
      </c>
      <c r="W299" s="86" t="str">
        <f>HYPERLINK("https://www.youtube.com/watch?v=4gDOjS0xRAQ")</f>
        <v>https://www.youtube.com/watch?v=4gDOjS0xRAQ</v>
      </c>
      <c r="X299" s="81" t="s">
        <v>2349</v>
      </c>
      <c r="Y299" s="81">
        <v>2</v>
      </c>
      <c r="Z299" s="88">
        <v>43932.51467592592</v>
      </c>
      <c r="AA299" s="88">
        <v>43932.51467592592</v>
      </c>
      <c r="AB299" s="81"/>
      <c r="AC299" s="81"/>
      <c r="AD299" s="84" t="s">
        <v>2390</v>
      </c>
      <c r="AE299" s="82">
        <v>2</v>
      </c>
      <c r="AF299" s="83" t="str">
        <f>REPLACE(INDEX(GroupVertices[Group],MATCH(Edges[[#This Row],[Vertex 1]],GroupVertices[Vertex],0)),1,1,"")</f>
        <v>7</v>
      </c>
      <c r="AG299" s="83" t="str">
        <f>REPLACE(INDEX(GroupVertices[Group],MATCH(Edges[[#This Row],[Vertex 2]],GroupVertices[Vertex],0)),1,1,"")</f>
        <v>7</v>
      </c>
      <c r="AH299" s="111">
        <v>0</v>
      </c>
      <c r="AI299" s="112">
        <v>0</v>
      </c>
      <c r="AJ299" s="111">
        <v>0</v>
      </c>
      <c r="AK299" s="112">
        <v>0</v>
      </c>
      <c r="AL299" s="111">
        <v>0</v>
      </c>
      <c r="AM299" s="112">
        <v>0</v>
      </c>
      <c r="AN299" s="111">
        <v>12</v>
      </c>
      <c r="AO299" s="112">
        <v>100</v>
      </c>
      <c r="AP299" s="111">
        <v>12</v>
      </c>
    </row>
    <row r="300" spans="1:42" ht="15">
      <c r="A300" s="65" t="s">
        <v>454</v>
      </c>
      <c r="B300" s="65" t="s">
        <v>456</v>
      </c>
      <c r="C300" s="66" t="s">
        <v>4651</v>
      </c>
      <c r="D300" s="67">
        <v>3</v>
      </c>
      <c r="E300" s="68"/>
      <c r="F300" s="69">
        <v>40</v>
      </c>
      <c r="G300" s="66"/>
      <c r="H300" s="70"/>
      <c r="I300" s="71"/>
      <c r="J300" s="71"/>
      <c r="K300" s="35" t="s">
        <v>65</v>
      </c>
      <c r="L300" s="79">
        <v>300</v>
      </c>
      <c r="M300" s="79"/>
      <c r="N300" s="73"/>
      <c r="O300" s="81" t="s">
        <v>845</v>
      </c>
      <c r="P300" s="81" t="s">
        <v>847</v>
      </c>
      <c r="Q300" s="84" t="s">
        <v>1132</v>
      </c>
      <c r="R300" s="81" t="s">
        <v>454</v>
      </c>
      <c r="S300" s="81" t="s">
        <v>1813</v>
      </c>
      <c r="T300" s="86" t="str">
        <f>HYPERLINK("http://www.youtube.com/channel/UCK7RRG51B5BR-oMcsoIVtJQ")</f>
        <v>http://www.youtube.com/channel/UCK7RRG51B5BR-oMcsoIVtJQ</v>
      </c>
      <c r="U300" s="81" t="s">
        <v>2226</v>
      </c>
      <c r="V300" s="81" t="s">
        <v>2318</v>
      </c>
      <c r="W300" s="86" t="str">
        <f>HYPERLINK("https://www.youtube.com/watch?v=4gDOjS0xRAQ")</f>
        <v>https://www.youtube.com/watch?v=4gDOjS0xRAQ</v>
      </c>
      <c r="X300" s="81" t="s">
        <v>2349</v>
      </c>
      <c r="Y300" s="81">
        <v>0</v>
      </c>
      <c r="Z300" s="88">
        <v>43932.576736111114</v>
      </c>
      <c r="AA300" s="88">
        <v>43932.576736111114</v>
      </c>
      <c r="AB300" s="81"/>
      <c r="AC300" s="81"/>
      <c r="AD300" s="84" t="s">
        <v>2390</v>
      </c>
      <c r="AE300" s="82">
        <v>1</v>
      </c>
      <c r="AF300" s="83" t="str">
        <f>REPLACE(INDEX(GroupVertices[Group],MATCH(Edges[[#This Row],[Vertex 1]],GroupVertices[Vertex],0)),1,1,"")</f>
        <v>7</v>
      </c>
      <c r="AG300" s="83" t="str">
        <f>REPLACE(INDEX(GroupVertices[Group],MATCH(Edges[[#This Row],[Vertex 2]],GroupVertices[Vertex],0)),1,1,"")</f>
        <v>7</v>
      </c>
      <c r="AH300" s="111">
        <v>0</v>
      </c>
      <c r="AI300" s="112">
        <v>0</v>
      </c>
      <c r="AJ300" s="111">
        <v>0</v>
      </c>
      <c r="AK300" s="112">
        <v>0</v>
      </c>
      <c r="AL300" s="111">
        <v>0</v>
      </c>
      <c r="AM300" s="112">
        <v>0</v>
      </c>
      <c r="AN300" s="111">
        <v>2</v>
      </c>
      <c r="AO300" s="112">
        <v>100</v>
      </c>
      <c r="AP300" s="111">
        <v>2</v>
      </c>
    </row>
    <row r="301" spans="1:42" ht="15">
      <c r="A301" s="65" t="s">
        <v>455</v>
      </c>
      <c r="B301" s="65" t="s">
        <v>456</v>
      </c>
      <c r="C301" s="66" t="s">
        <v>4651</v>
      </c>
      <c r="D301" s="67">
        <v>3</v>
      </c>
      <c r="E301" s="68"/>
      <c r="F301" s="69">
        <v>40</v>
      </c>
      <c r="G301" s="66"/>
      <c r="H301" s="70"/>
      <c r="I301" s="71"/>
      <c r="J301" s="71"/>
      <c r="K301" s="35" t="s">
        <v>66</v>
      </c>
      <c r="L301" s="79">
        <v>301</v>
      </c>
      <c r="M301" s="79"/>
      <c r="N301" s="73"/>
      <c r="O301" s="81" t="s">
        <v>845</v>
      </c>
      <c r="P301" s="81" t="s">
        <v>847</v>
      </c>
      <c r="Q301" s="84" t="s">
        <v>1133</v>
      </c>
      <c r="R301" s="81" t="s">
        <v>455</v>
      </c>
      <c r="S301" s="81" t="s">
        <v>1814</v>
      </c>
      <c r="T301" s="86" t="str">
        <f>HYPERLINK("http://www.youtube.com/channel/UCIujpQDjxt8TLzSMzuXAjjw")</f>
        <v>http://www.youtube.com/channel/UCIujpQDjxt8TLzSMzuXAjjw</v>
      </c>
      <c r="U301" s="81" t="s">
        <v>2226</v>
      </c>
      <c r="V301" s="81" t="s">
        <v>2318</v>
      </c>
      <c r="W301" s="86" t="str">
        <f>HYPERLINK("https://www.youtube.com/watch?v=4gDOjS0xRAQ")</f>
        <v>https://www.youtube.com/watch?v=4gDOjS0xRAQ</v>
      </c>
      <c r="X301" s="81" t="s">
        <v>2349</v>
      </c>
      <c r="Y301" s="81">
        <v>0</v>
      </c>
      <c r="Z301" s="88">
        <v>43932.895902777775</v>
      </c>
      <c r="AA301" s="88">
        <v>43932.895902777775</v>
      </c>
      <c r="AB301" s="81" t="s">
        <v>2368</v>
      </c>
      <c r="AC301" s="81" t="s">
        <v>2386</v>
      </c>
      <c r="AD301" s="84" t="s">
        <v>2390</v>
      </c>
      <c r="AE301" s="82">
        <v>1</v>
      </c>
      <c r="AF301" s="83" t="str">
        <f>REPLACE(INDEX(GroupVertices[Group],MATCH(Edges[[#This Row],[Vertex 1]],GroupVertices[Vertex],0)),1,1,"")</f>
        <v>7</v>
      </c>
      <c r="AG301" s="83" t="str">
        <f>REPLACE(INDEX(GroupVertices[Group],MATCH(Edges[[#This Row],[Vertex 2]],GroupVertices[Vertex],0)),1,1,"")</f>
        <v>7</v>
      </c>
      <c r="AH301" s="111">
        <v>1</v>
      </c>
      <c r="AI301" s="112">
        <v>1.0309278350515463</v>
      </c>
      <c r="AJ301" s="111">
        <v>1</v>
      </c>
      <c r="AK301" s="112">
        <v>1.0309278350515463</v>
      </c>
      <c r="AL301" s="111">
        <v>0</v>
      </c>
      <c r="AM301" s="112">
        <v>0</v>
      </c>
      <c r="AN301" s="111">
        <v>95</v>
      </c>
      <c r="AO301" s="112">
        <v>97.9381443298969</v>
      </c>
      <c r="AP301" s="111">
        <v>97</v>
      </c>
    </row>
    <row r="302" spans="1:42" ht="15">
      <c r="A302" s="65" t="s">
        <v>456</v>
      </c>
      <c r="B302" s="65" t="s">
        <v>455</v>
      </c>
      <c r="C302" s="66" t="s">
        <v>4651</v>
      </c>
      <c r="D302" s="67">
        <v>3</v>
      </c>
      <c r="E302" s="68"/>
      <c r="F302" s="69">
        <v>40</v>
      </c>
      <c r="G302" s="66"/>
      <c r="H302" s="70"/>
      <c r="I302" s="71"/>
      <c r="J302" s="71"/>
      <c r="K302" s="35" t="s">
        <v>66</v>
      </c>
      <c r="L302" s="79">
        <v>302</v>
      </c>
      <c r="M302" s="79"/>
      <c r="N302" s="73"/>
      <c r="O302" s="81" t="s">
        <v>844</v>
      </c>
      <c r="P302" s="81" t="s">
        <v>199</v>
      </c>
      <c r="Q302" s="84" t="s">
        <v>1134</v>
      </c>
      <c r="R302" s="81" t="s">
        <v>456</v>
      </c>
      <c r="S302" s="81" t="s">
        <v>1815</v>
      </c>
      <c r="T302" s="86" t="str">
        <f>HYPERLINK("http://www.youtube.com/channel/UC4IiAFu3l6cfMMeJIU2TjzQ")</f>
        <v>http://www.youtube.com/channel/UC4IiAFu3l6cfMMeJIU2TjzQ</v>
      </c>
      <c r="U302" s="81"/>
      <c r="V302" s="81" t="s">
        <v>2318</v>
      </c>
      <c r="W302" s="86" t="str">
        <f>HYPERLINK("https://www.youtube.com/watch?v=4gDOjS0xRAQ")</f>
        <v>https://www.youtube.com/watch?v=4gDOjS0xRAQ</v>
      </c>
      <c r="X302" s="81" t="s">
        <v>2349</v>
      </c>
      <c r="Y302" s="81">
        <v>2</v>
      </c>
      <c r="Z302" s="88">
        <v>43932.52321759259</v>
      </c>
      <c r="AA302" s="88">
        <v>43932.52321759259</v>
      </c>
      <c r="AB302" s="81"/>
      <c r="AC302" s="81"/>
      <c r="AD302" s="84" t="s">
        <v>2390</v>
      </c>
      <c r="AE302" s="82">
        <v>1</v>
      </c>
      <c r="AF302" s="83" t="str">
        <f>REPLACE(INDEX(GroupVertices[Group],MATCH(Edges[[#This Row],[Vertex 1]],GroupVertices[Vertex],0)),1,1,"")</f>
        <v>7</v>
      </c>
      <c r="AG302" s="83" t="str">
        <f>REPLACE(INDEX(GroupVertices[Group],MATCH(Edges[[#This Row],[Vertex 2]],GroupVertices[Vertex],0)),1,1,"")</f>
        <v>7</v>
      </c>
      <c r="AH302" s="111">
        <v>0</v>
      </c>
      <c r="AI302" s="112">
        <v>0</v>
      </c>
      <c r="AJ302" s="111">
        <v>0</v>
      </c>
      <c r="AK302" s="112">
        <v>0</v>
      </c>
      <c r="AL302" s="111">
        <v>0</v>
      </c>
      <c r="AM302" s="112">
        <v>0</v>
      </c>
      <c r="AN302" s="111">
        <v>12</v>
      </c>
      <c r="AO302" s="112">
        <v>100</v>
      </c>
      <c r="AP302" s="111">
        <v>12</v>
      </c>
    </row>
    <row r="303" spans="1:42" ht="15">
      <c r="A303" s="65" t="s">
        <v>457</v>
      </c>
      <c r="B303" s="65" t="s">
        <v>455</v>
      </c>
      <c r="C303" s="66" t="s">
        <v>4651</v>
      </c>
      <c r="D303" s="67">
        <v>3</v>
      </c>
      <c r="E303" s="68"/>
      <c r="F303" s="69">
        <v>40</v>
      </c>
      <c r="G303" s="66"/>
      <c r="H303" s="70"/>
      <c r="I303" s="71"/>
      <c r="J303" s="71"/>
      <c r="K303" s="35" t="s">
        <v>65</v>
      </c>
      <c r="L303" s="79">
        <v>303</v>
      </c>
      <c r="M303" s="79"/>
      <c r="N303" s="73"/>
      <c r="O303" s="81" t="s">
        <v>844</v>
      </c>
      <c r="P303" s="81" t="s">
        <v>199</v>
      </c>
      <c r="Q303" s="84" t="s">
        <v>1135</v>
      </c>
      <c r="R303" s="81" t="s">
        <v>457</v>
      </c>
      <c r="S303" s="81" t="s">
        <v>1816</v>
      </c>
      <c r="T303" s="86" t="str">
        <f>HYPERLINK("http://www.youtube.com/channel/UCVS6ZFwdDcrSBNkpaTw8sYw")</f>
        <v>http://www.youtube.com/channel/UCVS6ZFwdDcrSBNkpaTw8sYw</v>
      </c>
      <c r="U303" s="81"/>
      <c r="V303" s="81" t="s">
        <v>2318</v>
      </c>
      <c r="W303" s="86" t="str">
        <f>HYPERLINK("https://www.youtube.com/watch?v=4gDOjS0xRAQ")</f>
        <v>https://www.youtube.com/watch?v=4gDOjS0xRAQ</v>
      </c>
      <c r="X303" s="81" t="s">
        <v>2349</v>
      </c>
      <c r="Y303" s="81">
        <v>1</v>
      </c>
      <c r="Z303" s="88">
        <v>43932.55605324074</v>
      </c>
      <c r="AA303" s="88">
        <v>43932.55605324074</v>
      </c>
      <c r="AB303" s="81"/>
      <c r="AC303" s="81"/>
      <c r="AD303" s="84" t="s">
        <v>2390</v>
      </c>
      <c r="AE303" s="82">
        <v>1</v>
      </c>
      <c r="AF303" s="83" t="str">
        <f>REPLACE(INDEX(GroupVertices[Group],MATCH(Edges[[#This Row],[Vertex 1]],GroupVertices[Vertex],0)),1,1,"")</f>
        <v>7</v>
      </c>
      <c r="AG303" s="83" t="str">
        <f>REPLACE(INDEX(GroupVertices[Group],MATCH(Edges[[#This Row],[Vertex 2]],GroupVertices[Vertex],0)),1,1,"")</f>
        <v>7</v>
      </c>
      <c r="AH303" s="111">
        <v>0</v>
      </c>
      <c r="AI303" s="112">
        <v>0</v>
      </c>
      <c r="AJ303" s="111">
        <v>0</v>
      </c>
      <c r="AK303" s="112">
        <v>0</v>
      </c>
      <c r="AL303" s="111">
        <v>0</v>
      </c>
      <c r="AM303" s="112">
        <v>0</v>
      </c>
      <c r="AN303" s="111">
        <v>2</v>
      </c>
      <c r="AO303" s="112">
        <v>100</v>
      </c>
      <c r="AP303" s="111">
        <v>2</v>
      </c>
    </row>
    <row r="304" spans="1:42" ht="15">
      <c r="A304" s="65" t="s">
        <v>458</v>
      </c>
      <c r="B304" s="65" t="s">
        <v>455</v>
      </c>
      <c r="C304" s="66" t="s">
        <v>4651</v>
      </c>
      <c r="D304" s="67">
        <v>3</v>
      </c>
      <c r="E304" s="68"/>
      <c r="F304" s="69">
        <v>40</v>
      </c>
      <c r="G304" s="66"/>
      <c r="H304" s="70"/>
      <c r="I304" s="71"/>
      <c r="J304" s="71"/>
      <c r="K304" s="35" t="s">
        <v>65</v>
      </c>
      <c r="L304" s="79">
        <v>304</v>
      </c>
      <c r="M304" s="79"/>
      <c r="N304" s="73"/>
      <c r="O304" s="81" t="s">
        <v>844</v>
      </c>
      <c r="P304" s="81" t="s">
        <v>199</v>
      </c>
      <c r="Q304" s="84" t="s">
        <v>882</v>
      </c>
      <c r="R304" s="81" t="s">
        <v>458</v>
      </c>
      <c r="S304" s="81" t="s">
        <v>1817</v>
      </c>
      <c r="T304" s="86" t="str">
        <f>HYPERLINK("http://www.youtube.com/channel/UC7gf4_Jvu_tlYUwoQHXHJjA")</f>
        <v>http://www.youtube.com/channel/UC7gf4_Jvu_tlYUwoQHXHJjA</v>
      </c>
      <c r="U304" s="81"/>
      <c r="V304" s="81" t="s">
        <v>2318</v>
      </c>
      <c r="W304" s="86" t="str">
        <f>HYPERLINK("https://www.youtube.com/watch?v=4gDOjS0xRAQ")</f>
        <v>https://www.youtube.com/watch?v=4gDOjS0xRAQ</v>
      </c>
      <c r="X304" s="81" t="s">
        <v>2349</v>
      </c>
      <c r="Y304" s="81">
        <v>1</v>
      </c>
      <c r="Z304" s="88">
        <v>43932.55635416666</v>
      </c>
      <c r="AA304" s="88">
        <v>43932.55635416666</v>
      </c>
      <c r="AB304" s="81"/>
      <c r="AC304" s="81"/>
      <c r="AD304" s="84" t="s">
        <v>2390</v>
      </c>
      <c r="AE304" s="82">
        <v>1</v>
      </c>
      <c r="AF304" s="83" t="str">
        <f>REPLACE(INDEX(GroupVertices[Group],MATCH(Edges[[#This Row],[Vertex 1]],GroupVertices[Vertex],0)),1,1,"")</f>
        <v>7</v>
      </c>
      <c r="AG304" s="83" t="str">
        <f>REPLACE(INDEX(GroupVertices[Group],MATCH(Edges[[#This Row],[Vertex 2]],GroupVertices[Vertex],0)),1,1,"")</f>
        <v>7</v>
      </c>
      <c r="AH304" s="111">
        <v>0</v>
      </c>
      <c r="AI304" s="112">
        <v>0</v>
      </c>
      <c r="AJ304" s="111">
        <v>0</v>
      </c>
      <c r="AK304" s="112">
        <v>0</v>
      </c>
      <c r="AL304" s="111">
        <v>0</v>
      </c>
      <c r="AM304" s="112">
        <v>0</v>
      </c>
      <c r="AN304" s="111">
        <v>2</v>
      </c>
      <c r="AO304" s="112">
        <v>100</v>
      </c>
      <c r="AP304" s="111">
        <v>2</v>
      </c>
    </row>
    <row r="305" spans="1:42" ht="15">
      <c r="A305" s="65" t="s">
        <v>459</v>
      </c>
      <c r="B305" s="65" t="s">
        <v>455</v>
      </c>
      <c r="C305" s="66" t="s">
        <v>4651</v>
      </c>
      <c r="D305" s="67">
        <v>3</v>
      </c>
      <c r="E305" s="68"/>
      <c r="F305" s="69">
        <v>40</v>
      </c>
      <c r="G305" s="66"/>
      <c r="H305" s="70"/>
      <c r="I305" s="71"/>
      <c r="J305" s="71"/>
      <c r="K305" s="35" t="s">
        <v>65</v>
      </c>
      <c r="L305" s="79">
        <v>305</v>
      </c>
      <c r="M305" s="79"/>
      <c r="N305" s="73"/>
      <c r="O305" s="81" t="s">
        <v>844</v>
      </c>
      <c r="P305" s="81" t="s">
        <v>199</v>
      </c>
      <c r="Q305" s="84" t="s">
        <v>1136</v>
      </c>
      <c r="R305" s="81" t="s">
        <v>459</v>
      </c>
      <c r="S305" s="81" t="s">
        <v>1818</v>
      </c>
      <c r="T305" s="86" t="str">
        <f>HYPERLINK("http://www.youtube.com/channel/UCqiBrHNTtizRMCUevmvfouw")</f>
        <v>http://www.youtube.com/channel/UCqiBrHNTtizRMCUevmvfouw</v>
      </c>
      <c r="U305" s="81"/>
      <c r="V305" s="81" t="s">
        <v>2318</v>
      </c>
      <c r="W305" s="86" t="str">
        <f>HYPERLINK("https://www.youtube.com/watch?v=4gDOjS0xRAQ")</f>
        <v>https://www.youtube.com/watch?v=4gDOjS0xRAQ</v>
      </c>
      <c r="X305" s="81" t="s">
        <v>2349</v>
      </c>
      <c r="Y305" s="81">
        <v>1</v>
      </c>
      <c r="Z305" s="88">
        <v>43932.556875</v>
      </c>
      <c r="AA305" s="88">
        <v>43932.556875</v>
      </c>
      <c r="AB305" s="81"/>
      <c r="AC305" s="81"/>
      <c r="AD305" s="84" t="s">
        <v>2390</v>
      </c>
      <c r="AE305" s="82">
        <v>1</v>
      </c>
      <c r="AF305" s="83" t="str">
        <f>REPLACE(INDEX(GroupVertices[Group],MATCH(Edges[[#This Row],[Vertex 1]],GroupVertices[Vertex],0)),1,1,"")</f>
        <v>7</v>
      </c>
      <c r="AG305" s="83" t="str">
        <f>REPLACE(INDEX(GroupVertices[Group],MATCH(Edges[[#This Row],[Vertex 2]],GroupVertices[Vertex],0)),1,1,"")</f>
        <v>7</v>
      </c>
      <c r="AH305" s="111">
        <v>0</v>
      </c>
      <c r="AI305" s="112">
        <v>0</v>
      </c>
      <c r="AJ305" s="111">
        <v>0</v>
      </c>
      <c r="AK305" s="112">
        <v>0</v>
      </c>
      <c r="AL305" s="111">
        <v>0</v>
      </c>
      <c r="AM305" s="112">
        <v>0</v>
      </c>
      <c r="AN305" s="111">
        <v>7</v>
      </c>
      <c r="AO305" s="112">
        <v>100</v>
      </c>
      <c r="AP305" s="111">
        <v>7</v>
      </c>
    </row>
    <row r="306" spans="1:42" ht="15">
      <c r="A306" s="65" t="s">
        <v>460</v>
      </c>
      <c r="B306" s="65" t="s">
        <v>455</v>
      </c>
      <c r="C306" s="66" t="s">
        <v>4651</v>
      </c>
      <c r="D306" s="67">
        <v>3</v>
      </c>
      <c r="E306" s="68"/>
      <c r="F306" s="69">
        <v>40</v>
      </c>
      <c r="G306" s="66"/>
      <c r="H306" s="70"/>
      <c r="I306" s="71"/>
      <c r="J306" s="71"/>
      <c r="K306" s="35" t="s">
        <v>65</v>
      </c>
      <c r="L306" s="79">
        <v>306</v>
      </c>
      <c r="M306" s="79"/>
      <c r="N306" s="73"/>
      <c r="O306" s="81" t="s">
        <v>844</v>
      </c>
      <c r="P306" s="81" t="s">
        <v>199</v>
      </c>
      <c r="Q306" s="84" t="s">
        <v>1137</v>
      </c>
      <c r="R306" s="81" t="s">
        <v>460</v>
      </c>
      <c r="S306" s="81" t="s">
        <v>1819</v>
      </c>
      <c r="T306" s="86" t="str">
        <f>HYPERLINK("http://www.youtube.com/channel/UCAlZ6G359QGDKenPlmFZMXg")</f>
        <v>http://www.youtube.com/channel/UCAlZ6G359QGDKenPlmFZMXg</v>
      </c>
      <c r="U306" s="81"/>
      <c r="V306" s="81" t="s">
        <v>2318</v>
      </c>
      <c r="W306" s="86" t="str">
        <f>HYPERLINK("https://www.youtube.com/watch?v=4gDOjS0xRAQ")</f>
        <v>https://www.youtube.com/watch?v=4gDOjS0xRAQ</v>
      </c>
      <c r="X306" s="81" t="s">
        <v>2349</v>
      </c>
      <c r="Y306" s="81">
        <v>1</v>
      </c>
      <c r="Z306" s="88">
        <v>43932.59717592593</v>
      </c>
      <c r="AA306" s="88">
        <v>43932.75508101852</v>
      </c>
      <c r="AB306" s="81"/>
      <c r="AC306" s="81"/>
      <c r="AD306" s="84" t="s">
        <v>2390</v>
      </c>
      <c r="AE306" s="82">
        <v>1</v>
      </c>
      <c r="AF306" s="83" t="str">
        <f>REPLACE(INDEX(GroupVertices[Group],MATCH(Edges[[#This Row],[Vertex 1]],GroupVertices[Vertex],0)),1,1,"")</f>
        <v>7</v>
      </c>
      <c r="AG306" s="83" t="str">
        <f>REPLACE(INDEX(GroupVertices[Group],MATCH(Edges[[#This Row],[Vertex 2]],GroupVertices[Vertex],0)),1,1,"")</f>
        <v>7</v>
      </c>
      <c r="AH306" s="111">
        <v>0</v>
      </c>
      <c r="AI306" s="112">
        <v>0</v>
      </c>
      <c r="AJ306" s="111">
        <v>0</v>
      </c>
      <c r="AK306" s="112">
        <v>0</v>
      </c>
      <c r="AL306" s="111">
        <v>0</v>
      </c>
      <c r="AM306" s="112">
        <v>0</v>
      </c>
      <c r="AN306" s="111">
        <v>5</v>
      </c>
      <c r="AO306" s="112">
        <v>100</v>
      </c>
      <c r="AP306" s="111">
        <v>5</v>
      </c>
    </row>
    <row r="307" spans="1:42" ht="15">
      <c r="A307" s="65" t="s">
        <v>455</v>
      </c>
      <c r="B307" s="65" t="s">
        <v>461</v>
      </c>
      <c r="C307" s="66" t="s">
        <v>4651</v>
      </c>
      <c r="D307" s="67">
        <v>3</v>
      </c>
      <c r="E307" s="68"/>
      <c r="F307" s="69">
        <v>40</v>
      </c>
      <c r="G307" s="66"/>
      <c r="H307" s="70"/>
      <c r="I307" s="71"/>
      <c r="J307" s="71"/>
      <c r="K307" s="35" t="s">
        <v>66</v>
      </c>
      <c r="L307" s="79">
        <v>307</v>
      </c>
      <c r="M307" s="79"/>
      <c r="N307" s="73"/>
      <c r="O307" s="81" t="s">
        <v>845</v>
      </c>
      <c r="P307" s="81" t="s">
        <v>847</v>
      </c>
      <c r="Q307" s="84" t="s">
        <v>1138</v>
      </c>
      <c r="R307" s="81" t="s">
        <v>455</v>
      </c>
      <c r="S307" s="81" t="s">
        <v>1814</v>
      </c>
      <c r="T307" s="86" t="str">
        <f>HYPERLINK("http://www.youtube.com/channel/UCIujpQDjxt8TLzSMzuXAjjw")</f>
        <v>http://www.youtube.com/channel/UCIujpQDjxt8TLzSMzuXAjjw</v>
      </c>
      <c r="U307" s="81" t="s">
        <v>2227</v>
      </c>
      <c r="V307" s="81" t="s">
        <v>2318</v>
      </c>
      <c r="W307" s="86" t="str">
        <f>HYPERLINK("https://www.youtube.com/watch?v=4gDOjS0xRAQ")</f>
        <v>https://www.youtube.com/watch?v=4gDOjS0xRAQ</v>
      </c>
      <c r="X307" s="81" t="s">
        <v>2349</v>
      </c>
      <c r="Y307" s="81">
        <v>0</v>
      </c>
      <c r="Z307" s="88">
        <v>43932.89094907408</v>
      </c>
      <c r="AA307" s="88">
        <v>43932.89094907408</v>
      </c>
      <c r="AB307" s="81"/>
      <c r="AC307" s="81"/>
      <c r="AD307" s="84" t="s">
        <v>2390</v>
      </c>
      <c r="AE307" s="82">
        <v>1</v>
      </c>
      <c r="AF307" s="83" t="str">
        <f>REPLACE(INDEX(GroupVertices[Group],MATCH(Edges[[#This Row],[Vertex 1]],GroupVertices[Vertex],0)),1,1,"")</f>
        <v>7</v>
      </c>
      <c r="AG307" s="83" t="str">
        <f>REPLACE(INDEX(GroupVertices[Group],MATCH(Edges[[#This Row],[Vertex 2]],GroupVertices[Vertex],0)),1,1,"")</f>
        <v>7</v>
      </c>
      <c r="AH307" s="111">
        <v>1</v>
      </c>
      <c r="AI307" s="112">
        <v>6.25</v>
      </c>
      <c r="AJ307" s="111">
        <v>0</v>
      </c>
      <c r="AK307" s="112">
        <v>0</v>
      </c>
      <c r="AL307" s="111">
        <v>0</v>
      </c>
      <c r="AM307" s="112">
        <v>0</v>
      </c>
      <c r="AN307" s="111">
        <v>15</v>
      </c>
      <c r="AO307" s="112">
        <v>93.75</v>
      </c>
      <c r="AP307" s="111">
        <v>16</v>
      </c>
    </row>
    <row r="308" spans="1:42" ht="15">
      <c r="A308" s="65" t="s">
        <v>461</v>
      </c>
      <c r="B308" s="65" t="s">
        <v>455</v>
      </c>
      <c r="C308" s="66" t="s">
        <v>4651</v>
      </c>
      <c r="D308" s="67">
        <v>3</v>
      </c>
      <c r="E308" s="68"/>
      <c r="F308" s="69">
        <v>40</v>
      </c>
      <c r="G308" s="66"/>
      <c r="H308" s="70"/>
      <c r="I308" s="71"/>
      <c r="J308" s="71"/>
      <c r="K308" s="35" t="s">
        <v>66</v>
      </c>
      <c r="L308" s="79">
        <v>308</v>
      </c>
      <c r="M308" s="79"/>
      <c r="N308" s="73"/>
      <c r="O308" s="81" t="s">
        <v>844</v>
      </c>
      <c r="P308" s="81" t="s">
        <v>199</v>
      </c>
      <c r="Q308" s="84" t="s">
        <v>1139</v>
      </c>
      <c r="R308" s="81" t="s">
        <v>461</v>
      </c>
      <c r="S308" s="81" t="s">
        <v>1820</v>
      </c>
      <c r="T308" s="86" t="str">
        <f>HYPERLINK("http://www.youtube.com/channel/UC6akKqRI4KiNYpwFdOMa2lg")</f>
        <v>http://www.youtube.com/channel/UC6akKqRI4KiNYpwFdOMa2lg</v>
      </c>
      <c r="U308" s="81"/>
      <c r="V308" s="81" t="s">
        <v>2318</v>
      </c>
      <c r="W308" s="86" t="str">
        <f>HYPERLINK("https://www.youtube.com/watch?v=4gDOjS0xRAQ")</f>
        <v>https://www.youtube.com/watch?v=4gDOjS0xRAQ</v>
      </c>
      <c r="X308" s="81" t="s">
        <v>2349</v>
      </c>
      <c r="Y308" s="81">
        <v>1</v>
      </c>
      <c r="Z308" s="88">
        <v>43932.65724537037</v>
      </c>
      <c r="AA308" s="88">
        <v>43932.65724537037</v>
      </c>
      <c r="AB308" s="81"/>
      <c r="AC308" s="81"/>
      <c r="AD308" s="84" t="s">
        <v>2390</v>
      </c>
      <c r="AE308" s="82">
        <v>1</v>
      </c>
      <c r="AF308" s="83" t="str">
        <f>REPLACE(INDEX(GroupVertices[Group],MATCH(Edges[[#This Row],[Vertex 1]],GroupVertices[Vertex],0)),1,1,"")</f>
        <v>7</v>
      </c>
      <c r="AG308" s="83" t="str">
        <f>REPLACE(INDEX(GroupVertices[Group],MATCH(Edges[[#This Row],[Vertex 2]],GroupVertices[Vertex],0)),1,1,"")</f>
        <v>7</v>
      </c>
      <c r="AH308" s="111">
        <v>0</v>
      </c>
      <c r="AI308" s="112">
        <v>0</v>
      </c>
      <c r="AJ308" s="111">
        <v>1</v>
      </c>
      <c r="AK308" s="112">
        <v>6.666666666666667</v>
      </c>
      <c r="AL308" s="111">
        <v>0</v>
      </c>
      <c r="AM308" s="112">
        <v>0</v>
      </c>
      <c r="AN308" s="111">
        <v>14</v>
      </c>
      <c r="AO308" s="112">
        <v>93.33333333333333</v>
      </c>
      <c r="AP308" s="111">
        <v>15</v>
      </c>
    </row>
    <row r="309" spans="1:42" ht="15">
      <c r="A309" s="65" t="s">
        <v>455</v>
      </c>
      <c r="B309" s="65" t="s">
        <v>462</v>
      </c>
      <c r="C309" s="66" t="s">
        <v>4613</v>
      </c>
      <c r="D309" s="67">
        <v>10</v>
      </c>
      <c r="E309" s="68"/>
      <c r="F309" s="69">
        <v>15</v>
      </c>
      <c r="G309" s="66"/>
      <c r="H309" s="70"/>
      <c r="I309" s="71"/>
      <c r="J309" s="71"/>
      <c r="K309" s="35" t="s">
        <v>66</v>
      </c>
      <c r="L309" s="79">
        <v>309</v>
      </c>
      <c r="M309" s="79"/>
      <c r="N309" s="73"/>
      <c r="O309" s="81" t="s">
        <v>845</v>
      </c>
      <c r="P309" s="81" t="s">
        <v>847</v>
      </c>
      <c r="Q309" s="84" t="s">
        <v>1140</v>
      </c>
      <c r="R309" s="81" t="s">
        <v>455</v>
      </c>
      <c r="S309" s="81" t="s">
        <v>1814</v>
      </c>
      <c r="T309" s="86" t="str">
        <f>HYPERLINK("http://www.youtube.com/channel/UCIujpQDjxt8TLzSMzuXAjjw")</f>
        <v>http://www.youtube.com/channel/UCIujpQDjxt8TLzSMzuXAjjw</v>
      </c>
      <c r="U309" s="81" t="s">
        <v>2228</v>
      </c>
      <c r="V309" s="81" t="s">
        <v>2318</v>
      </c>
      <c r="W309" s="86" t="str">
        <f>HYPERLINK("https://www.youtube.com/watch?v=4gDOjS0xRAQ")</f>
        <v>https://www.youtube.com/watch?v=4gDOjS0xRAQ</v>
      </c>
      <c r="X309" s="81" t="s">
        <v>2349</v>
      </c>
      <c r="Y309" s="81">
        <v>0</v>
      </c>
      <c r="Z309" s="88">
        <v>43932.8891087963</v>
      </c>
      <c r="AA309" s="88">
        <v>43932.8891087963</v>
      </c>
      <c r="AB309" s="81"/>
      <c r="AC309" s="81"/>
      <c r="AD309" s="84" t="s">
        <v>2390</v>
      </c>
      <c r="AE309" s="82">
        <v>2</v>
      </c>
      <c r="AF309" s="83" t="str">
        <f>REPLACE(INDEX(GroupVertices[Group],MATCH(Edges[[#This Row],[Vertex 1]],GroupVertices[Vertex],0)),1,1,"")</f>
        <v>7</v>
      </c>
      <c r="AG309" s="83" t="str">
        <f>REPLACE(INDEX(GroupVertices[Group],MATCH(Edges[[#This Row],[Vertex 2]],GroupVertices[Vertex],0)),1,1,"")</f>
        <v>7</v>
      </c>
      <c r="AH309" s="111">
        <v>0</v>
      </c>
      <c r="AI309" s="112">
        <v>0</v>
      </c>
      <c r="AJ309" s="111">
        <v>0</v>
      </c>
      <c r="AK309" s="112">
        <v>0</v>
      </c>
      <c r="AL309" s="111">
        <v>0</v>
      </c>
      <c r="AM309" s="112">
        <v>0</v>
      </c>
      <c r="AN309" s="111">
        <v>3</v>
      </c>
      <c r="AO309" s="112">
        <v>100</v>
      </c>
      <c r="AP309" s="111">
        <v>3</v>
      </c>
    </row>
    <row r="310" spans="1:42" ht="15">
      <c r="A310" s="65" t="s">
        <v>462</v>
      </c>
      <c r="B310" s="65" t="s">
        <v>462</v>
      </c>
      <c r="C310" s="66" t="s">
        <v>4613</v>
      </c>
      <c r="D310" s="67">
        <v>10</v>
      </c>
      <c r="E310" s="68"/>
      <c r="F310" s="69">
        <v>15</v>
      </c>
      <c r="G310" s="66"/>
      <c r="H310" s="70"/>
      <c r="I310" s="71"/>
      <c r="J310" s="71"/>
      <c r="K310" s="35" t="s">
        <v>65</v>
      </c>
      <c r="L310" s="79">
        <v>310</v>
      </c>
      <c r="M310" s="79"/>
      <c r="N310" s="73"/>
      <c r="O310" s="81" t="s">
        <v>845</v>
      </c>
      <c r="P310" s="81" t="s">
        <v>847</v>
      </c>
      <c r="Q310" s="84" t="s">
        <v>1141</v>
      </c>
      <c r="R310" s="81" t="s">
        <v>462</v>
      </c>
      <c r="S310" s="81" t="s">
        <v>1821</v>
      </c>
      <c r="T310" s="86" t="str">
        <f>HYPERLINK("http://www.youtube.com/channel/UC4YZR11kdjGyGDHhEkXptmQ")</f>
        <v>http://www.youtube.com/channel/UC4YZR11kdjGyGDHhEkXptmQ</v>
      </c>
      <c r="U310" s="81" t="s">
        <v>2228</v>
      </c>
      <c r="V310" s="81" t="s">
        <v>2318</v>
      </c>
      <c r="W310" s="86" t="str">
        <f>HYPERLINK("https://www.youtube.com/watch?v=4gDOjS0xRAQ")</f>
        <v>https://www.youtube.com/watch?v=4gDOjS0xRAQ</v>
      </c>
      <c r="X310" s="81" t="s">
        <v>2349</v>
      </c>
      <c r="Y310" s="81">
        <v>0</v>
      </c>
      <c r="Z310" s="88">
        <v>43932.90075231482</v>
      </c>
      <c r="AA310" s="88">
        <v>43932.90075231482</v>
      </c>
      <c r="AB310" s="81"/>
      <c r="AC310" s="81"/>
      <c r="AD310" s="84" t="s">
        <v>2390</v>
      </c>
      <c r="AE310" s="82">
        <v>2</v>
      </c>
      <c r="AF310" s="83" t="str">
        <f>REPLACE(INDEX(GroupVertices[Group],MATCH(Edges[[#This Row],[Vertex 1]],GroupVertices[Vertex],0)),1,1,"")</f>
        <v>7</v>
      </c>
      <c r="AG310" s="83" t="str">
        <f>REPLACE(INDEX(GroupVertices[Group],MATCH(Edges[[#This Row],[Vertex 2]],GroupVertices[Vertex],0)),1,1,"")</f>
        <v>7</v>
      </c>
      <c r="AH310" s="111">
        <v>1</v>
      </c>
      <c r="AI310" s="112">
        <v>4.761904761904762</v>
      </c>
      <c r="AJ310" s="111">
        <v>0</v>
      </c>
      <c r="AK310" s="112">
        <v>0</v>
      </c>
      <c r="AL310" s="111">
        <v>0</v>
      </c>
      <c r="AM310" s="112">
        <v>0</v>
      </c>
      <c r="AN310" s="111">
        <v>20</v>
      </c>
      <c r="AO310" s="112">
        <v>95.23809523809524</v>
      </c>
      <c r="AP310" s="111">
        <v>21</v>
      </c>
    </row>
    <row r="311" spans="1:42" ht="15">
      <c r="A311" s="65" t="s">
        <v>455</v>
      </c>
      <c r="B311" s="65" t="s">
        <v>462</v>
      </c>
      <c r="C311" s="66" t="s">
        <v>4613</v>
      </c>
      <c r="D311" s="67">
        <v>10</v>
      </c>
      <c r="E311" s="68"/>
      <c r="F311" s="69">
        <v>15</v>
      </c>
      <c r="G311" s="66"/>
      <c r="H311" s="70"/>
      <c r="I311" s="71"/>
      <c r="J311" s="71"/>
      <c r="K311" s="35" t="s">
        <v>66</v>
      </c>
      <c r="L311" s="79">
        <v>311</v>
      </c>
      <c r="M311" s="79"/>
      <c r="N311" s="73"/>
      <c r="O311" s="81" t="s">
        <v>845</v>
      </c>
      <c r="P311" s="81" t="s">
        <v>847</v>
      </c>
      <c r="Q311" s="84" t="s">
        <v>1142</v>
      </c>
      <c r="R311" s="81" t="s">
        <v>455</v>
      </c>
      <c r="S311" s="81" t="s">
        <v>1814</v>
      </c>
      <c r="T311" s="86" t="str">
        <f>HYPERLINK("http://www.youtube.com/channel/UCIujpQDjxt8TLzSMzuXAjjw")</f>
        <v>http://www.youtube.com/channel/UCIujpQDjxt8TLzSMzuXAjjw</v>
      </c>
      <c r="U311" s="81" t="s">
        <v>2228</v>
      </c>
      <c r="V311" s="81" t="s">
        <v>2318</v>
      </c>
      <c r="W311" s="86" t="str">
        <f>HYPERLINK("https://www.youtube.com/watch?v=4gDOjS0xRAQ")</f>
        <v>https://www.youtube.com/watch?v=4gDOjS0xRAQ</v>
      </c>
      <c r="X311" s="81" t="s">
        <v>2349</v>
      </c>
      <c r="Y311" s="81">
        <v>0</v>
      </c>
      <c r="Z311" s="88">
        <v>43932.90672453704</v>
      </c>
      <c r="AA311" s="88">
        <v>43932.90672453704</v>
      </c>
      <c r="AB311" s="81"/>
      <c r="AC311" s="81"/>
      <c r="AD311" s="84" t="s">
        <v>2390</v>
      </c>
      <c r="AE311" s="82">
        <v>2</v>
      </c>
      <c r="AF311" s="83" t="str">
        <f>REPLACE(INDEX(GroupVertices[Group],MATCH(Edges[[#This Row],[Vertex 1]],GroupVertices[Vertex],0)),1,1,"")</f>
        <v>7</v>
      </c>
      <c r="AG311" s="83" t="str">
        <f>REPLACE(INDEX(GroupVertices[Group],MATCH(Edges[[#This Row],[Vertex 2]],GroupVertices[Vertex],0)),1,1,"")</f>
        <v>7</v>
      </c>
      <c r="AH311" s="111">
        <v>0</v>
      </c>
      <c r="AI311" s="112">
        <v>0</v>
      </c>
      <c r="AJ311" s="111">
        <v>0</v>
      </c>
      <c r="AK311" s="112">
        <v>0</v>
      </c>
      <c r="AL311" s="111">
        <v>0</v>
      </c>
      <c r="AM311" s="112">
        <v>0</v>
      </c>
      <c r="AN311" s="111">
        <v>4</v>
      </c>
      <c r="AO311" s="112">
        <v>100</v>
      </c>
      <c r="AP311" s="111">
        <v>4</v>
      </c>
    </row>
    <row r="312" spans="1:42" ht="15">
      <c r="A312" s="65" t="s">
        <v>462</v>
      </c>
      <c r="B312" s="65" t="s">
        <v>462</v>
      </c>
      <c r="C312" s="66" t="s">
        <v>4613</v>
      </c>
      <c r="D312" s="67">
        <v>10</v>
      </c>
      <c r="E312" s="68"/>
      <c r="F312" s="69">
        <v>15</v>
      </c>
      <c r="G312" s="66"/>
      <c r="H312" s="70"/>
      <c r="I312" s="71"/>
      <c r="J312" s="71"/>
      <c r="K312" s="35" t="s">
        <v>65</v>
      </c>
      <c r="L312" s="79">
        <v>312</v>
      </c>
      <c r="M312" s="79"/>
      <c r="N312" s="73"/>
      <c r="O312" s="81" t="s">
        <v>845</v>
      </c>
      <c r="P312" s="81" t="s">
        <v>847</v>
      </c>
      <c r="Q312" s="84" t="s">
        <v>1143</v>
      </c>
      <c r="R312" s="81" t="s">
        <v>462</v>
      </c>
      <c r="S312" s="81" t="s">
        <v>1821</v>
      </c>
      <c r="T312" s="86" t="str">
        <f>HYPERLINK("http://www.youtube.com/channel/UC4YZR11kdjGyGDHhEkXptmQ")</f>
        <v>http://www.youtube.com/channel/UC4YZR11kdjGyGDHhEkXptmQ</v>
      </c>
      <c r="U312" s="81" t="s">
        <v>2228</v>
      </c>
      <c r="V312" s="81" t="s">
        <v>2318</v>
      </c>
      <c r="W312" s="86" t="str">
        <f>HYPERLINK("https://www.youtube.com/watch?v=4gDOjS0xRAQ")</f>
        <v>https://www.youtube.com/watch?v=4gDOjS0xRAQ</v>
      </c>
      <c r="X312" s="81" t="s">
        <v>2349</v>
      </c>
      <c r="Y312" s="81">
        <v>0</v>
      </c>
      <c r="Z312" s="88">
        <v>43932.950532407405</v>
      </c>
      <c r="AA312" s="88">
        <v>43932.950532407405</v>
      </c>
      <c r="AB312" s="81"/>
      <c r="AC312" s="81"/>
      <c r="AD312" s="84" t="s">
        <v>2390</v>
      </c>
      <c r="AE312" s="82">
        <v>2</v>
      </c>
      <c r="AF312" s="83" t="str">
        <f>REPLACE(INDEX(GroupVertices[Group],MATCH(Edges[[#This Row],[Vertex 1]],GroupVertices[Vertex],0)),1,1,"")</f>
        <v>7</v>
      </c>
      <c r="AG312" s="83" t="str">
        <f>REPLACE(INDEX(GroupVertices[Group],MATCH(Edges[[#This Row],[Vertex 2]],GroupVertices[Vertex],0)),1,1,"")</f>
        <v>7</v>
      </c>
      <c r="AH312" s="111">
        <v>0</v>
      </c>
      <c r="AI312" s="112">
        <v>0</v>
      </c>
      <c r="AJ312" s="111">
        <v>0</v>
      </c>
      <c r="AK312" s="112">
        <v>0</v>
      </c>
      <c r="AL312" s="111">
        <v>0</v>
      </c>
      <c r="AM312" s="112">
        <v>0</v>
      </c>
      <c r="AN312" s="111">
        <v>7</v>
      </c>
      <c r="AO312" s="112">
        <v>100</v>
      </c>
      <c r="AP312" s="111">
        <v>7</v>
      </c>
    </row>
    <row r="313" spans="1:42" ht="15">
      <c r="A313" s="65" t="s">
        <v>462</v>
      </c>
      <c r="B313" s="65" t="s">
        <v>455</v>
      </c>
      <c r="C313" s="66" t="s">
        <v>4651</v>
      </c>
      <c r="D313" s="67">
        <v>3</v>
      </c>
      <c r="E313" s="68"/>
      <c r="F313" s="69">
        <v>40</v>
      </c>
      <c r="G313" s="66"/>
      <c r="H313" s="70"/>
      <c r="I313" s="71"/>
      <c r="J313" s="71"/>
      <c r="K313" s="35" t="s">
        <v>66</v>
      </c>
      <c r="L313" s="79">
        <v>313</v>
      </c>
      <c r="M313" s="79"/>
      <c r="N313" s="73"/>
      <c r="O313" s="81" t="s">
        <v>844</v>
      </c>
      <c r="P313" s="81" t="s">
        <v>199</v>
      </c>
      <c r="Q313" s="84" t="s">
        <v>1144</v>
      </c>
      <c r="R313" s="81" t="s">
        <v>462</v>
      </c>
      <c r="S313" s="81" t="s">
        <v>1821</v>
      </c>
      <c r="T313" s="86" t="str">
        <f>HYPERLINK("http://www.youtube.com/channel/UC4YZR11kdjGyGDHhEkXptmQ")</f>
        <v>http://www.youtube.com/channel/UC4YZR11kdjGyGDHhEkXptmQ</v>
      </c>
      <c r="U313" s="81"/>
      <c r="V313" s="81" t="s">
        <v>2318</v>
      </c>
      <c r="W313" s="86" t="str">
        <f>HYPERLINK("https://www.youtube.com/watch?v=4gDOjS0xRAQ")</f>
        <v>https://www.youtube.com/watch?v=4gDOjS0xRAQ</v>
      </c>
      <c r="X313" s="81" t="s">
        <v>2349</v>
      </c>
      <c r="Y313" s="81">
        <v>1</v>
      </c>
      <c r="Z313" s="88">
        <v>43932.686574074076</v>
      </c>
      <c r="AA313" s="88">
        <v>43932.686574074076</v>
      </c>
      <c r="AB313" s="81"/>
      <c r="AC313" s="81"/>
      <c r="AD313" s="84" t="s">
        <v>2390</v>
      </c>
      <c r="AE313" s="82">
        <v>1</v>
      </c>
      <c r="AF313" s="83" t="str">
        <f>REPLACE(INDEX(GroupVertices[Group],MATCH(Edges[[#This Row],[Vertex 1]],GroupVertices[Vertex],0)),1,1,"")</f>
        <v>7</v>
      </c>
      <c r="AG313" s="83" t="str">
        <f>REPLACE(INDEX(GroupVertices[Group],MATCH(Edges[[#This Row],[Vertex 2]],GroupVertices[Vertex],0)),1,1,"")</f>
        <v>7</v>
      </c>
      <c r="AH313" s="111">
        <v>0</v>
      </c>
      <c r="AI313" s="112">
        <v>0</v>
      </c>
      <c r="AJ313" s="111">
        <v>0</v>
      </c>
      <c r="AK313" s="112">
        <v>0</v>
      </c>
      <c r="AL313" s="111">
        <v>0</v>
      </c>
      <c r="AM313" s="112">
        <v>0</v>
      </c>
      <c r="AN313" s="111">
        <v>11</v>
      </c>
      <c r="AO313" s="112">
        <v>100</v>
      </c>
      <c r="AP313" s="111">
        <v>11</v>
      </c>
    </row>
    <row r="314" spans="1:42" ht="15">
      <c r="A314" s="65" t="s">
        <v>463</v>
      </c>
      <c r="B314" s="65" t="s">
        <v>455</v>
      </c>
      <c r="C314" s="66" t="s">
        <v>4651</v>
      </c>
      <c r="D314" s="67">
        <v>3</v>
      </c>
      <c r="E314" s="68"/>
      <c r="F314" s="69">
        <v>40</v>
      </c>
      <c r="G314" s="66"/>
      <c r="H314" s="70"/>
      <c r="I314" s="71"/>
      <c r="J314" s="71"/>
      <c r="K314" s="35" t="s">
        <v>65</v>
      </c>
      <c r="L314" s="79">
        <v>314</v>
      </c>
      <c r="M314" s="79"/>
      <c r="N314" s="73"/>
      <c r="O314" s="81" t="s">
        <v>844</v>
      </c>
      <c r="P314" s="81" t="s">
        <v>199</v>
      </c>
      <c r="Q314" s="84" t="s">
        <v>1145</v>
      </c>
      <c r="R314" s="81" t="s">
        <v>463</v>
      </c>
      <c r="S314" s="81" t="s">
        <v>1822</v>
      </c>
      <c r="T314" s="86" t="str">
        <f>HYPERLINK("http://www.youtube.com/channel/UCrmQ6-MSQwoB-yglmWm4OFA")</f>
        <v>http://www.youtube.com/channel/UCrmQ6-MSQwoB-yglmWm4OFA</v>
      </c>
      <c r="U314" s="81"/>
      <c r="V314" s="81" t="s">
        <v>2318</v>
      </c>
      <c r="W314" s="86" t="str">
        <f>HYPERLINK("https://www.youtube.com/watch?v=4gDOjS0xRAQ")</f>
        <v>https://www.youtube.com/watch?v=4gDOjS0xRAQ</v>
      </c>
      <c r="X314" s="81" t="s">
        <v>2349</v>
      </c>
      <c r="Y314" s="81">
        <v>1</v>
      </c>
      <c r="Z314" s="88">
        <v>43932.74015046296</v>
      </c>
      <c r="AA314" s="88">
        <v>43932.74015046296</v>
      </c>
      <c r="AB314" s="81"/>
      <c r="AC314" s="81"/>
      <c r="AD314" s="84" t="s">
        <v>2390</v>
      </c>
      <c r="AE314" s="82">
        <v>1</v>
      </c>
      <c r="AF314" s="83" t="str">
        <f>REPLACE(INDEX(GroupVertices[Group],MATCH(Edges[[#This Row],[Vertex 1]],GroupVertices[Vertex],0)),1,1,"")</f>
        <v>7</v>
      </c>
      <c r="AG314" s="83" t="str">
        <f>REPLACE(INDEX(GroupVertices[Group],MATCH(Edges[[#This Row],[Vertex 2]],GroupVertices[Vertex],0)),1,1,"")</f>
        <v>7</v>
      </c>
      <c r="AH314" s="111">
        <v>0</v>
      </c>
      <c r="AI314" s="112">
        <v>0</v>
      </c>
      <c r="AJ314" s="111">
        <v>0</v>
      </c>
      <c r="AK314" s="112">
        <v>0</v>
      </c>
      <c r="AL314" s="111">
        <v>0</v>
      </c>
      <c r="AM314" s="112">
        <v>0</v>
      </c>
      <c r="AN314" s="111">
        <v>3</v>
      </c>
      <c r="AO314" s="112">
        <v>100</v>
      </c>
      <c r="AP314" s="111">
        <v>3</v>
      </c>
    </row>
    <row r="315" spans="1:42" ht="15">
      <c r="A315" s="65" t="s">
        <v>464</v>
      </c>
      <c r="B315" s="65" t="s">
        <v>455</v>
      </c>
      <c r="C315" s="66" t="s">
        <v>4651</v>
      </c>
      <c r="D315" s="67">
        <v>3</v>
      </c>
      <c r="E315" s="68"/>
      <c r="F315" s="69">
        <v>40</v>
      </c>
      <c r="G315" s="66"/>
      <c r="H315" s="70"/>
      <c r="I315" s="71"/>
      <c r="J315" s="71"/>
      <c r="K315" s="35" t="s">
        <v>65</v>
      </c>
      <c r="L315" s="79">
        <v>315</v>
      </c>
      <c r="M315" s="79"/>
      <c r="N315" s="73"/>
      <c r="O315" s="81" t="s">
        <v>844</v>
      </c>
      <c r="P315" s="81" t="s">
        <v>199</v>
      </c>
      <c r="Q315" s="84" t="s">
        <v>1146</v>
      </c>
      <c r="R315" s="81" t="s">
        <v>464</v>
      </c>
      <c r="S315" s="81" t="s">
        <v>1823</v>
      </c>
      <c r="T315" s="86" t="str">
        <f>HYPERLINK("http://www.youtube.com/channel/UCGEym27HkmD-2LaPugtHCig")</f>
        <v>http://www.youtube.com/channel/UCGEym27HkmD-2LaPugtHCig</v>
      </c>
      <c r="U315" s="81"/>
      <c r="V315" s="81" t="s">
        <v>2318</v>
      </c>
      <c r="W315" s="86" t="str">
        <f>HYPERLINK("https://www.youtube.com/watch?v=4gDOjS0xRAQ")</f>
        <v>https://www.youtube.com/watch?v=4gDOjS0xRAQ</v>
      </c>
      <c r="X315" s="81" t="s">
        <v>2349</v>
      </c>
      <c r="Y315" s="81">
        <v>2</v>
      </c>
      <c r="Z315" s="88">
        <v>43932.860659722224</v>
      </c>
      <c r="AA315" s="88">
        <v>43932.860659722224</v>
      </c>
      <c r="AB315" s="81"/>
      <c r="AC315" s="81"/>
      <c r="AD315" s="84" t="s">
        <v>2390</v>
      </c>
      <c r="AE315" s="82">
        <v>1</v>
      </c>
      <c r="AF315" s="83" t="str">
        <f>REPLACE(INDEX(GroupVertices[Group],MATCH(Edges[[#This Row],[Vertex 1]],GroupVertices[Vertex],0)),1,1,"")</f>
        <v>7</v>
      </c>
      <c r="AG315" s="83" t="str">
        <f>REPLACE(INDEX(GroupVertices[Group],MATCH(Edges[[#This Row],[Vertex 2]],GroupVertices[Vertex],0)),1,1,"")</f>
        <v>7</v>
      </c>
      <c r="AH315" s="111">
        <v>1</v>
      </c>
      <c r="AI315" s="112">
        <v>33.333333333333336</v>
      </c>
      <c r="AJ315" s="111">
        <v>0</v>
      </c>
      <c r="AK315" s="112">
        <v>0</v>
      </c>
      <c r="AL315" s="111">
        <v>0</v>
      </c>
      <c r="AM315" s="112">
        <v>0</v>
      </c>
      <c r="AN315" s="111">
        <v>2</v>
      </c>
      <c r="AO315" s="112">
        <v>66.66666666666667</v>
      </c>
      <c r="AP315" s="111">
        <v>3</v>
      </c>
    </row>
    <row r="316" spans="1:42" ht="15">
      <c r="A316" s="65" t="s">
        <v>465</v>
      </c>
      <c r="B316" s="65" t="s">
        <v>455</v>
      </c>
      <c r="C316" s="66" t="s">
        <v>4651</v>
      </c>
      <c r="D316" s="67">
        <v>3</v>
      </c>
      <c r="E316" s="68"/>
      <c r="F316" s="69">
        <v>40</v>
      </c>
      <c r="G316" s="66"/>
      <c r="H316" s="70"/>
      <c r="I316" s="71"/>
      <c r="J316" s="71"/>
      <c r="K316" s="35" t="s">
        <v>65</v>
      </c>
      <c r="L316" s="79">
        <v>316</v>
      </c>
      <c r="M316" s="79"/>
      <c r="N316" s="73"/>
      <c r="O316" s="81" t="s">
        <v>844</v>
      </c>
      <c r="P316" s="81" t="s">
        <v>199</v>
      </c>
      <c r="Q316" s="84" t="s">
        <v>1147</v>
      </c>
      <c r="R316" s="81" t="s">
        <v>465</v>
      </c>
      <c r="S316" s="81" t="s">
        <v>1824</v>
      </c>
      <c r="T316" s="86" t="str">
        <f>HYPERLINK("http://www.youtube.com/channel/UCb230vB4eVv_L-0M53yNGxQ")</f>
        <v>http://www.youtube.com/channel/UCb230vB4eVv_L-0M53yNGxQ</v>
      </c>
      <c r="U316" s="81"/>
      <c r="V316" s="81" t="s">
        <v>2318</v>
      </c>
      <c r="W316" s="86" t="str">
        <f>HYPERLINK("https://www.youtube.com/watch?v=4gDOjS0xRAQ")</f>
        <v>https://www.youtube.com/watch?v=4gDOjS0xRAQ</v>
      </c>
      <c r="X316" s="81" t="s">
        <v>2349</v>
      </c>
      <c r="Y316" s="81">
        <v>1</v>
      </c>
      <c r="Z316" s="88">
        <v>43932.890439814815</v>
      </c>
      <c r="AA316" s="88">
        <v>43932.890439814815</v>
      </c>
      <c r="AB316" s="81"/>
      <c r="AC316" s="81"/>
      <c r="AD316" s="84" t="s">
        <v>2390</v>
      </c>
      <c r="AE316" s="82">
        <v>1</v>
      </c>
      <c r="AF316" s="83" t="str">
        <f>REPLACE(INDEX(GroupVertices[Group],MATCH(Edges[[#This Row],[Vertex 1]],GroupVertices[Vertex],0)),1,1,"")</f>
        <v>7</v>
      </c>
      <c r="AG316" s="83" t="str">
        <f>REPLACE(INDEX(GroupVertices[Group],MATCH(Edges[[#This Row],[Vertex 2]],GroupVertices[Vertex],0)),1,1,"")</f>
        <v>7</v>
      </c>
      <c r="AH316" s="111">
        <v>1</v>
      </c>
      <c r="AI316" s="112">
        <v>20</v>
      </c>
      <c r="AJ316" s="111">
        <v>0</v>
      </c>
      <c r="AK316" s="112">
        <v>0</v>
      </c>
      <c r="AL316" s="111">
        <v>0</v>
      </c>
      <c r="AM316" s="112">
        <v>0</v>
      </c>
      <c r="AN316" s="111">
        <v>4</v>
      </c>
      <c r="AO316" s="112">
        <v>80</v>
      </c>
      <c r="AP316" s="111">
        <v>5</v>
      </c>
    </row>
    <row r="317" spans="1:42" ht="15">
      <c r="A317" s="65" t="s">
        <v>455</v>
      </c>
      <c r="B317" s="65" t="s">
        <v>466</v>
      </c>
      <c r="C317" s="66" t="s">
        <v>4651</v>
      </c>
      <c r="D317" s="67">
        <v>3</v>
      </c>
      <c r="E317" s="68"/>
      <c r="F317" s="69">
        <v>40</v>
      </c>
      <c r="G317" s="66"/>
      <c r="H317" s="70"/>
      <c r="I317" s="71"/>
      <c r="J317" s="71"/>
      <c r="K317" s="35" t="s">
        <v>66</v>
      </c>
      <c r="L317" s="79">
        <v>317</v>
      </c>
      <c r="M317" s="79"/>
      <c r="N317" s="73"/>
      <c r="O317" s="81" t="s">
        <v>845</v>
      </c>
      <c r="P317" s="81" t="s">
        <v>847</v>
      </c>
      <c r="Q317" s="84" t="s">
        <v>1148</v>
      </c>
      <c r="R317" s="81" t="s">
        <v>455</v>
      </c>
      <c r="S317" s="81" t="s">
        <v>1814</v>
      </c>
      <c r="T317" s="86" t="str">
        <f>HYPERLINK("http://www.youtube.com/channel/UCIujpQDjxt8TLzSMzuXAjjw")</f>
        <v>http://www.youtube.com/channel/UCIujpQDjxt8TLzSMzuXAjjw</v>
      </c>
      <c r="U317" s="81" t="s">
        <v>2229</v>
      </c>
      <c r="V317" s="81" t="s">
        <v>2318</v>
      </c>
      <c r="W317" s="86" t="str">
        <f>HYPERLINK("https://www.youtube.com/watch?v=4gDOjS0xRAQ")</f>
        <v>https://www.youtube.com/watch?v=4gDOjS0xRAQ</v>
      </c>
      <c r="X317" s="81" t="s">
        <v>2349</v>
      </c>
      <c r="Y317" s="81">
        <v>0</v>
      </c>
      <c r="Z317" s="88">
        <v>43933.40023148148</v>
      </c>
      <c r="AA317" s="88">
        <v>43933.40023148148</v>
      </c>
      <c r="AB317" s="81"/>
      <c r="AC317" s="81"/>
      <c r="AD317" s="84" t="s">
        <v>2390</v>
      </c>
      <c r="AE317" s="82">
        <v>1</v>
      </c>
      <c r="AF317" s="83" t="str">
        <f>REPLACE(INDEX(GroupVertices[Group],MATCH(Edges[[#This Row],[Vertex 1]],GroupVertices[Vertex],0)),1,1,"")</f>
        <v>7</v>
      </c>
      <c r="AG317" s="83" t="str">
        <f>REPLACE(INDEX(GroupVertices[Group],MATCH(Edges[[#This Row],[Vertex 2]],GroupVertices[Vertex],0)),1,1,"")</f>
        <v>7</v>
      </c>
      <c r="AH317" s="111">
        <v>0</v>
      </c>
      <c r="AI317" s="112">
        <v>0</v>
      </c>
      <c r="AJ317" s="111">
        <v>0</v>
      </c>
      <c r="AK317" s="112">
        <v>0</v>
      </c>
      <c r="AL317" s="111">
        <v>0</v>
      </c>
      <c r="AM317" s="112">
        <v>0</v>
      </c>
      <c r="AN317" s="111">
        <v>1</v>
      </c>
      <c r="AO317" s="112">
        <v>100</v>
      </c>
      <c r="AP317" s="111">
        <v>1</v>
      </c>
    </row>
    <row r="318" spans="1:42" ht="15">
      <c r="A318" s="65" t="s">
        <v>466</v>
      </c>
      <c r="B318" s="65" t="s">
        <v>466</v>
      </c>
      <c r="C318" s="66" t="s">
        <v>4651</v>
      </c>
      <c r="D318" s="67">
        <v>3</v>
      </c>
      <c r="E318" s="68"/>
      <c r="F318" s="69">
        <v>40</v>
      </c>
      <c r="G318" s="66"/>
      <c r="H318" s="70"/>
      <c r="I318" s="71"/>
      <c r="J318" s="71"/>
      <c r="K318" s="35" t="s">
        <v>65</v>
      </c>
      <c r="L318" s="79">
        <v>318</v>
      </c>
      <c r="M318" s="79"/>
      <c r="N318" s="73"/>
      <c r="O318" s="81" t="s">
        <v>845</v>
      </c>
      <c r="P318" s="81" t="s">
        <v>847</v>
      </c>
      <c r="Q318" s="84" t="s">
        <v>1149</v>
      </c>
      <c r="R318" s="81" t="s">
        <v>466</v>
      </c>
      <c r="S318" s="81" t="s">
        <v>1825</v>
      </c>
      <c r="T318" s="86" t="str">
        <f>HYPERLINK("http://www.youtube.com/channel/UCraN_8sc6GDjLQeDT22OAFw")</f>
        <v>http://www.youtube.com/channel/UCraN_8sc6GDjLQeDT22OAFw</v>
      </c>
      <c r="U318" s="81" t="s">
        <v>2229</v>
      </c>
      <c r="V318" s="81" t="s">
        <v>2318</v>
      </c>
      <c r="W318" s="86" t="str">
        <f>HYPERLINK("https://www.youtube.com/watch?v=4gDOjS0xRAQ")</f>
        <v>https://www.youtube.com/watch?v=4gDOjS0xRAQ</v>
      </c>
      <c r="X318" s="81" t="s">
        <v>2349</v>
      </c>
      <c r="Y318" s="81">
        <v>0</v>
      </c>
      <c r="Z318" s="88">
        <v>43933.4122337963</v>
      </c>
      <c r="AA318" s="88">
        <v>43933.4122337963</v>
      </c>
      <c r="AB318" s="81"/>
      <c r="AC318" s="81"/>
      <c r="AD318" s="84" t="s">
        <v>2390</v>
      </c>
      <c r="AE318" s="82">
        <v>1</v>
      </c>
      <c r="AF318" s="83" t="str">
        <f>REPLACE(INDEX(GroupVertices[Group],MATCH(Edges[[#This Row],[Vertex 1]],GroupVertices[Vertex],0)),1,1,"")</f>
        <v>7</v>
      </c>
      <c r="AG318" s="83" t="str">
        <f>REPLACE(INDEX(GroupVertices[Group],MATCH(Edges[[#This Row],[Vertex 2]],GroupVertices[Vertex],0)),1,1,"")</f>
        <v>7</v>
      </c>
      <c r="AH318" s="111">
        <v>0</v>
      </c>
      <c r="AI318" s="112">
        <v>0</v>
      </c>
      <c r="AJ318" s="111">
        <v>0</v>
      </c>
      <c r="AK318" s="112">
        <v>0</v>
      </c>
      <c r="AL318" s="111">
        <v>0</v>
      </c>
      <c r="AM318" s="112">
        <v>0</v>
      </c>
      <c r="AN318" s="111">
        <v>4</v>
      </c>
      <c r="AO318" s="112">
        <v>100</v>
      </c>
      <c r="AP318" s="111">
        <v>4</v>
      </c>
    </row>
    <row r="319" spans="1:42" ht="15">
      <c r="A319" s="65" t="s">
        <v>466</v>
      </c>
      <c r="B319" s="65" t="s">
        <v>455</v>
      </c>
      <c r="C319" s="66" t="s">
        <v>4651</v>
      </c>
      <c r="D319" s="67">
        <v>3</v>
      </c>
      <c r="E319" s="68"/>
      <c r="F319" s="69">
        <v>40</v>
      </c>
      <c r="G319" s="66"/>
      <c r="H319" s="70"/>
      <c r="I319" s="71"/>
      <c r="J319" s="71"/>
      <c r="K319" s="35" t="s">
        <v>66</v>
      </c>
      <c r="L319" s="79">
        <v>319</v>
      </c>
      <c r="M319" s="79"/>
      <c r="N319" s="73"/>
      <c r="O319" s="81" t="s">
        <v>844</v>
      </c>
      <c r="P319" s="81" t="s">
        <v>199</v>
      </c>
      <c r="Q319" s="84" t="s">
        <v>1150</v>
      </c>
      <c r="R319" s="81" t="s">
        <v>466</v>
      </c>
      <c r="S319" s="81" t="s">
        <v>1825</v>
      </c>
      <c r="T319" s="86" t="str">
        <f>HYPERLINK("http://www.youtube.com/channel/UCraN_8sc6GDjLQeDT22OAFw")</f>
        <v>http://www.youtube.com/channel/UCraN_8sc6GDjLQeDT22OAFw</v>
      </c>
      <c r="U319" s="81"/>
      <c r="V319" s="81" t="s">
        <v>2318</v>
      </c>
      <c r="W319" s="86" t="str">
        <f>HYPERLINK("https://www.youtube.com/watch?v=4gDOjS0xRAQ")</f>
        <v>https://www.youtube.com/watch?v=4gDOjS0xRAQ</v>
      </c>
      <c r="X319" s="81" t="s">
        <v>2349</v>
      </c>
      <c r="Y319" s="81">
        <v>1</v>
      </c>
      <c r="Z319" s="88">
        <v>43933.13487268519</v>
      </c>
      <c r="AA319" s="88">
        <v>43933.13487268519</v>
      </c>
      <c r="AB319" s="81"/>
      <c r="AC319" s="81"/>
      <c r="AD319" s="84" t="s">
        <v>2390</v>
      </c>
      <c r="AE319" s="82">
        <v>1</v>
      </c>
      <c r="AF319" s="83" t="str">
        <f>REPLACE(INDEX(GroupVertices[Group],MATCH(Edges[[#This Row],[Vertex 1]],GroupVertices[Vertex],0)),1,1,"")</f>
        <v>7</v>
      </c>
      <c r="AG319" s="83" t="str">
        <f>REPLACE(INDEX(GroupVertices[Group],MATCH(Edges[[#This Row],[Vertex 2]],GroupVertices[Vertex],0)),1,1,"")</f>
        <v>7</v>
      </c>
      <c r="AH319" s="111">
        <v>0</v>
      </c>
      <c r="AI319" s="112">
        <v>0</v>
      </c>
      <c r="AJ319" s="111">
        <v>0</v>
      </c>
      <c r="AK319" s="112">
        <v>0</v>
      </c>
      <c r="AL319" s="111">
        <v>0</v>
      </c>
      <c r="AM319" s="112">
        <v>0</v>
      </c>
      <c r="AN319" s="111">
        <v>12</v>
      </c>
      <c r="AO319" s="112">
        <v>100</v>
      </c>
      <c r="AP319" s="111">
        <v>12</v>
      </c>
    </row>
    <row r="320" spans="1:42" ht="15">
      <c r="A320" s="65" t="s">
        <v>467</v>
      </c>
      <c r="B320" s="65" t="s">
        <v>455</v>
      </c>
      <c r="C320" s="66" t="s">
        <v>4651</v>
      </c>
      <c r="D320" s="67">
        <v>3</v>
      </c>
      <c r="E320" s="68"/>
      <c r="F320" s="69">
        <v>40</v>
      </c>
      <c r="G320" s="66"/>
      <c r="H320" s="70"/>
      <c r="I320" s="71"/>
      <c r="J320" s="71"/>
      <c r="K320" s="35" t="s">
        <v>65</v>
      </c>
      <c r="L320" s="79">
        <v>320</v>
      </c>
      <c r="M320" s="79"/>
      <c r="N320" s="73"/>
      <c r="O320" s="81" t="s">
        <v>844</v>
      </c>
      <c r="P320" s="81" t="s">
        <v>199</v>
      </c>
      <c r="Q320" s="84" t="s">
        <v>1151</v>
      </c>
      <c r="R320" s="81" t="s">
        <v>467</v>
      </c>
      <c r="S320" s="81" t="s">
        <v>1826</v>
      </c>
      <c r="T320" s="86" t="str">
        <f>HYPERLINK("http://www.youtube.com/channel/UCYn8uPJhCUl9uolI0hLM2Qg")</f>
        <v>http://www.youtube.com/channel/UCYn8uPJhCUl9uolI0hLM2Qg</v>
      </c>
      <c r="U320" s="81"/>
      <c r="V320" s="81" t="s">
        <v>2318</v>
      </c>
      <c r="W320" s="86" t="str">
        <f>HYPERLINK("https://www.youtube.com/watch?v=4gDOjS0xRAQ")</f>
        <v>https://www.youtube.com/watch?v=4gDOjS0xRAQ</v>
      </c>
      <c r="X320" s="81" t="s">
        <v>2349</v>
      </c>
      <c r="Y320" s="81">
        <v>2</v>
      </c>
      <c r="Z320" s="88">
        <v>43933.16137731481</v>
      </c>
      <c r="AA320" s="88">
        <v>43933.16137731481</v>
      </c>
      <c r="AB320" s="81"/>
      <c r="AC320" s="81"/>
      <c r="AD320" s="84" t="s">
        <v>2390</v>
      </c>
      <c r="AE320" s="82">
        <v>1</v>
      </c>
      <c r="AF320" s="83" t="str">
        <f>REPLACE(INDEX(GroupVertices[Group],MATCH(Edges[[#This Row],[Vertex 1]],GroupVertices[Vertex],0)),1,1,"")</f>
        <v>7</v>
      </c>
      <c r="AG320" s="83" t="str">
        <f>REPLACE(INDEX(GroupVertices[Group],MATCH(Edges[[#This Row],[Vertex 2]],GroupVertices[Vertex],0)),1,1,"")</f>
        <v>7</v>
      </c>
      <c r="AH320" s="111">
        <v>0</v>
      </c>
      <c r="AI320" s="112">
        <v>0</v>
      </c>
      <c r="AJ320" s="111">
        <v>0</v>
      </c>
      <c r="AK320" s="112">
        <v>0</v>
      </c>
      <c r="AL320" s="111">
        <v>0</v>
      </c>
      <c r="AM320" s="112">
        <v>0</v>
      </c>
      <c r="AN320" s="111">
        <v>12</v>
      </c>
      <c r="AO320" s="112">
        <v>100</v>
      </c>
      <c r="AP320" s="111">
        <v>12</v>
      </c>
    </row>
    <row r="321" spans="1:42" ht="15">
      <c r="A321" s="65" t="s">
        <v>468</v>
      </c>
      <c r="B321" s="65" t="s">
        <v>455</v>
      </c>
      <c r="C321" s="66" t="s">
        <v>4651</v>
      </c>
      <c r="D321" s="67">
        <v>3</v>
      </c>
      <c r="E321" s="68"/>
      <c r="F321" s="69">
        <v>40</v>
      </c>
      <c r="G321" s="66"/>
      <c r="H321" s="70"/>
      <c r="I321" s="71"/>
      <c r="J321" s="71"/>
      <c r="K321" s="35" t="s">
        <v>65</v>
      </c>
      <c r="L321" s="79">
        <v>321</v>
      </c>
      <c r="M321" s="79"/>
      <c r="N321" s="73"/>
      <c r="O321" s="81" t="s">
        <v>844</v>
      </c>
      <c r="P321" s="81" t="s">
        <v>199</v>
      </c>
      <c r="Q321" s="84" t="s">
        <v>1152</v>
      </c>
      <c r="R321" s="81" t="s">
        <v>468</v>
      </c>
      <c r="S321" s="81" t="s">
        <v>1827</v>
      </c>
      <c r="T321" s="86" t="str">
        <f>HYPERLINK("http://www.youtube.com/channel/UCapJ7xVlHB20PKPeJFFCeOQ")</f>
        <v>http://www.youtube.com/channel/UCapJ7xVlHB20PKPeJFFCeOQ</v>
      </c>
      <c r="U321" s="81"/>
      <c r="V321" s="81" t="s">
        <v>2318</v>
      </c>
      <c r="W321" s="86" t="str">
        <f>HYPERLINK("https://www.youtube.com/watch?v=4gDOjS0xRAQ")</f>
        <v>https://www.youtube.com/watch?v=4gDOjS0xRAQ</v>
      </c>
      <c r="X321" s="81" t="s">
        <v>2349</v>
      </c>
      <c r="Y321" s="81">
        <v>1</v>
      </c>
      <c r="Z321" s="88">
        <v>43933.37704861111</v>
      </c>
      <c r="AA321" s="88">
        <v>43933.37704861111</v>
      </c>
      <c r="AB321" s="81"/>
      <c r="AC321" s="81"/>
      <c r="AD321" s="84" t="s">
        <v>2390</v>
      </c>
      <c r="AE321" s="82">
        <v>1</v>
      </c>
      <c r="AF321" s="83" t="str">
        <f>REPLACE(INDEX(GroupVertices[Group],MATCH(Edges[[#This Row],[Vertex 1]],GroupVertices[Vertex],0)),1,1,"")</f>
        <v>7</v>
      </c>
      <c r="AG321" s="83" t="str">
        <f>REPLACE(INDEX(GroupVertices[Group],MATCH(Edges[[#This Row],[Vertex 2]],GroupVertices[Vertex],0)),1,1,"")</f>
        <v>7</v>
      </c>
      <c r="AH321" s="111">
        <v>0</v>
      </c>
      <c r="AI321" s="112">
        <v>0</v>
      </c>
      <c r="AJ321" s="111">
        <v>0</v>
      </c>
      <c r="AK321" s="112">
        <v>0</v>
      </c>
      <c r="AL321" s="111">
        <v>0</v>
      </c>
      <c r="AM321" s="112">
        <v>0</v>
      </c>
      <c r="AN321" s="111">
        <v>4</v>
      </c>
      <c r="AO321" s="112">
        <v>100</v>
      </c>
      <c r="AP321" s="111">
        <v>4</v>
      </c>
    </row>
    <row r="322" spans="1:42" ht="15">
      <c r="A322" s="65" t="s">
        <v>469</v>
      </c>
      <c r="B322" s="65" t="s">
        <v>455</v>
      </c>
      <c r="C322" s="66" t="s">
        <v>4651</v>
      </c>
      <c r="D322" s="67">
        <v>3</v>
      </c>
      <c r="E322" s="68"/>
      <c r="F322" s="69">
        <v>40</v>
      </c>
      <c r="G322" s="66"/>
      <c r="H322" s="70"/>
      <c r="I322" s="71"/>
      <c r="J322" s="71"/>
      <c r="K322" s="35" t="s">
        <v>65</v>
      </c>
      <c r="L322" s="79">
        <v>322</v>
      </c>
      <c r="M322" s="79"/>
      <c r="N322" s="73"/>
      <c r="O322" s="81" t="s">
        <v>844</v>
      </c>
      <c r="P322" s="81" t="s">
        <v>199</v>
      </c>
      <c r="Q322" s="84" t="s">
        <v>1146</v>
      </c>
      <c r="R322" s="81" t="s">
        <v>469</v>
      </c>
      <c r="S322" s="81" t="s">
        <v>1828</v>
      </c>
      <c r="T322" s="86" t="str">
        <f>HYPERLINK("http://www.youtube.com/channel/UCBL7PZewOdecU9J_-LkUefg")</f>
        <v>http://www.youtube.com/channel/UCBL7PZewOdecU9J_-LkUefg</v>
      </c>
      <c r="U322" s="81"/>
      <c r="V322" s="81" t="s">
        <v>2318</v>
      </c>
      <c r="W322" s="86" t="str">
        <f>HYPERLINK("https://www.youtube.com/watch?v=4gDOjS0xRAQ")</f>
        <v>https://www.youtube.com/watch?v=4gDOjS0xRAQ</v>
      </c>
      <c r="X322" s="81" t="s">
        <v>2349</v>
      </c>
      <c r="Y322" s="81">
        <v>1</v>
      </c>
      <c r="Z322" s="88">
        <v>43933.58274305556</v>
      </c>
      <c r="AA322" s="88">
        <v>43933.58274305556</v>
      </c>
      <c r="AB322" s="81"/>
      <c r="AC322" s="81"/>
      <c r="AD322" s="84" t="s">
        <v>2390</v>
      </c>
      <c r="AE322" s="82">
        <v>1</v>
      </c>
      <c r="AF322" s="83" t="str">
        <f>REPLACE(INDEX(GroupVertices[Group],MATCH(Edges[[#This Row],[Vertex 1]],GroupVertices[Vertex],0)),1,1,"")</f>
        <v>7</v>
      </c>
      <c r="AG322" s="83" t="str">
        <f>REPLACE(INDEX(GroupVertices[Group],MATCH(Edges[[#This Row],[Vertex 2]],GroupVertices[Vertex],0)),1,1,"")</f>
        <v>7</v>
      </c>
      <c r="AH322" s="111">
        <v>1</v>
      </c>
      <c r="AI322" s="112">
        <v>33.333333333333336</v>
      </c>
      <c r="AJ322" s="111">
        <v>0</v>
      </c>
      <c r="AK322" s="112">
        <v>0</v>
      </c>
      <c r="AL322" s="111">
        <v>0</v>
      </c>
      <c r="AM322" s="112">
        <v>0</v>
      </c>
      <c r="AN322" s="111">
        <v>2</v>
      </c>
      <c r="AO322" s="112">
        <v>66.66666666666667</v>
      </c>
      <c r="AP322" s="111">
        <v>3</v>
      </c>
    </row>
    <row r="323" spans="1:42" ht="15">
      <c r="A323" s="65" t="s">
        <v>470</v>
      </c>
      <c r="B323" s="65" t="s">
        <v>455</v>
      </c>
      <c r="C323" s="66" t="s">
        <v>4651</v>
      </c>
      <c r="D323" s="67">
        <v>3</v>
      </c>
      <c r="E323" s="68"/>
      <c r="F323" s="69">
        <v>40</v>
      </c>
      <c r="G323" s="66"/>
      <c r="H323" s="70"/>
      <c r="I323" s="71"/>
      <c r="J323" s="71"/>
      <c r="K323" s="35" t="s">
        <v>65</v>
      </c>
      <c r="L323" s="79">
        <v>323</v>
      </c>
      <c r="M323" s="79"/>
      <c r="N323" s="73"/>
      <c r="O323" s="81" t="s">
        <v>844</v>
      </c>
      <c r="P323" s="81" t="s">
        <v>199</v>
      </c>
      <c r="Q323" s="84" t="s">
        <v>1153</v>
      </c>
      <c r="R323" s="81" t="s">
        <v>470</v>
      </c>
      <c r="S323" s="81" t="s">
        <v>1829</v>
      </c>
      <c r="T323" s="86" t="str">
        <f>HYPERLINK("http://www.youtube.com/channel/UC2J5M9P0rhxNR7GHdQMBKmw")</f>
        <v>http://www.youtube.com/channel/UC2J5M9P0rhxNR7GHdQMBKmw</v>
      </c>
      <c r="U323" s="81"/>
      <c r="V323" s="81" t="s">
        <v>2318</v>
      </c>
      <c r="W323" s="86" t="str">
        <f>HYPERLINK("https://www.youtube.com/watch?v=4gDOjS0xRAQ")</f>
        <v>https://www.youtube.com/watch?v=4gDOjS0xRAQ</v>
      </c>
      <c r="X323" s="81" t="s">
        <v>2349</v>
      </c>
      <c r="Y323" s="81">
        <v>1</v>
      </c>
      <c r="Z323" s="88">
        <v>43934.58113425926</v>
      </c>
      <c r="AA323" s="88">
        <v>43934.58113425926</v>
      </c>
      <c r="AB323" s="81"/>
      <c r="AC323" s="81"/>
      <c r="AD323" s="84" t="s">
        <v>2390</v>
      </c>
      <c r="AE323" s="82">
        <v>1</v>
      </c>
      <c r="AF323" s="83" t="str">
        <f>REPLACE(INDEX(GroupVertices[Group],MATCH(Edges[[#This Row],[Vertex 1]],GroupVertices[Vertex],0)),1,1,"")</f>
        <v>7</v>
      </c>
      <c r="AG323" s="83" t="str">
        <f>REPLACE(INDEX(GroupVertices[Group],MATCH(Edges[[#This Row],[Vertex 2]],GroupVertices[Vertex],0)),1,1,"")</f>
        <v>7</v>
      </c>
      <c r="AH323" s="111">
        <v>0</v>
      </c>
      <c r="AI323" s="112">
        <v>0</v>
      </c>
      <c r="AJ323" s="111">
        <v>0</v>
      </c>
      <c r="AK323" s="112">
        <v>0</v>
      </c>
      <c r="AL323" s="111">
        <v>0</v>
      </c>
      <c r="AM323" s="112">
        <v>0</v>
      </c>
      <c r="AN323" s="111">
        <v>8</v>
      </c>
      <c r="AO323" s="112">
        <v>100</v>
      </c>
      <c r="AP323" s="111">
        <v>8</v>
      </c>
    </row>
    <row r="324" spans="1:42" ht="15">
      <c r="A324" s="65" t="s">
        <v>455</v>
      </c>
      <c r="B324" s="65" t="s">
        <v>471</v>
      </c>
      <c r="C324" s="66" t="s">
        <v>4651</v>
      </c>
      <c r="D324" s="67">
        <v>3</v>
      </c>
      <c r="E324" s="68"/>
      <c r="F324" s="69">
        <v>40</v>
      </c>
      <c r="G324" s="66"/>
      <c r="H324" s="70"/>
      <c r="I324" s="71"/>
      <c r="J324" s="71"/>
      <c r="K324" s="35" t="s">
        <v>66</v>
      </c>
      <c r="L324" s="79">
        <v>324</v>
      </c>
      <c r="M324" s="79"/>
      <c r="N324" s="73"/>
      <c r="O324" s="81" t="s">
        <v>845</v>
      </c>
      <c r="P324" s="81" t="s">
        <v>847</v>
      </c>
      <c r="Q324" s="84" t="s">
        <v>1154</v>
      </c>
      <c r="R324" s="81" t="s">
        <v>455</v>
      </c>
      <c r="S324" s="81" t="s">
        <v>1814</v>
      </c>
      <c r="T324" s="86" t="str">
        <f>HYPERLINK("http://www.youtube.com/channel/UCIujpQDjxt8TLzSMzuXAjjw")</f>
        <v>http://www.youtube.com/channel/UCIujpQDjxt8TLzSMzuXAjjw</v>
      </c>
      <c r="U324" s="81" t="s">
        <v>2230</v>
      </c>
      <c r="V324" s="81" t="s">
        <v>2318</v>
      </c>
      <c r="W324" s="86" t="str">
        <f>HYPERLINK("https://www.youtube.com/watch?v=4gDOjS0xRAQ")</f>
        <v>https://www.youtube.com/watch?v=4gDOjS0xRAQ</v>
      </c>
      <c r="X324" s="81" t="s">
        <v>2349</v>
      </c>
      <c r="Y324" s="81">
        <v>1</v>
      </c>
      <c r="Z324" s="88">
        <v>43935.81366898148</v>
      </c>
      <c r="AA324" s="88">
        <v>43935.81366898148</v>
      </c>
      <c r="AB324" s="81"/>
      <c r="AC324" s="81"/>
      <c r="AD324" s="84" t="s">
        <v>2390</v>
      </c>
      <c r="AE324" s="82">
        <v>1</v>
      </c>
      <c r="AF324" s="83" t="str">
        <f>REPLACE(INDEX(GroupVertices[Group],MATCH(Edges[[#This Row],[Vertex 1]],GroupVertices[Vertex],0)),1,1,"")</f>
        <v>7</v>
      </c>
      <c r="AG324" s="83" t="str">
        <f>REPLACE(INDEX(GroupVertices[Group],MATCH(Edges[[#This Row],[Vertex 2]],GroupVertices[Vertex],0)),1,1,"")</f>
        <v>7</v>
      </c>
      <c r="AH324" s="111">
        <v>0</v>
      </c>
      <c r="AI324" s="112">
        <v>0</v>
      </c>
      <c r="AJ324" s="111">
        <v>0</v>
      </c>
      <c r="AK324" s="112">
        <v>0</v>
      </c>
      <c r="AL324" s="111">
        <v>0</v>
      </c>
      <c r="AM324" s="112">
        <v>0</v>
      </c>
      <c r="AN324" s="111">
        <v>14</v>
      </c>
      <c r="AO324" s="112">
        <v>100</v>
      </c>
      <c r="AP324" s="111">
        <v>14</v>
      </c>
    </row>
    <row r="325" spans="1:42" ht="15">
      <c r="A325" s="65" t="s">
        <v>471</v>
      </c>
      <c r="B325" s="65" t="s">
        <v>455</v>
      </c>
      <c r="C325" s="66" t="s">
        <v>4651</v>
      </c>
      <c r="D325" s="67">
        <v>3</v>
      </c>
      <c r="E325" s="68"/>
      <c r="F325" s="69">
        <v>40</v>
      </c>
      <c r="G325" s="66"/>
      <c r="H325" s="70"/>
      <c r="I325" s="71"/>
      <c r="J325" s="71"/>
      <c r="K325" s="35" t="s">
        <v>66</v>
      </c>
      <c r="L325" s="79">
        <v>325</v>
      </c>
      <c r="M325" s="79"/>
      <c r="N325" s="73"/>
      <c r="O325" s="81" t="s">
        <v>844</v>
      </c>
      <c r="P325" s="81" t="s">
        <v>199</v>
      </c>
      <c r="Q325" s="84" t="s">
        <v>1155</v>
      </c>
      <c r="R325" s="81" t="s">
        <v>471</v>
      </c>
      <c r="S325" s="81" t="s">
        <v>1830</v>
      </c>
      <c r="T325" s="86" t="str">
        <f>HYPERLINK("http://www.youtube.com/channel/UCpp0iU7fUjHMhJutFJ5hqwQ")</f>
        <v>http://www.youtube.com/channel/UCpp0iU7fUjHMhJutFJ5hqwQ</v>
      </c>
      <c r="U325" s="81"/>
      <c r="V325" s="81" t="s">
        <v>2318</v>
      </c>
      <c r="W325" s="86" t="str">
        <f>HYPERLINK("https://www.youtube.com/watch?v=4gDOjS0xRAQ")</f>
        <v>https://www.youtube.com/watch?v=4gDOjS0xRAQ</v>
      </c>
      <c r="X325" s="81" t="s">
        <v>2349</v>
      </c>
      <c r="Y325" s="81">
        <v>1</v>
      </c>
      <c r="Z325" s="88">
        <v>43935.700277777774</v>
      </c>
      <c r="AA325" s="88">
        <v>43935.700277777774</v>
      </c>
      <c r="AB325" s="81"/>
      <c r="AC325" s="81"/>
      <c r="AD325" s="84" t="s">
        <v>2390</v>
      </c>
      <c r="AE325" s="82">
        <v>1</v>
      </c>
      <c r="AF325" s="83" t="str">
        <f>REPLACE(INDEX(GroupVertices[Group],MATCH(Edges[[#This Row],[Vertex 1]],GroupVertices[Vertex],0)),1,1,"")</f>
        <v>7</v>
      </c>
      <c r="AG325" s="83" t="str">
        <f>REPLACE(INDEX(GroupVertices[Group],MATCH(Edges[[#This Row],[Vertex 2]],GroupVertices[Vertex],0)),1,1,"")</f>
        <v>7</v>
      </c>
      <c r="AH325" s="111">
        <v>0</v>
      </c>
      <c r="AI325" s="112">
        <v>0</v>
      </c>
      <c r="AJ325" s="111">
        <v>0</v>
      </c>
      <c r="AK325" s="112">
        <v>0</v>
      </c>
      <c r="AL325" s="111">
        <v>0</v>
      </c>
      <c r="AM325" s="112">
        <v>0</v>
      </c>
      <c r="AN325" s="111">
        <v>10</v>
      </c>
      <c r="AO325" s="112">
        <v>100</v>
      </c>
      <c r="AP325" s="111">
        <v>10</v>
      </c>
    </row>
    <row r="326" spans="1:42" ht="15">
      <c r="A326" s="65" t="s">
        <v>455</v>
      </c>
      <c r="B326" s="65" t="s">
        <v>472</v>
      </c>
      <c r="C326" s="66" t="s">
        <v>4651</v>
      </c>
      <c r="D326" s="67">
        <v>3</v>
      </c>
      <c r="E326" s="68"/>
      <c r="F326" s="69">
        <v>40</v>
      </c>
      <c r="G326" s="66"/>
      <c r="H326" s="70"/>
      <c r="I326" s="71"/>
      <c r="J326" s="71"/>
      <c r="K326" s="35" t="s">
        <v>66</v>
      </c>
      <c r="L326" s="79">
        <v>326</v>
      </c>
      <c r="M326" s="79"/>
      <c r="N326" s="73"/>
      <c r="O326" s="81" t="s">
        <v>845</v>
      </c>
      <c r="P326" s="81" t="s">
        <v>847</v>
      </c>
      <c r="Q326" s="84" t="s">
        <v>1156</v>
      </c>
      <c r="R326" s="81" t="s">
        <v>455</v>
      </c>
      <c r="S326" s="81" t="s">
        <v>1814</v>
      </c>
      <c r="T326" s="86" t="str">
        <f>HYPERLINK("http://www.youtube.com/channel/UCIujpQDjxt8TLzSMzuXAjjw")</f>
        <v>http://www.youtube.com/channel/UCIujpQDjxt8TLzSMzuXAjjw</v>
      </c>
      <c r="U326" s="81" t="s">
        <v>2231</v>
      </c>
      <c r="V326" s="81" t="s">
        <v>2318</v>
      </c>
      <c r="W326" s="86" t="str">
        <f>HYPERLINK("https://www.youtube.com/watch?v=4gDOjS0xRAQ")</f>
        <v>https://www.youtube.com/watch?v=4gDOjS0xRAQ</v>
      </c>
      <c r="X326" s="81" t="s">
        <v>2349</v>
      </c>
      <c r="Y326" s="81">
        <v>1</v>
      </c>
      <c r="Z326" s="88">
        <v>43944.340092592596</v>
      </c>
      <c r="AA326" s="88">
        <v>43944.340092592596</v>
      </c>
      <c r="AB326" s="81"/>
      <c r="AC326" s="81"/>
      <c r="AD326" s="84" t="s">
        <v>2390</v>
      </c>
      <c r="AE326" s="82">
        <v>1</v>
      </c>
      <c r="AF326" s="83" t="str">
        <f>REPLACE(INDEX(GroupVertices[Group],MATCH(Edges[[#This Row],[Vertex 1]],GroupVertices[Vertex],0)),1,1,"")</f>
        <v>7</v>
      </c>
      <c r="AG326" s="83" t="str">
        <f>REPLACE(INDEX(GroupVertices[Group],MATCH(Edges[[#This Row],[Vertex 2]],GroupVertices[Vertex],0)),1,1,"")</f>
        <v>7</v>
      </c>
      <c r="AH326" s="111">
        <v>0</v>
      </c>
      <c r="AI326" s="112">
        <v>0</v>
      </c>
      <c r="AJ326" s="111">
        <v>0</v>
      </c>
      <c r="AK326" s="112">
        <v>0</v>
      </c>
      <c r="AL326" s="111">
        <v>0</v>
      </c>
      <c r="AM326" s="112">
        <v>0</v>
      </c>
      <c r="AN326" s="111">
        <v>3</v>
      </c>
      <c r="AO326" s="112">
        <v>100</v>
      </c>
      <c r="AP326" s="111">
        <v>3</v>
      </c>
    </row>
    <row r="327" spans="1:42" ht="15">
      <c r="A327" s="65" t="s">
        <v>472</v>
      </c>
      <c r="B327" s="65" t="s">
        <v>455</v>
      </c>
      <c r="C327" s="66" t="s">
        <v>4651</v>
      </c>
      <c r="D327" s="67">
        <v>3</v>
      </c>
      <c r="E327" s="68"/>
      <c r="F327" s="69">
        <v>40</v>
      </c>
      <c r="G327" s="66"/>
      <c r="H327" s="70"/>
      <c r="I327" s="71"/>
      <c r="J327" s="71"/>
      <c r="K327" s="35" t="s">
        <v>66</v>
      </c>
      <c r="L327" s="79">
        <v>327</v>
      </c>
      <c r="M327" s="79"/>
      <c r="N327" s="73"/>
      <c r="O327" s="81" t="s">
        <v>844</v>
      </c>
      <c r="P327" s="81" t="s">
        <v>199</v>
      </c>
      <c r="Q327" s="84" t="s">
        <v>1157</v>
      </c>
      <c r="R327" s="81" t="s">
        <v>472</v>
      </c>
      <c r="S327" s="81" t="s">
        <v>1831</v>
      </c>
      <c r="T327" s="86" t="str">
        <f>HYPERLINK("http://www.youtube.com/channel/UCkgiLQlD4U6Hz6srDd_ULHQ")</f>
        <v>http://www.youtube.com/channel/UCkgiLQlD4U6Hz6srDd_ULHQ</v>
      </c>
      <c r="U327" s="81"/>
      <c r="V327" s="81" t="s">
        <v>2318</v>
      </c>
      <c r="W327" s="86" t="str">
        <f>HYPERLINK("https://www.youtube.com/watch?v=4gDOjS0xRAQ")</f>
        <v>https://www.youtube.com/watch?v=4gDOjS0xRAQ</v>
      </c>
      <c r="X327" s="81" t="s">
        <v>2349</v>
      </c>
      <c r="Y327" s="81">
        <v>1</v>
      </c>
      <c r="Z327" s="88">
        <v>43944.271875</v>
      </c>
      <c r="AA327" s="88">
        <v>43944.271875</v>
      </c>
      <c r="AB327" s="81"/>
      <c r="AC327" s="81"/>
      <c r="AD327" s="84" t="s">
        <v>2390</v>
      </c>
      <c r="AE327" s="82">
        <v>1</v>
      </c>
      <c r="AF327" s="83" t="str">
        <f>REPLACE(INDEX(GroupVertices[Group],MATCH(Edges[[#This Row],[Vertex 1]],GroupVertices[Vertex],0)),1,1,"")</f>
        <v>7</v>
      </c>
      <c r="AG327" s="83" t="str">
        <f>REPLACE(INDEX(GroupVertices[Group],MATCH(Edges[[#This Row],[Vertex 2]],GroupVertices[Vertex],0)),1,1,"")</f>
        <v>7</v>
      </c>
      <c r="AH327" s="111">
        <v>0</v>
      </c>
      <c r="AI327" s="112">
        <v>0</v>
      </c>
      <c r="AJ327" s="111">
        <v>0</v>
      </c>
      <c r="AK327" s="112">
        <v>0</v>
      </c>
      <c r="AL327" s="111">
        <v>0</v>
      </c>
      <c r="AM327" s="112">
        <v>0</v>
      </c>
      <c r="AN327" s="111">
        <v>9</v>
      </c>
      <c r="AO327" s="112">
        <v>100</v>
      </c>
      <c r="AP327" s="111">
        <v>9</v>
      </c>
    </row>
    <row r="328" spans="1:42" ht="15">
      <c r="A328" s="65" t="s">
        <v>473</v>
      </c>
      <c r="B328" s="65" t="s">
        <v>455</v>
      </c>
      <c r="C328" s="66" t="s">
        <v>4613</v>
      </c>
      <c r="D328" s="67">
        <v>10</v>
      </c>
      <c r="E328" s="68"/>
      <c r="F328" s="69">
        <v>15</v>
      </c>
      <c r="G328" s="66"/>
      <c r="H328" s="70"/>
      <c r="I328" s="71"/>
      <c r="J328" s="71"/>
      <c r="K328" s="35" t="s">
        <v>66</v>
      </c>
      <c r="L328" s="79">
        <v>328</v>
      </c>
      <c r="M328" s="79"/>
      <c r="N328" s="73"/>
      <c r="O328" s="81" t="s">
        <v>844</v>
      </c>
      <c r="P328" s="81" t="s">
        <v>199</v>
      </c>
      <c r="Q328" s="84" t="s">
        <v>1158</v>
      </c>
      <c r="R328" s="81" t="s">
        <v>473</v>
      </c>
      <c r="S328" s="81" t="s">
        <v>1832</v>
      </c>
      <c r="T328" s="86" t="str">
        <f>HYPERLINK("http://www.youtube.com/channel/UCosx9YdqYSNwk9N7QU_jTaA")</f>
        <v>http://www.youtube.com/channel/UCosx9YdqYSNwk9N7QU_jTaA</v>
      </c>
      <c r="U328" s="81"/>
      <c r="V328" s="81" t="s">
        <v>2318</v>
      </c>
      <c r="W328" s="86" t="str">
        <f>HYPERLINK("https://www.youtube.com/watch?v=4gDOjS0xRAQ")</f>
        <v>https://www.youtube.com/watch?v=4gDOjS0xRAQ</v>
      </c>
      <c r="X328" s="81" t="s">
        <v>2349</v>
      </c>
      <c r="Y328" s="81">
        <v>1</v>
      </c>
      <c r="Z328" s="88">
        <v>43947.722280092596</v>
      </c>
      <c r="AA328" s="88">
        <v>43947.722280092596</v>
      </c>
      <c r="AB328" s="81"/>
      <c r="AC328" s="81"/>
      <c r="AD328" s="84" t="s">
        <v>2390</v>
      </c>
      <c r="AE328" s="82">
        <v>2</v>
      </c>
      <c r="AF328" s="83" t="str">
        <f>REPLACE(INDEX(GroupVertices[Group],MATCH(Edges[[#This Row],[Vertex 1]],GroupVertices[Vertex],0)),1,1,"")</f>
        <v>7</v>
      </c>
      <c r="AG328" s="83" t="str">
        <f>REPLACE(INDEX(GroupVertices[Group],MATCH(Edges[[#This Row],[Vertex 2]],GroupVertices[Vertex],0)),1,1,"")</f>
        <v>7</v>
      </c>
      <c r="AH328" s="111">
        <v>0</v>
      </c>
      <c r="AI328" s="112">
        <v>0</v>
      </c>
      <c r="AJ328" s="111">
        <v>0</v>
      </c>
      <c r="AK328" s="112">
        <v>0</v>
      </c>
      <c r="AL328" s="111">
        <v>0</v>
      </c>
      <c r="AM328" s="112">
        <v>0</v>
      </c>
      <c r="AN328" s="111">
        <v>2</v>
      </c>
      <c r="AO328" s="112">
        <v>100</v>
      </c>
      <c r="AP328" s="111">
        <v>2</v>
      </c>
    </row>
    <row r="329" spans="1:42" ht="15">
      <c r="A329" s="65" t="s">
        <v>455</v>
      </c>
      <c r="B329" s="65" t="s">
        <v>473</v>
      </c>
      <c r="C329" s="66" t="s">
        <v>4651</v>
      </c>
      <c r="D329" s="67">
        <v>3</v>
      </c>
      <c r="E329" s="68"/>
      <c r="F329" s="69">
        <v>40</v>
      </c>
      <c r="G329" s="66"/>
      <c r="H329" s="70"/>
      <c r="I329" s="71"/>
      <c r="J329" s="71"/>
      <c r="K329" s="35" t="s">
        <v>66</v>
      </c>
      <c r="L329" s="79">
        <v>329</v>
      </c>
      <c r="M329" s="79"/>
      <c r="N329" s="73"/>
      <c r="O329" s="81" t="s">
        <v>845</v>
      </c>
      <c r="P329" s="81" t="s">
        <v>847</v>
      </c>
      <c r="Q329" s="84" t="s">
        <v>1159</v>
      </c>
      <c r="R329" s="81" t="s">
        <v>455</v>
      </c>
      <c r="S329" s="81" t="s">
        <v>1814</v>
      </c>
      <c r="T329" s="86" t="str">
        <f>HYPERLINK("http://www.youtube.com/channel/UCIujpQDjxt8TLzSMzuXAjjw")</f>
        <v>http://www.youtube.com/channel/UCIujpQDjxt8TLzSMzuXAjjw</v>
      </c>
      <c r="U329" s="81" t="s">
        <v>2232</v>
      </c>
      <c r="V329" s="81" t="s">
        <v>2318</v>
      </c>
      <c r="W329" s="86" t="str">
        <f>HYPERLINK("https://www.youtube.com/watch?v=4gDOjS0xRAQ")</f>
        <v>https://www.youtube.com/watch?v=4gDOjS0xRAQ</v>
      </c>
      <c r="X329" s="81" t="s">
        <v>2349</v>
      </c>
      <c r="Y329" s="81">
        <v>0</v>
      </c>
      <c r="Z329" s="88">
        <v>43947.829247685186</v>
      </c>
      <c r="AA329" s="88">
        <v>43947.829247685186</v>
      </c>
      <c r="AB329" s="81"/>
      <c r="AC329" s="81"/>
      <c r="AD329" s="84" t="s">
        <v>2390</v>
      </c>
      <c r="AE329" s="82">
        <v>1</v>
      </c>
      <c r="AF329" s="83" t="str">
        <f>REPLACE(INDEX(GroupVertices[Group],MATCH(Edges[[#This Row],[Vertex 1]],GroupVertices[Vertex],0)),1,1,"")</f>
        <v>7</v>
      </c>
      <c r="AG329" s="83" t="str">
        <f>REPLACE(INDEX(GroupVertices[Group],MATCH(Edges[[#This Row],[Vertex 2]],GroupVertices[Vertex],0)),1,1,"")</f>
        <v>7</v>
      </c>
      <c r="AH329" s="111">
        <v>0</v>
      </c>
      <c r="AI329" s="112">
        <v>0</v>
      </c>
      <c r="AJ329" s="111">
        <v>0</v>
      </c>
      <c r="AK329" s="112">
        <v>0</v>
      </c>
      <c r="AL329" s="111">
        <v>0</v>
      </c>
      <c r="AM329" s="112">
        <v>0</v>
      </c>
      <c r="AN329" s="111">
        <v>1</v>
      </c>
      <c r="AO329" s="112">
        <v>100</v>
      </c>
      <c r="AP329" s="111">
        <v>1</v>
      </c>
    </row>
    <row r="330" spans="1:42" ht="15">
      <c r="A330" s="65" t="s">
        <v>473</v>
      </c>
      <c r="B330" s="65" t="s">
        <v>473</v>
      </c>
      <c r="C330" s="66" t="s">
        <v>4651</v>
      </c>
      <c r="D330" s="67">
        <v>3</v>
      </c>
      <c r="E330" s="68"/>
      <c r="F330" s="69">
        <v>40</v>
      </c>
      <c r="G330" s="66"/>
      <c r="H330" s="70"/>
      <c r="I330" s="71"/>
      <c r="J330" s="71"/>
      <c r="K330" s="35" t="s">
        <v>65</v>
      </c>
      <c r="L330" s="79">
        <v>330</v>
      </c>
      <c r="M330" s="79"/>
      <c r="N330" s="73"/>
      <c r="O330" s="81" t="s">
        <v>845</v>
      </c>
      <c r="P330" s="81" t="s">
        <v>847</v>
      </c>
      <c r="Q330" s="84" t="s">
        <v>1160</v>
      </c>
      <c r="R330" s="81" t="s">
        <v>473</v>
      </c>
      <c r="S330" s="81" t="s">
        <v>1832</v>
      </c>
      <c r="T330" s="86" t="str">
        <f>HYPERLINK("http://www.youtube.com/channel/UCosx9YdqYSNwk9N7QU_jTaA")</f>
        <v>http://www.youtube.com/channel/UCosx9YdqYSNwk9N7QU_jTaA</v>
      </c>
      <c r="U330" s="81" t="s">
        <v>2232</v>
      </c>
      <c r="V330" s="81" t="s">
        <v>2318</v>
      </c>
      <c r="W330" s="86" t="str">
        <f>HYPERLINK("https://www.youtube.com/watch?v=4gDOjS0xRAQ")</f>
        <v>https://www.youtube.com/watch?v=4gDOjS0xRAQ</v>
      </c>
      <c r="X330" s="81" t="s">
        <v>2349</v>
      </c>
      <c r="Y330" s="81">
        <v>0</v>
      </c>
      <c r="Z330" s="88">
        <v>43947.831145833334</v>
      </c>
      <c r="AA330" s="88">
        <v>43947.831145833334</v>
      </c>
      <c r="AB330" s="81"/>
      <c r="AC330" s="81"/>
      <c r="AD330" s="84" t="s">
        <v>2390</v>
      </c>
      <c r="AE330" s="82">
        <v>1</v>
      </c>
      <c r="AF330" s="83" t="str">
        <f>REPLACE(INDEX(GroupVertices[Group],MATCH(Edges[[#This Row],[Vertex 1]],GroupVertices[Vertex],0)),1,1,"")</f>
        <v>7</v>
      </c>
      <c r="AG330" s="83" t="str">
        <f>REPLACE(INDEX(GroupVertices[Group],MATCH(Edges[[#This Row],[Vertex 2]],GroupVertices[Vertex],0)),1,1,"")</f>
        <v>7</v>
      </c>
      <c r="AH330" s="111">
        <v>0</v>
      </c>
      <c r="AI330" s="112">
        <v>0</v>
      </c>
      <c r="AJ330" s="111">
        <v>0</v>
      </c>
      <c r="AK330" s="112">
        <v>0</v>
      </c>
      <c r="AL330" s="111">
        <v>0</v>
      </c>
      <c r="AM330" s="112">
        <v>0</v>
      </c>
      <c r="AN330" s="111">
        <v>4</v>
      </c>
      <c r="AO330" s="112">
        <v>100</v>
      </c>
      <c r="AP330" s="111">
        <v>4</v>
      </c>
    </row>
    <row r="331" spans="1:42" ht="15">
      <c r="A331" s="65" t="s">
        <v>473</v>
      </c>
      <c r="B331" s="65" t="s">
        <v>455</v>
      </c>
      <c r="C331" s="66" t="s">
        <v>4613</v>
      </c>
      <c r="D331" s="67">
        <v>10</v>
      </c>
      <c r="E331" s="68"/>
      <c r="F331" s="69">
        <v>15</v>
      </c>
      <c r="G331" s="66"/>
      <c r="H331" s="70"/>
      <c r="I331" s="71"/>
      <c r="J331" s="71"/>
      <c r="K331" s="35" t="s">
        <v>66</v>
      </c>
      <c r="L331" s="79">
        <v>331</v>
      </c>
      <c r="M331" s="79"/>
      <c r="N331" s="73"/>
      <c r="O331" s="81" t="s">
        <v>844</v>
      </c>
      <c r="P331" s="81" t="s">
        <v>199</v>
      </c>
      <c r="Q331" s="84" t="s">
        <v>1161</v>
      </c>
      <c r="R331" s="81" t="s">
        <v>473</v>
      </c>
      <c r="S331" s="81" t="s">
        <v>1832</v>
      </c>
      <c r="T331" s="86" t="str">
        <f>HYPERLINK("http://www.youtube.com/channel/UCosx9YdqYSNwk9N7QU_jTaA")</f>
        <v>http://www.youtube.com/channel/UCosx9YdqYSNwk9N7QU_jTaA</v>
      </c>
      <c r="U331" s="81"/>
      <c r="V331" s="81" t="s">
        <v>2318</v>
      </c>
      <c r="W331" s="86" t="str">
        <f>HYPERLINK("https://www.youtube.com/watch?v=4gDOjS0xRAQ")</f>
        <v>https://www.youtube.com/watch?v=4gDOjS0xRAQ</v>
      </c>
      <c r="X331" s="81" t="s">
        <v>2349</v>
      </c>
      <c r="Y331" s="81">
        <v>1</v>
      </c>
      <c r="Z331" s="88">
        <v>43947.74269675926</v>
      </c>
      <c r="AA331" s="88">
        <v>43947.74269675926</v>
      </c>
      <c r="AB331" s="81"/>
      <c r="AC331" s="81"/>
      <c r="AD331" s="84" t="s">
        <v>2390</v>
      </c>
      <c r="AE331" s="82">
        <v>2</v>
      </c>
      <c r="AF331" s="83" t="str">
        <f>REPLACE(INDEX(GroupVertices[Group],MATCH(Edges[[#This Row],[Vertex 1]],GroupVertices[Vertex],0)),1,1,"")</f>
        <v>7</v>
      </c>
      <c r="AG331" s="83" t="str">
        <f>REPLACE(INDEX(GroupVertices[Group],MATCH(Edges[[#This Row],[Vertex 2]],GroupVertices[Vertex],0)),1,1,"")</f>
        <v>7</v>
      </c>
      <c r="AH331" s="111">
        <v>1</v>
      </c>
      <c r="AI331" s="112">
        <v>5</v>
      </c>
      <c r="AJ331" s="111">
        <v>0</v>
      </c>
      <c r="AK331" s="112">
        <v>0</v>
      </c>
      <c r="AL331" s="111">
        <v>0</v>
      </c>
      <c r="AM331" s="112">
        <v>0</v>
      </c>
      <c r="AN331" s="111">
        <v>19</v>
      </c>
      <c r="AO331" s="112">
        <v>95</v>
      </c>
      <c r="AP331" s="111">
        <v>20</v>
      </c>
    </row>
    <row r="332" spans="1:42" ht="15">
      <c r="A332" s="65" t="s">
        <v>474</v>
      </c>
      <c r="B332" s="65" t="s">
        <v>455</v>
      </c>
      <c r="C332" s="66" t="s">
        <v>4651</v>
      </c>
      <c r="D332" s="67">
        <v>3</v>
      </c>
      <c r="E332" s="68"/>
      <c r="F332" s="69">
        <v>40</v>
      </c>
      <c r="G332" s="66"/>
      <c r="H332" s="70"/>
      <c r="I332" s="71"/>
      <c r="J332" s="71"/>
      <c r="K332" s="35" t="s">
        <v>65</v>
      </c>
      <c r="L332" s="79">
        <v>332</v>
      </c>
      <c r="M332" s="79"/>
      <c r="N332" s="73"/>
      <c r="O332" s="81" t="s">
        <v>844</v>
      </c>
      <c r="P332" s="81" t="s">
        <v>199</v>
      </c>
      <c r="Q332" s="84" t="s">
        <v>1162</v>
      </c>
      <c r="R332" s="81" t="s">
        <v>474</v>
      </c>
      <c r="S332" s="81" t="s">
        <v>1833</v>
      </c>
      <c r="T332" s="86" t="str">
        <f>HYPERLINK("http://www.youtube.com/channel/UC-jkgnXBbcyl-ltsL2wQvFQ")</f>
        <v>http://www.youtube.com/channel/UC-jkgnXBbcyl-ltsL2wQvFQ</v>
      </c>
      <c r="U332" s="81"/>
      <c r="V332" s="81" t="s">
        <v>2318</v>
      </c>
      <c r="W332" s="86" t="str">
        <f>HYPERLINK("https://www.youtube.com/watch?v=4gDOjS0xRAQ")</f>
        <v>https://www.youtube.com/watch?v=4gDOjS0xRAQ</v>
      </c>
      <c r="X332" s="81" t="s">
        <v>2349</v>
      </c>
      <c r="Y332" s="81">
        <v>2</v>
      </c>
      <c r="Z332" s="88">
        <v>43950.384421296294</v>
      </c>
      <c r="AA332" s="88">
        <v>43950.384421296294</v>
      </c>
      <c r="AB332" s="81"/>
      <c r="AC332" s="81"/>
      <c r="AD332" s="84" t="s">
        <v>2390</v>
      </c>
      <c r="AE332" s="82">
        <v>1</v>
      </c>
      <c r="AF332" s="83" t="str">
        <f>REPLACE(INDEX(GroupVertices[Group],MATCH(Edges[[#This Row],[Vertex 1]],GroupVertices[Vertex],0)),1,1,"")</f>
        <v>7</v>
      </c>
      <c r="AG332" s="83" t="str">
        <f>REPLACE(INDEX(GroupVertices[Group],MATCH(Edges[[#This Row],[Vertex 2]],GroupVertices[Vertex],0)),1,1,"")</f>
        <v>7</v>
      </c>
      <c r="AH332" s="111">
        <v>1</v>
      </c>
      <c r="AI332" s="112">
        <v>9.090909090909092</v>
      </c>
      <c r="AJ332" s="111">
        <v>0</v>
      </c>
      <c r="AK332" s="112">
        <v>0</v>
      </c>
      <c r="AL332" s="111">
        <v>0</v>
      </c>
      <c r="AM332" s="112">
        <v>0</v>
      </c>
      <c r="AN332" s="111">
        <v>10</v>
      </c>
      <c r="AO332" s="112">
        <v>90.9090909090909</v>
      </c>
      <c r="AP332" s="111">
        <v>11</v>
      </c>
    </row>
    <row r="333" spans="1:42" ht="15">
      <c r="A333" s="65" t="s">
        <v>455</v>
      </c>
      <c r="B333" s="65" t="s">
        <v>475</v>
      </c>
      <c r="C333" s="66" t="s">
        <v>4651</v>
      </c>
      <c r="D333" s="67">
        <v>3</v>
      </c>
      <c r="E333" s="68"/>
      <c r="F333" s="69">
        <v>40</v>
      </c>
      <c r="G333" s="66"/>
      <c r="H333" s="70"/>
      <c r="I333" s="71"/>
      <c r="J333" s="71"/>
      <c r="K333" s="35" t="s">
        <v>66</v>
      </c>
      <c r="L333" s="79">
        <v>333</v>
      </c>
      <c r="M333" s="79"/>
      <c r="N333" s="73"/>
      <c r="O333" s="81" t="s">
        <v>845</v>
      </c>
      <c r="P333" s="81" t="s">
        <v>847</v>
      </c>
      <c r="Q333" s="84" t="s">
        <v>1163</v>
      </c>
      <c r="R333" s="81" t="s">
        <v>455</v>
      </c>
      <c r="S333" s="81" t="s">
        <v>1814</v>
      </c>
      <c r="T333" s="86" t="str">
        <f>HYPERLINK("http://www.youtube.com/channel/UCIujpQDjxt8TLzSMzuXAjjw")</f>
        <v>http://www.youtube.com/channel/UCIujpQDjxt8TLzSMzuXAjjw</v>
      </c>
      <c r="U333" s="81" t="s">
        <v>2233</v>
      </c>
      <c r="V333" s="81" t="s">
        <v>2318</v>
      </c>
      <c r="W333" s="86" t="str">
        <f>HYPERLINK("https://www.youtube.com/watch?v=4gDOjS0xRAQ")</f>
        <v>https://www.youtube.com/watch?v=4gDOjS0xRAQ</v>
      </c>
      <c r="X333" s="81" t="s">
        <v>2349</v>
      </c>
      <c r="Y333" s="81">
        <v>0</v>
      </c>
      <c r="Z333" s="88">
        <v>43951.865208333336</v>
      </c>
      <c r="AA333" s="88">
        <v>43951.865208333336</v>
      </c>
      <c r="AB333" s="81"/>
      <c r="AC333" s="81"/>
      <c r="AD333" s="84" t="s">
        <v>2390</v>
      </c>
      <c r="AE333" s="82">
        <v>1</v>
      </c>
      <c r="AF333" s="83" t="str">
        <f>REPLACE(INDEX(GroupVertices[Group],MATCH(Edges[[#This Row],[Vertex 1]],GroupVertices[Vertex],0)),1,1,"")</f>
        <v>7</v>
      </c>
      <c r="AG333" s="83" t="str">
        <f>REPLACE(INDEX(GroupVertices[Group],MATCH(Edges[[#This Row],[Vertex 2]],GroupVertices[Vertex],0)),1,1,"")</f>
        <v>7</v>
      </c>
      <c r="AH333" s="111">
        <v>0</v>
      </c>
      <c r="AI333" s="112">
        <v>0</v>
      </c>
      <c r="AJ333" s="111">
        <v>0</v>
      </c>
      <c r="AK333" s="112">
        <v>0</v>
      </c>
      <c r="AL333" s="111">
        <v>0</v>
      </c>
      <c r="AM333" s="112">
        <v>0</v>
      </c>
      <c r="AN333" s="111">
        <v>9</v>
      </c>
      <c r="AO333" s="112">
        <v>100</v>
      </c>
      <c r="AP333" s="111">
        <v>9</v>
      </c>
    </row>
    <row r="334" spans="1:42" ht="15">
      <c r="A334" s="65" t="s">
        <v>475</v>
      </c>
      <c r="B334" s="65" t="s">
        <v>455</v>
      </c>
      <c r="C334" s="66" t="s">
        <v>4651</v>
      </c>
      <c r="D334" s="67">
        <v>3</v>
      </c>
      <c r="E334" s="68"/>
      <c r="F334" s="69">
        <v>40</v>
      </c>
      <c r="G334" s="66"/>
      <c r="H334" s="70"/>
      <c r="I334" s="71"/>
      <c r="J334" s="71"/>
      <c r="K334" s="35" t="s">
        <v>66</v>
      </c>
      <c r="L334" s="79">
        <v>334</v>
      </c>
      <c r="M334" s="79"/>
      <c r="N334" s="73"/>
      <c r="O334" s="81" t="s">
        <v>844</v>
      </c>
      <c r="P334" s="81" t="s">
        <v>199</v>
      </c>
      <c r="Q334" s="84" t="s">
        <v>1164</v>
      </c>
      <c r="R334" s="81" t="s">
        <v>475</v>
      </c>
      <c r="S334" s="81" t="s">
        <v>1834</v>
      </c>
      <c r="T334" s="86" t="str">
        <f>HYPERLINK("http://www.youtube.com/channel/UC4b5UQmRxkVpw80Pvt5G46w")</f>
        <v>http://www.youtube.com/channel/UC4b5UQmRxkVpw80Pvt5G46w</v>
      </c>
      <c r="U334" s="81"/>
      <c r="V334" s="81" t="s">
        <v>2318</v>
      </c>
      <c r="W334" s="86" t="str">
        <f>HYPERLINK("https://www.youtube.com/watch?v=4gDOjS0xRAQ")</f>
        <v>https://www.youtube.com/watch?v=4gDOjS0xRAQ</v>
      </c>
      <c r="X334" s="81" t="s">
        <v>2349</v>
      </c>
      <c r="Y334" s="81">
        <v>1</v>
      </c>
      <c r="Z334" s="88">
        <v>43951.74752314815</v>
      </c>
      <c r="AA334" s="88">
        <v>43951.74752314815</v>
      </c>
      <c r="AB334" s="81"/>
      <c r="AC334" s="81"/>
      <c r="AD334" s="84" t="s">
        <v>2390</v>
      </c>
      <c r="AE334" s="82">
        <v>1</v>
      </c>
      <c r="AF334" s="83" t="str">
        <f>REPLACE(INDEX(GroupVertices[Group],MATCH(Edges[[#This Row],[Vertex 1]],GroupVertices[Vertex],0)),1,1,"")</f>
        <v>7</v>
      </c>
      <c r="AG334" s="83" t="str">
        <f>REPLACE(INDEX(GroupVertices[Group],MATCH(Edges[[#This Row],[Vertex 2]],GroupVertices[Vertex],0)),1,1,"")</f>
        <v>7</v>
      </c>
      <c r="AH334" s="111">
        <v>0</v>
      </c>
      <c r="AI334" s="112">
        <v>0</v>
      </c>
      <c r="AJ334" s="111">
        <v>0</v>
      </c>
      <c r="AK334" s="112">
        <v>0</v>
      </c>
      <c r="AL334" s="111">
        <v>0</v>
      </c>
      <c r="AM334" s="112">
        <v>0</v>
      </c>
      <c r="AN334" s="111">
        <v>6</v>
      </c>
      <c r="AO334" s="112">
        <v>100</v>
      </c>
      <c r="AP334" s="111">
        <v>6</v>
      </c>
    </row>
    <row r="335" spans="1:42" ht="15">
      <c r="A335" s="65" t="s">
        <v>476</v>
      </c>
      <c r="B335" s="65" t="s">
        <v>455</v>
      </c>
      <c r="C335" s="66" t="s">
        <v>4651</v>
      </c>
      <c r="D335" s="67">
        <v>3</v>
      </c>
      <c r="E335" s="68"/>
      <c r="F335" s="69">
        <v>40</v>
      </c>
      <c r="G335" s="66"/>
      <c r="H335" s="70"/>
      <c r="I335" s="71"/>
      <c r="J335" s="71"/>
      <c r="K335" s="35" t="s">
        <v>65</v>
      </c>
      <c r="L335" s="79">
        <v>335</v>
      </c>
      <c r="M335" s="79"/>
      <c r="N335" s="73"/>
      <c r="O335" s="81" t="s">
        <v>844</v>
      </c>
      <c r="P335" s="81" t="s">
        <v>199</v>
      </c>
      <c r="Q335" s="84" t="s">
        <v>1165</v>
      </c>
      <c r="R335" s="81" t="s">
        <v>476</v>
      </c>
      <c r="S335" s="81" t="s">
        <v>1835</v>
      </c>
      <c r="T335" s="86" t="str">
        <f>HYPERLINK("http://www.youtube.com/channel/UC8Dzjd3fPgqbSNyL4U9nqoQ")</f>
        <v>http://www.youtube.com/channel/UC8Dzjd3fPgqbSNyL4U9nqoQ</v>
      </c>
      <c r="U335" s="81"/>
      <c r="V335" s="81" t="s">
        <v>2318</v>
      </c>
      <c r="W335" s="86" t="str">
        <f>HYPERLINK("https://www.youtube.com/watch?v=4gDOjS0xRAQ")</f>
        <v>https://www.youtube.com/watch?v=4gDOjS0xRAQ</v>
      </c>
      <c r="X335" s="81" t="s">
        <v>2349</v>
      </c>
      <c r="Y335" s="81">
        <v>1</v>
      </c>
      <c r="Z335" s="88">
        <v>43994.315254629626</v>
      </c>
      <c r="AA335" s="88">
        <v>43994.315254629626</v>
      </c>
      <c r="AB335" s="81"/>
      <c r="AC335" s="81"/>
      <c r="AD335" s="84" t="s">
        <v>2390</v>
      </c>
      <c r="AE335" s="82">
        <v>1</v>
      </c>
      <c r="AF335" s="83" t="str">
        <f>REPLACE(INDEX(GroupVertices[Group],MATCH(Edges[[#This Row],[Vertex 1]],GroupVertices[Vertex],0)),1,1,"")</f>
        <v>7</v>
      </c>
      <c r="AG335" s="83" t="str">
        <f>REPLACE(INDEX(GroupVertices[Group],MATCH(Edges[[#This Row],[Vertex 2]],GroupVertices[Vertex],0)),1,1,"")</f>
        <v>7</v>
      </c>
      <c r="AH335" s="111">
        <v>0</v>
      </c>
      <c r="AI335" s="112">
        <v>0</v>
      </c>
      <c r="AJ335" s="111">
        <v>0</v>
      </c>
      <c r="AK335" s="112">
        <v>0</v>
      </c>
      <c r="AL335" s="111">
        <v>0</v>
      </c>
      <c r="AM335" s="112">
        <v>0</v>
      </c>
      <c r="AN335" s="111">
        <v>7</v>
      </c>
      <c r="AO335" s="112">
        <v>100</v>
      </c>
      <c r="AP335" s="111">
        <v>7</v>
      </c>
    </row>
    <row r="336" spans="1:42" ht="15">
      <c r="A336" s="65" t="s">
        <v>477</v>
      </c>
      <c r="B336" s="65" t="s">
        <v>455</v>
      </c>
      <c r="C336" s="66" t="s">
        <v>4651</v>
      </c>
      <c r="D336" s="67">
        <v>3</v>
      </c>
      <c r="E336" s="68"/>
      <c r="F336" s="69">
        <v>40</v>
      </c>
      <c r="G336" s="66"/>
      <c r="H336" s="70"/>
      <c r="I336" s="71"/>
      <c r="J336" s="71"/>
      <c r="K336" s="35" t="s">
        <v>65</v>
      </c>
      <c r="L336" s="79">
        <v>336</v>
      </c>
      <c r="M336" s="79"/>
      <c r="N336" s="73"/>
      <c r="O336" s="81" t="s">
        <v>844</v>
      </c>
      <c r="P336" s="81" t="s">
        <v>199</v>
      </c>
      <c r="Q336" s="84" t="s">
        <v>1166</v>
      </c>
      <c r="R336" s="81" t="s">
        <v>477</v>
      </c>
      <c r="S336" s="81" t="s">
        <v>1836</v>
      </c>
      <c r="T336" s="86" t="str">
        <f>HYPERLINK("http://www.youtube.com/channel/UCB2VhTqhEoxcgWBy4mXQCwA")</f>
        <v>http://www.youtube.com/channel/UCB2VhTqhEoxcgWBy4mXQCwA</v>
      </c>
      <c r="U336" s="81"/>
      <c r="V336" s="81" t="s">
        <v>2318</v>
      </c>
      <c r="W336" s="86" t="str">
        <f>HYPERLINK("https://www.youtube.com/watch?v=4gDOjS0xRAQ")</f>
        <v>https://www.youtube.com/watch?v=4gDOjS0xRAQ</v>
      </c>
      <c r="X336" s="81" t="s">
        <v>2349</v>
      </c>
      <c r="Y336" s="81">
        <v>1</v>
      </c>
      <c r="Z336" s="88">
        <v>44014.46505787037</v>
      </c>
      <c r="AA336" s="88">
        <v>44014.46505787037</v>
      </c>
      <c r="AB336" s="81"/>
      <c r="AC336" s="81"/>
      <c r="AD336" s="84" t="s">
        <v>2390</v>
      </c>
      <c r="AE336" s="82">
        <v>1</v>
      </c>
      <c r="AF336" s="83" t="str">
        <f>REPLACE(INDEX(GroupVertices[Group],MATCH(Edges[[#This Row],[Vertex 1]],GroupVertices[Vertex],0)),1,1,"")</f>
        <v>7</v>
      </c>
      <c r="AG336" s="83" t="str">
        <f>REPLACE(INDEX(GroupVertices[Group],MATCH(Edges[[#This Row],[Vertex 2]],GroupVertices[Vertex],0)),1,1,"")</f>
        <v>7</v>
      </c>
      <c r="AH336" s="111">
        <v>1</v>
      </c>
      <c r="AI336" s="112">
        <v>100</v>
      </c>
      <c r="AJ336" s="111">
        <v>0</v>
      </c>
      <c r="AK336" s="112">
        <v>0</v>
      </c>
      <c r="AL336" s="111">
        <v>0</v>
      </c>
      <c r="AM336" s="112">
        <v>0</v>
      </c>
      <c r="AN336" s="111">
        <v>0</v>
      </c>
      <c r="AO336" s="112">
        <v>0</v>
      </c>
      <c r="AP336" s="111">
        <v>1</v>
      </c>
    </row>
    <row r="337" spans="1:42" ht="15">
      <c r="A337" s="65" t="s">
        <v>455</v>
      </c>
      <c r="B337" s="65" t="s">
        <v>478</v>
      </c>
      <c r="C337" s="66" t="s">
        <v>4651</v>
      </c>
      <c r="D337" s="67">
        <v>3</v>
      </c>
      <c r="E337" s="68"/>
      <c r="F337" s="69">
        <v>40</v>
      </c>
      <c r="G337" s="66"/>
      <c r="H337" s="70"/>
      <c r="I337" s="71"/>
      <c r="J337" s="71"/>
      <c r="K337" s="35" t="s">
        <v>66</v>
      </c>
      <c r="L337" s="79">
        <v>337</v>
      </c>
      <c r="M337" s="79"/>
      <c r="N337" s="73"/>
      <c r="O337" s="81" t="s">
        <v>845</v>
      </c>
      <c r="P337" s="81" t="s">
        <v>847</v>
      </c>
      <c r="Q337" s="84" t="s">
        <v>1167</v>
      </c>
      <c r="R337" s="81" t="s">
        <v>455</v>
      </c>
      <c r="S337" s="81" t="s">
        <v>1814</v>
      </c>
      <c r="T337" s="86" t="str">
        <f>HYPERLINK("http://www.youtube.com/channel/UCIujpQDjxt8TLzSMzuXAjjw")</f>
        <v>http://www.youtube.com/channel/UCIujpQDjxt8TLzSMzuXAjjw</v>
      </c>
      <c r="U337" s="81" t="s">
        <v>2234</v>
      </c>
      <c r="V337" s="81" t="s">
        <v>2318</v>
      </c>
      <c r="W337" s="86" t="str">
        <f>HYPERLINK("https://www.youtube.com/watch?v=4gDOjS0xRAQ")</f>
        <v>https://www.youtube.com/watch?v=4gDOjS0xRAQ</v>
      </c>
      <c r="X337" s="81" t="s">
        <v>2349</v>
      </c>
      <c r="Y337" s="81">
        <v>1</v>
      </c>
      <c r="Z337" s="88">
        <v>44016.65405092593</v>
      </c>
      <c r="AA337" s="88">
        <v>44016.65405092593</v>
      </c>
      <c r="AB337" s="81"/>
      <c r="AC337" s="81"/>
      <c r="AD337" s="84" t="s">
        <v>2390</v>
      </c>
      <c r="AE337" s="82">
        <v>1</v>
      </c>
      <c r="AF337" s="83" t="str">
        <f>REPLACE(INDEX(GroupVertices[Group],MATCH(Edges[[#This Row],[Vertex 1]],GroupVertices[Vertex],0)),1,1,"")</f>
        <v>7</v>
      </c>
      <c r="AG337" s="83" t="str">
        <f>REPLACE(INDEX(GroupVertices[Group],MATCH(Edges[[#This Row],[Vertex 2]],GroupVertices[Vertex],0)),1,1,"")</f>
        <v>7</v>
      </c>
      <c r="AH337" s="111">
        <v>0</v>
      </c>
      <c r="AI337" s="112">
        <v>0</v>
      </c>
      <c r="AJ337" s="111">
        <v>0</v>
      </c>
      <c r="AK337" s="112">
        <v>0</v>
      </c>
      <c r="AL337" s="111">
        <v>0</v>
      </c>
      <c r="AM337" s="112">
        <v>0</v>
      </c>
      <c r="AN337" s="111">
        <v>13</v>
      </c>
      <c r="AO337" s="112">
        <v>100</v>
      </c>
      <c r="AP337" s="111">
        <v>13</v>
      </c>
    </row>
    <row r="338" spans="1:42" ht="15">
      <c r="A338" s="65" t="s">
        <v>478</v>
      </c>
      <c r="B338" s="65" t="s">
        <v>455</v>
      </c>
      <c r="C338" s="66" t="s">
        <v>4651</v>
      </c>
      <c r="D338" s="67">
        <v>3</v>
      </c>
      <c r="E338" s="68"/>
      <c r="F338" s="69">
        <v>40</v>
      </c>
      <c r="G338" s="66"/>
      <c r="H338" s="70"/>
      <c r="I338" s="71"/>
      <c r="J338" s="71"/>
      <c r="K338" s="35" t="s">
        <v>66</v>
      </c>
      <c r="L338" s="79">
        <v>338</v>
      </c>
      <c r="M338" s="79"/>
      <c r="N338" s="73"/>
      <c r="O338" s="81" t="s">
        <v>844</v>
      </c>
      <c r="P338" s="81" t="s">
        <v>199</v>
      </c>
      <c r="Q338" s="84" t="s">
        <v>1168</v>
      </c>
      <c r="R338" s="81" t="s">
        <v>478</v>
      </c>
      <c r="S338" s="81" t="s">
        <v>1837</v>
      </c>
      <c r="T338" s="86" t="str">
        <f>HYPERLINK("http://www.youtube.com/channel/UCLFvswvwPxHnO35giE2ez0w")</f>
        <v>http://www.youtube.com/channel/UCLFvswvwPxHnO35giE2ez0w</v>
      </c>
      <c r="U338" s="81"/>
      <c r="V338" s="81" t="s">
        <v>2318</v>
      </c>
      <c r="W338" s="86" t="str">
        <f>HYPERLINK("https://www.youtube.com/watch?v=4gDOjS0xRAQ")</f>
        <v>https://www.youtube.com/watch?v=4gDOjS0xRAQ</v>
      </c>
      <c r="X338" s="81" t="s">
        <v>2349</v>
      </c>
      <c r="Y338" s="81">
        <v>1</v>
      </c>
      <c r="Z338" s="88">
        <v>44015.23042824074</v>
      </c>
      <c r="AA338" s="88">
        <v>44015.23042824074</v>
      </c>
      <c r="AB338" s="81"/>
      <c r="AC338" s="81"/>
      <c r="AD338" s="84" t="s">
        <v>2390</v>
      </c>
      <c r="AE338" s="82">
        <v>1</v>
      </c>
      <c r="AF338" s="83" t="str">
        <f>REPLACE(INDEX(GroupVertices[Group],MATCH(Edges[[#This Row],[Vertex 1]],GroupVertices[Vertex],0)),1,1,"")</f>
        <v>7</v>
      </c>
      <c r="AG338" s="83" t="str">
        <f>REPLACE(INDEX(GroupVertices[Group],MATCH(Edges[[#This Row],[Vertex 2]],GroupVertices[Vertex],0)),1,1,"")</f>
        <v>7</v>
      </c>
      <c r="AH338" s="111">
        <v>0</v>
      </c>
      <c r="AI338" s="112">
        <v>0</v>
      </c>
      <c r="AJ338" s="111">
        <v>0</v>
      </c>
      <c r="AK338" s="112">
        <v>0</v>
      </c>
      <c r="AL338" s="111">
        <v>0</v>
      </c>
      <c r="AM338" s="112">
        <v>0</v>
      </c>
      <c r="AN338" s="111">
        <v>27</v>
      </c>
      <c r="AO338" s="112">
        <v>100</v>
      </c>
      <c r="AP338" s="111">
        <v>27</v>
      </c>
    </row>
    <row r="339" spans="1:42" ht="15">
      <c r="A339" s="65" t="s">
        <v>479</v>
      </c>
      <c r="B339" s="65" t="s">
        <v>455</v>
      </c>
      <c r="C339" s="66" t="s">
        <v>4651</v>
      </c>
      <c r="D339" s="67">
        <v>3</v>
      </c>
      <c r="E339" s="68"/>
      <c r="F339" s="69">
        <v>40</v>
      </c>
      <c r="G339" s="66"/>
      <c r="H339" s="70"/>
      <c r="I339" s="71"/>
      <c r="J339" s="71"/>
      <c r="K339" s="35" t="s">
        <v>65</v>
      </c>
      <c r="L339" s="79">
        <v>339</v>
      </c>
      <c r="M339" s="79"/>
      <c r="N339" s="73"/>
      <c r="O339" s="81" t="s">
        <v>844</v>
      </c>
      <c r="P339" s="81" t="s">
        <v>199</v>
      </c>
      <c r="Q339" s="84" t="s">
        <v>1169</v>
      </c>
      <c r="R339" s="81" t="s">
        <v>479</v>
      </c>
      <c r="S339" s="81" t="s">
        <v>1838</v>
      </c>
      <c r="T339" s="86" t="str">
        <f>HYPERLINK("http://www.youtube.com/channel/UCcclz3LfM5N7tD6YClELfvw")</f>
        <v>http://www.youtube.com/channel/UCcclz3LfM5N7tD6YClELfvw</v>
      </c>
      <c r="U339" s="81"/>
      <c r="V339" s="81" t="s">
        <v>2318</v>
      </c>
      <c r="W339" s="86" t="str">
        <f>HYPERLINK("https://www.youtube.com/watch?v=4gDOjS0xRAQ")</f>
        <v>https://www.youtube.com/watch?v=4gDOjS0xRAQ</v>
      </c>
      <c r="X339" s="81" t="s">
        <v>2349</v>
      </c>
      <c r="Y339" s="81">
        <v>0</v>
      </c>
      <c r="Z339" s="88">
        <v>44293.8387037037</v>
      </c>
      <c r="AA339" s="88">
        <v>44293.8387037037</v>
      </c>
      <c r="AB339" s="81"/>
      <c r="AC339" s="81"/>
      <c r="AD339" s="84" t="s">
        <v>2390</v>
      </c>
      <c r="AE339" s="82">
        <v>1</v>
      </c>
      <c r="AF339" s="83" t="str">
        <f>REPLACE(INDEX(GroupVertices[Group],MATCH(Edges[[#This Row],[Vertex 1]],GroupVertices[Vertex],0)),1,1,"")</f>
        <v>7</v>
      </c>
      <c r="AG339" s="83" t="str">
        <f>REPLACE(INDEX(GroupVertices[Group],MATCH(Edges[[#This Row],[Vertex 2]],GroupVertices[Vertex],0)),1,1,"")</f>
        <v>7</v>
      </c>
      <c r="AH339" s="111">
        <v>0</v>
      </c>
      <c r="AI339" s="112">
        <v>0</v>
      </c>
      <c r="AJ339" s="111">
        <v>0</v>
      </c>
      <c r="AK339" s="112">
        <v>0</v>
      </c>
      <c r="AL339" s="111">
        <v>0</v>
      </c>
      <c r="AM339" s="112">
        <v>0</v>
      </c>
      <c r="AN339" s="111">
        <v>5</v>
      </c>
      <c r="AO339" s="112">
        <v>100</v>
      </c>
      <c r="AP339" s="111">
        <v>5</v>
      </c>
    </row>
    <row r="340" spans="1:42" ht="15">
      <c r="A340" s="65" t="s">
        <v>480</v>
      </c>
      <c r="B340" s="65" t="s">
        <v>840</v>
      </c>
      <c r="C340" s="66" t="s">
        <v>4651</v>
      </c>
      <c r="D340" s="67">
        <v>3</v>
      </c>
      <c r="E340" s="68"/>
      <c r="F340" s="69">
        <v>40</v>
      </c>
      <c r="G340" s="66"/>
      <c r="H340" s="70"/>
      <c r="I340" s="71"/>
      <c r="J340" s="71"/>
      <c r="K340" s="35" t="s">
        <v>65</v>
      </c>
      <c r="L340" s="79">
        <v>340</v>
      </c>
      <c r="M340" s="79"/>
      <c r="N340" s="73"/>
      <c r="O340" s="81" t="s">
        <v>844</v>
      </c>
      <c r="P340" s="81" t="s">
        <v>199</v>
      </c>
      <c r="Q340" s="84" t="s">
        <v>1170</v>
      </c>
      <c r="R340" s="81" t="s">
        <v>480</v>
      </c>
      <c r="S340" s="81" t="s">
        <v>1839</v>
      </c>
      <c r="T340" s="86" t="str">
        <f>HYPERLINK("http://www.youtube.com/channel/UCemdRq8VR5OiophHxaKdFfA")</f>
        <v>http://www.youtube.com/channel/UCemdRq8VR5OiophHxaKdFfA</v>
      </c>
      <c r="U340" s="81"/>
      <c r="V340" s="81" t="s">
        <v>2319</v>
      </c>
      <c r="W340" s="86" t="str">
        <f>HYPERLINK("https://www.youtube.com/watch?v=lruYVSGcxHs")</f>
        <v>https://www.youtube.com/watch?v=lruYVSGcxHs</v>
      </c>
      <c r="X340" s="81" t="s">
        <v>2349</v>
      </c>
      <c r="Y340" s="81">
        <v>0</v>
      </c>
      <c r="Z340" s="88">
        <v>43564.56423611111</v>
      </c>
      <c r="AA340" s="88">
        <v>43564.56423611111</v>
      </c>
      <c r="AB340" s="81"/>
      <c r="AC340" s="81"/>
      <c r="AD340" s="84" t="s">
        <v>2390</v>
      </c>
      <c r="AE340" s="82">
        <v>1</v>
      </c>
      <c r="AF340" s="83" t="str">
        <f>REPLACE(INDEX(GroupVertices[Group],MATCH(Edges[[#This Row],[Vertex 1]],GroupVertices[Vertex],0)),1,1,"")</f>
        <v>4</v>
      </c>
      <c r="AG340" s="83" t="str">
        <f>REPLACE(INDEX(GroupVertices[Group],MATCH(Edges[[#This Row],[Vertex 2]],GroupVertices[Vertex],0)),1,1,"")</f>
        <v>4</v>
      </c>
      <c r="AH340" s="111">
        <v>2</v>
      </c>
      <c r="AI340" s="112">
        <v>20</v>
      </c>
      <c r="AJ340" s="111">
        <v>0</v>
      </c>
      <c r="AK340" s="112">
        <v>0</v>
      </c>
      <c r="AL340" s="111">
        <v>0</v>
      </c>
      <c r="AM340" s="112">
        <v>0</v>
      </c>
      <c r="AN340" s="111">
        <v>8</v>
      </c>
      <c r="AO340" s="112">
        <v>80</v>
      </c>
      <c r="AP340" s="111">
        <v>10</v>
      </c>
    </row>
    <row r="341" spans="1:42" ht="15">
      <c r="A341" s="65" t="s">
        <v>481</v>
      </c>
      <c r="B341" s="65" t="s">
        <v>840</v>
      </c>
      <c r="C341" s="66" t="s">
        <v>4651</v>
      </c>
      <c r="D341" s="67">
        <v>3</v>
      </c>
      <c r="E341" s="68"/>
      <c r="F341" s="69">
        <v>40</v>
      </c>
      <c r="G341" s="66"/>
      <c r="H341" s="70"/>
      <c r="I341" s="71"/>
      <c r="J341" s="71"/>
      <c r="K341" s="35" t="s">
        <v>65</v>
      </c>
      <c r="L341" s="79">
        <v>341</v>
      </c>
      <c r="M341" s="79"/>
      <c r="N341" s="73"/>
      <c r="O341" s="81" t="s">
        <v>844</v>
      </c>
      <c r="P341" s="81" t="s">
        <v>199</v>
      </c>
      <c r="Q341" s="84" t="s">
        <v>914</v>
      </c>
      <c r="R341" s="81" t="s">
        <v>481</v>
      </c>
      <c r="S341" s="81" t="s">
        <v>1840</v>
      </c>
      <c r="T341" s="86" t="str">
        <f>HYPERLINK("http://www.youtube.com/channel/UChq4mVpPVEDxRxXtT-rBX1w")</f>
        <v>http://www.youtube.com/channel/UChq4mVpPVEDxRxXtT-rBX1w</v>
      </c>
      <c r="U341" s="81"/>
      <c r="V341" s="81" t="s">
        <v>2319</v>
      </c>
      <c r="W341" s="86" t="str">
        <f>HYPERLINK("https://www.youtube.com/watch?v=lruYVSGcxHs")</f>
        <v>https://www.youtube.com/watch?v=lruYVSGcxHs</v>
      </c>
      <c r="X341" s="81" t="s">
        <v>2349</v>
      </c>
      <c r="Y341" s="81">
        <v>0</v>
      </c>
      <c r="Z341" s="88">
        <v>43632.6099537037</v>
      </c>
      <c r="AA341" s="88">
        <v>43632.6099537037</v>
      </c>
      <c r="AB341" s="81"/>
      <c r="AC341" s="81"/>
      <c r="AD341" s="84" t="s">
        <v>2390</v>
      </c>
      <c r="AE341" s="82">
        <v>1</v>
      </c>
      <c r="AF341" s="83" t="str">
        <f>REPLACE(INDEX(GroupVertices[Group],MATCH(Edges[[#This Row],[Vertex 1]],GroupVertices[Vertex],0)),1,1,"")</f>
        <v>4</v>
      </c>
      <c r="AG341" s="83" t="str">
        <f>REPLACE(INDEX(GroupVertices[Group],MATCH(Edges[[#This Row],[Vertex 2]],GroupVertices[Vertex],0)),1,1,"")</f>
        <v>4</v>
      </c>
      <c r="AH341" s="111">
        <v>0</v>
      </c>
      <c r="AI341" s="112">
        <v>0</v>
      </c>
      <c r="AJ341" s="111">
        <v>0</v>
      </c>
      <c r="AK341" s="112">
        <v>0</v>
      </c>
      <c r="AL341" s="111">
        <v>0</v>
      </c>
      <c r="AM341" s="112">
        <v>0</v>
      </c>
      <c r="AN341" s="111">
        <v>1</v>
      </c>
      <c r="AO341" s="112">
        <v>100</v>
      </c>
      <c r="AP341" s="111">
        <v>1</v>
      </c>
    </row>
    <row r="342" spans="1:42" ht="15">
      <c r="A342" s="65" t="s">
        <v>482</v>
      </c>
      <c r="B342" s="65" t="s">
        <v>840</v>
      </c>
      <c r="C342" s="66" t="s">
        <v>4651</v>
      </c>
      <c r="D342" s="67">
        <v>3</v>
      </c>
      <c r="E342" s="68"/>
      <c r="F342" s="69">
        <v>40</v>
      </c>
      <c r="G342" s="66"/>
      <c r="H342" s="70"/>
      <c r="I342" s="71"/>
      <c r="J342" s="71"/>
      <c r="K342" s="35" t="s">
        <v>65</v>
      </c>
      <c r="L342" s="79">
        <v>342</v>
      </c>
      <c r="M342" s="79"/>
      <c r="N342" s="73"/>
      <c r="O342" s="81" t="s">
        <v>844</v>
      </c>
      <c r="P342" s="81" t="s">
        <v>199</v>
      </c>
      <c r="Q342" s="84" t="s">
        <v>1171</v>
      </c>
      <c r="R342" s="81" t="s">
        <v>482</v>
      </c>
      <c r="S342" s="81" t="s">
        <v>1841</v>
      </c>
      <c r="T342" s="86" t="str">
        <f>HYPERLINK("http://www.youtube.com/channel/UCQ2Lgfym1M6v50JEm5P7uJw")</f>
        <v>http://www.youtube.com/channel/UCQ2Lgfym1M6v50JEm5P7uJw</v>
      </c>
      <c r="U342" s="81"/>
      <c r="V342" s="81" t="s">
        <v>2319</v>
      </c>
      <c r="W342" s="86" t="str">
        <f>HYPERLINK("https://www.youtube.com/watch?v=lruYVSGcxHs")</f>
        <v>https://www.youtube.com/watch?v=lruYVSGcxHs</v>
      </c>
      <c r="X342" s="81" t="s">
        <v>2349</v>
      </c>
      <c r="Y342" s="81">
        <v>0</v>
      </c>
      <c r="Z342" s="88">
        <v>43805.66984953704</v>
      </c>
      <c r="AA342" s="88">
        <v>43805.66984953704</v>
      </c>
      <c r="AB342" s="81"/>
      <c r="AC342" s="81"/>
      <c r="AD342" s="84" t="s">
        <v>2390</v>
      </c>
      <c r="AE342" s="82">
        <v>1</v>
      </c>
      <c r="AF342" s="83" t="str">
        <f>REPLACE(INDEX(GroupVertices[Group],MATCH(Edges[[#This Row],[Vertex 1]],GroupVertices[Vertex],0)),1,1,"")</f>
        <v>4</v>
      </c>
      <c r="AG342" s="83" t="str">
        <f>REPLACE(INDEX(GroupVertices[Group],MATCH(Edges[[#This Row],[Vertex 2]],GroupVertices[Vertex],0)),1,1,"")</f>
        <v>4</v>
      </c>
      <c r="AH342" s="111">
        <v>3</v>
      </c>
      <c r="AI342" s="112">
        <v>60</v>
      </c>
      <c r="AJ342" s="111">
        <v>0</v>
      </c>
      <c r="AK342" s="112">
        <v>0</v>
      </c>
      <c r="AL342" s="111">
        <v>0</v>
      </c>
      <c r="AM342" s="112">
        <v>0</v>
      </c>
      <c r="AN342" s="111">
        <v>2</v>
      </c>
      <c r="AO342" s="112">
        <v>40</v>
      </c>
      <c r="AP342" s="111">
        <v>5</v>
      </c>
    </row>
    <row r="343" spans="1:42" ht="15">
      <c r="A343" s="65" t="s">
        <v>483</v>
      </c>
      <c r="B343" s="65" t="s">
        <v>840</v>
      </c>
      <c r="C343" s="66" t="s">
        <v>4651</v>
      </c>
      <c r="D343" s="67">
        <v>3</v>
      </c>
      <c r="E343" s="68"/>
      <c r="F343" s="69">
        <v>40</v>
      </c>
      <c r="G343" s="66"/>
      <c r="H343" s="70"/>
      <c r="I343" s="71"/>
      <c r="J343" s="71"/>
      <c r="K343" s="35" t="s">
        <v>65</v>
      </c>
      <c r="L343" s="79">
        <v>343</v>
      </c>
      <c r="M343" s="79"/>
      <c r="N343" s="73"/>
      <c r="O343" s="81" t="s">
        <v>844</v>
      </c>
      <c r="P343" s="81" t="s">
        <v>199</v>
      </c>
      <c r="Q343" s="84" t="s">
        <v>896</v>
      </c>
      <c r="R343" s="81" t="s">
        <v>483</v>
      </c>
      <c r="S343" s="81" t="s">
        <v>1842</v>
      </c>
      <c r="T343" s="86" t="str">
        <f>HYPERLINK("http://www.youtube.com/channel/UCS0bq3n9kirVOTorva8UKJg")</f>
        <v>http://www.youtube.com/channel/UCS0bq3n9kirVOTorva8UKJg</v>
      </c>
      <c r="U343" s="81"/>
      <c r="V343" s="81" t="s">
        <v>2319</v>
      </c>
      <c r="W343" s="86" t="str">
        <f>HYPERLINK("https://www.youtube.com/watch?v=lruYVSGcxHs")</f>
        <v>https://www.youtube.com/watch?v=lruYVSGcxHs</v>
      </c>
      <c r="X343" s="81" t="s">
        <v>2349</v>
      </c>
      <c r="Y343" s="81">
        <v>0</v>
      </c>
      <c r="Z343" s="88">
        <v>44314.16782407407</v>
      </c>
      <c r="AA343" s="88">
        <v>44314.16782407407</v>
      </c>
      <c r="AB343" s="81"/>
      <c r="AC343" s="81"/>
      <c r="AD343" s="84" t="s">
        <v>2390</v>
      </c>
      <c r="AE343" s="82">
        <v>1</v>
      </c>
      <c r="AF343" s="83" t="str">
        <f>REPLACE(INDEX(GroupVertices[Group],MATCH(Edges[[#This Row],[Vertex 1]],GroupVertices[Vertex],0)),1,1,"")</f>
        <v>4</v>
      </c>
      <c r="AG343" s="83" t="str">
        <f>REPLACE(INDEX(GroupVertices[Group],MATCH(Edges[[#This Row],[Vertex 2]],GroupVertices[Vertex],0)),1,1,"")</f>
        <v>4</v>
      </c>
      <c r="AH343" s="111">
        <v>0</v>
      </c>
      <c r="AI343" s="112">
        <v>0</v>
      </c>
      <c r="AJ343" s="111">
        <v>0</v>
      </c>
      <c r="AK343" s="112">
        <v>0</v>
      </c>
      <c r="AL343" s="111">
        <v>0</v>
      </c>
      <c r="AM343" s="112">
        <v>0</v>
      </c>
      <c r="AN343" s="111">
        <v>1</v>
      </c>
      <c r="AO343" s="112">
        <v>100</v>
      </c>
      <c r="AP343" s="111">
        <v>1</v>
      </c>
    </row>
    <row r="344" spans="1:42" ht="15">
      <c r="A344" s="65" t="s">
        <v>484</v>
      </c>
      <c r="B344" s="65" t="s">
        <v>833</v>
      </c>
      <c r="C344" s="66" t="s">
        <v>4651</v>
      </c>
      <c r="D344" s="67">
        <v>3</v>
      </c>
      <c r="E344" s="68"/>
      <c r="F344" s="69">
        <v>40</v>
      </c>
      <c r="G344" s="66"/>
      <c r="H344" s="70"/>
      <c r="I344" s="71"/>
      <c r="J344" s="71"/>
      <c r="K344" s="35" t="s">
        <v>65</v>
      </c>
      <c r="L344" s="79">
        <v>344</v>
      </c>
      <c r="M344" s="79"/>
      <c r="N344" s="73"/>
      <c r="O344" s="81" t="s">
        <v>844</v>
      </c>
      <c r="P344" s="81" t="s">
        <v>199</v>
      </c>
      <c r="Q344" s="84" t="s">
        <v>1110</v>
      </c>
      <c r="R344" s="81" t="s">
        <v>484</v>
      </c>
      <c r="S344" s="81" t="s">
        <v>1843</v>
      </c>
      <c r="T344" s="86" t="str">
        <f>HYPERLINK("http://www.youtube.com/channel/UC4JxCdHEY3pnZFueFf7Irug")</f>
        <v>http://www.youtube.com/channel/UC4JxCdHEY3pnZFueFf7Irug</v>
      </c>
      <c r="U344" s="81"/>
      <c r="V344" s="81" t="s">
        <v>2320</v>
      </c>
      <c r="W344" s="86" t="str">
        <f>HYPERLINK("https://www.youtube.com/watch?v=CjLTpEupuf8")</f>
        <v>https://www.youtube.com/watch?v=CjLTpEupuf8</v>
      </c>
      <c r="X344" s="81" t="s">
        <v>2349</v>
      </c>
      <c r="Y344" s="81">
        <v>1</v>
      </c>
      <c r="Z344" s="88">
        <v>44300.22957175926</v>
      </c>
      <c r="AA344" s="88">
        <v>44300.22957175926</v>
      </c>
      <c r="AB344" s="81"/>
      <c r="AC344" s="81"/>
      <c r="AD344" s="84" t="s">
        <v>2390</v>
      </c>
      <c r="AE344" s="82">
        <v>1</v>
      </c>
      <c r="AF344" s="83" t="str">
        <f>REPLACE(INDEX(GroupVertices[Group],MATCH(Edges[[#This Row],[Vertex 1]],GroupVertices[Vertex],0)),1,1,"")</f>
        <v>23</v>
      </c>
      <c r="AG344" s="83" t="str">
        <f>REPLACE(INDEX(GroupVertices[Group],MATCH(Edges[[#This Row],[Vertex 2]],GroupVertices[Vertex],0)),1,1,"")</f>
        <v>23</v>
      </c>
      <c r="AH344" s="111">
        <v>1</v>
      </c>
      <c r="AI344" s="112">
        <v>100</v>
      </c>
      <c r="AJ344" s="111">
        <v>0</v>
      </c>
      <c r="AK344" s="112">
        <v>0</v>
      </c>
      <c r="AL344" s="111">
        <v>0</v>
      </c>
      <c r="AM344" s="112">
        <v>0</v>
      </c>
      <c r="AN344" s="111">
        <v>0</v>
      </c>
      <c r="AO344" s="112">
        <v>0</v>
      </c>
      <c r="AP344" s="111">
        <v>1</v>
      </c>
    </row>
    <row r="345" spans="1:42" ht="15">
      <c r="A345" s="65" t="s">
        <v>485</v>
      </c>
      <c r="B345" s="65" t="s">
        <v>834</v>
      </c>
      <c r="C345" s="66" t="s">
        <v>4651</v>
      </c>
      <c r="D345" s="67">
        <v>3</v>
      </c>
      <c r="E345" s="68"/>
      <c r="F345" s="69">
        <v>40</v>
      </c>
      <c r="G345" s="66"/>
      <c r="H345" s="70"/>
      <c r="I345" s="71"/>
      <c r="J345" s="71"/>
      <c r="K345" s="35" t="s">
        <v>65</v>
      </c>
      <c r="L345" s="79">
        <v>345</v>
      </c>
      <c r="M345" s="79"/>
      <c r="N345" s="73"/>
      <c r="O345" s="81" t="s">
        <v>844</v>
      </c>
      <c r="P345" s="81" t="s">
        <v>199</v>
      </c>
      <c r="Q345" s="84" t="s">
        <v>1172</v>
      </c>
      <c r="R345" s="81" t="s">
        <v>485</v>
      </c>
      <c r="S345" s="81" t="s">
        <v>1844</v>
      </c>
      <c r="T345" s="86" t="str">
        <f>HYPERLINK("http://www.youtube.com/channel/UCABafRXyzThI13jVSDdTMBA")</f>
        <v>http://www.youtube.com/channel/UCABafRXyzThI13jVSDdTMBA</v>
      </c>
      <c r="U345" s="81"/>
      <c r="V345" s="81" t="s">
        <v>2321</v>
      </c>
      <c r="W345" s="86" t="str">
        <f>HYPERLINK("https://www.youtube.com/watch?v=xS_txj05aTQ")</f>
        <v>https://www.youtube.com/watch?v=xS_txj05aTQ</v>
      </c>
      <c r="X345" s="81" t="s">
        <v>2349</v>
      </c>
      <c r="Y345" s="81">
        <v>0</v>
      </c>
      <c r="Z345" s="88">
        <v>42523.05983796297</v>
      </c>
      <c r="AA345" s="88">
        <v>42523.05983796297</v>
      </c>
      <c r="AB345" s="81"/>
      <c r="AC345" s="81"/>
      <c r="AD345" s="84" t="s">
        <v>2390</v>
      </c>
      <c r="AE345" s="82">
        <v>1</v>
      </c>
      <c r="AF345" s="83" t="str">
        <f>REPLACE(INDEX(GroupVertices[Group],MATCH(Edges[[#This Row],[Vertex 1]],GroupVertices[Vertex],0)),1,1,"")</f>
        <v>10</v>
      </c>
      <c r="AG345" s="83" t="str">
        <f>REPLACE(INDEX(GroupVertices[Group],MATCH(Edges[[#This Row],[Vertex 2]],GroupVertices[Vertex],0)),1,1,"")</f>
        <v>10</v>
      </c>
      <c r="AH345" s="111">
        <v>2</v>
      </c>
      <c r="AI345" s="112">
        <v>14.285714285714286</v>
      </c>
      <c r="AJ345" s="111">
        <v>0</v>
      </c>
      <c r="AK345" s="112">
        <v>0</v>
      </c>
      <c r="AL345" s="111">
        <v>0</v>
      </c>
      <c r="AM345" s="112">
        <v>0</v>
      </c>
      <c r="AN345" s="111">
        <v>12</v>
      </c>
      <c r="AO345" s="112">
        <v>85.71428571428571</v>
      </c>
      <c r="AP345" s="111">
        <v>14</v>
      </c>
    </row>
    <row r="346" spans="1:42" ht="15">
      <c r="A346" s="65" t="s">
        <v>486</v>
      </c>
      <c r="B346" s="65" t="s">
        <v>487</v>
      </c>
      <c r="C346" s="66" t="s">
        <v>4651</v>
      </c>
      <c r="D346" s="67">
        <v>3</v>
      </c>
      <c r="E346" s="68"/>
      <c r="F346" s="69">
        <v>40</v>
      </c>
      <c r="G346" s="66"/>
      <c r="H346" s="70"/>
      <c r="I346" s="71"/>
      <c r="J346" s="71"/>
      <c r="K346" s="35" t="s">
        <v>65</v>
      </c>
      <c r="L346" s="79">
        <v>346</v>
      </c>
      <c r="M346" s="79"/>
      <c r="N346" s="73"/>
      <c r="O346" s="81" t="s">
        <v>845</v>
      </c>
      <c r="P346" s="81" t="s">
        <v>847</v>
      </c>
      <c r="Q346" s="84" t="s">
        <v>1173</v>
      </c>
      <c r="R346" s="81" t="s">
        <v>486</v>
      </c>
      <c r="S346" s="81" t="s">
        <v>1845</v>
      </c>
      <c r="T346" s="86" t="str">
        <f>HYPERLINK("http://www.youtube.com/channel/UCbwAbzjiQXy7VMT5cCINu2w")</f>
        <v>http://www.youtube.com/channel/UCbwAbzjiQXy7VMT5cCINu2w</v>
      </c>
      <c r="U346" s="81" t="s">
        <v>2235</v>
      </c>
      <c r="V346" s="81" t="s">
        <v>2321</v>
      </c>
      <c r="W346" s="86" t="str">
        <f>HYPERLINK("https://www.youtube.com/watch?v=xS_txj05aTQ")</f>
        <v>https://www.youtube.com/watch?v=xS_txj05aTQ</v>
      </c>
      <c r="X346" s="81" t="s">
        <v>2349</v>
      </c>
      <c r="Y346" s="81">
        <v>1</v>
      </c>
      <c r="Z346" s="88">
        <v>43583.66809027778</v>
      </c>
      <c r="AA346" s="88">
        <v>43583.66809027778</v>
      </c>
      <c r="AB346" s="81"/>
      <c r="AC346" s="81"/>
      <c r="AD346" s="84" t="s">
        <v>2390</v>
      </c>
      <c r="AE346" s="82">
        <v>1</v>
      </c>
      <c r="AF346" s="83" t="str">
        <f>REPLACE(INDEX(GroupVertices[Group],MATCH(Edges[[#This Row],[Vertex 1]],GroupVertices[Vertex],0)),1,1,"")</f>
        <v>10</v>
      </c>
      <c r="AG346" s="83" t="str">
        <f>REPLACE(INDEX(GroupVertices[Group],MATCH(Edges[[#This Row],[Vertex 2]],GroupVertices[Vertex],0)),1,1,"")</f>
        <v>10</v>
      </c>
      <c r="AH346" s="111">
        <v>7</v>
      </c>
      <c r="AI346" s="112">
        <v>9.58904109589041</v>
      </c>
      <c r="AJ346" s="111">
        <v>0</v>
      </c>
      <c r="AK346" s="112">
        <v>0</v>
      </c>
      <c r="AL346" s="111">
        <v>0</v>
      </c>
      <c r="AM346" s="112">
        <v>0</v>
      </c>
      <c r="AN346" s="111">
        <v>66</v>
      </c>
      <c r="AO346" s="112">
        <v>90.41095890410959</v>
      </c>
      <c r="AP346" s="111">
        <v>73</v>
      </c>
    </row>
    <row r="347" spans="1:42" ht="15">
      <c r="A347" s="65" t="s">
        <v>487</v>
      </c>
      <c r="B347" s="65" t="s">
        <v>834</v>
      </c>
      <c r="C347" s="66" t="s">
        <v>4651</v>
      </c>
      <c r="D347" s="67">
        <v>3</v>
      </c>
      <c r="E347" s="68"/>
      <c r="F347" s="69">
        <v>40</v>
      </c>
      <c r="G347" s="66"/>
      <c r="H347" s="70"/>
      <c r="I347" s="71"/>
      <c r="J347" s="71"/>
      <c r="K347" s="35" t="s">
        <v>65</v>
      </c>
      <c r="L347" s="79">
        <v>347</v>
      </c>
      <c r="M347" s="79"/>
      <c r="N347" s="73"/>
      <c r="O347" s="81" t="s">
        <v>844</v>
      </c>
      <c r="P347" s="81" t="s">
        <v>199</v>
      </c>
      <c r="Q347" s="84" t="s">
        <v>1174</v>
      </c>
      <c r="R347" s="81" t="s">
        <v>487</v>
      </c>
      <c r="S347" s="81" t="s">
        <v>1846</v>
      </c>
      <c r="T347" s="86" t="str">
        <f>HYPERLINK("http://www.youtube.com/channel/UCQC4_qoaL5N9-AzVgjC_5-A")</f>
        <v>http://www.youtube.com/channel/UCQC4_qoaL5N9-AzVgjC_5-A</v>
      </c>
      <c r="U347" s="81"/>
      <c r="V347" s="81" t="s">
        <v>2321</v>
      </c>
      <c r="W347" s="86" t="str">
        <f>HYPERLINK("https://www.youtube.com/watch?v=xS_txj05aTQ")</f>
        <v>https://www.youtube.com/watch?v=xS_txj05aTQ</v>
      </c>
      <c r="X347" s="81" t="s">
        <v>2349</v>
      </c>
      <c r="Y347" s="81">
        <v>6</v>
      </c>
      <c r="Z347" s="88">
        <v>42524.27527777778</v>
      </c>
      <c r="AA347" s="88">
        <v>42524.27527777778</v>
      </c>
      <c r="AB347" s="81"/>
      <c r="AC347" s="81"/>
      <c r="AD347" s="84" t="s">
        <v>2390</v>
      </c>
      <c r="AE347" s="82">
        <v>1</v>
      </c>
      <c r="AF347" s="83" t="str">
        <f>REPLACE(INDEX(GroupVertices[Group],MATCH(Edges[[#This Row],[Vertex 1]],GroupVertices[Vertex],0)),1,1,"")</f>
        <v>10</v>
      </c>
      <c r="AG347" s="83" t="str">
        <f>REPLACE(INDEX(GroupVertices[Group],MATCH(Edges[[#This Row],[Vertex 2]],GroupVertices[Vertex],0)),1,1,"")</f>
        <v>10</v>
      </c>
      <c r="AH347" s="111">
        <v>0</v>
      </c>
      <c r="AI347" s="112">
        <v>0</v>
      </c>
      <c r="AJ347" s="111">
        <v>1</v>
      </c>
      <c r="AK347" s="112">
        <v>10</v>
      </c>
      <c r="AL347" s="111">
        <v>0</v>
      </c>
      <c r="AM347" s="112">
        <v>0</v>
      </c>
      <c r="AN347" s="111">
        <v>9</v>
      </c>
      <c r="AO347" s="112">
        <v>90</v>
      </c>
      <c r="AP347" s="111">
        <v>10</v>
      </c>
    </row>
    <row r="348" spans="1:42" ht="15">
      <c r="A348" s="65" t="s">
        <v>488</v>
      </c>
      <c r="B348" s="65" t="s">
        <v>834</v>
      </c>
      <c r="C348" s="66" t="s">
        <v>4651</v>
      </c>
      <c r="D348" s="67">
        <v>3</v>
      </c>
      <c r="E348" s="68"/>
      <c r="F348" s="69">
        <v>40</v>
      </c>
      <c r="G348" s="66"/>
      <c r="H348" s="70"/>
      <c r="I348" s="71"/>
      <c r="J348" s="71"/>
      <c r="K348" s="35" t="s">
        <v>65</v>
      </c>
      <c r="L348" s="79">
        <v>348</v>
      </c>
      <c r="M348" s="79"/>
      <c r="N348" s="73"/>
      <c r="O348" s="81" t="s">
        <v>844</v>
      </c>
      <c r="P348" s="81" t="s">
        <v>199</v>
      </c>
      <c r="Q348" s="84" t="s">
        <v>1175</v>
      </c>
      <c r="R348" s="81" t="s">
        <v>488</v>
      </c>
      <c r="S348" s="81" t="s">
        <v>1847</v>
      </c>
      <c r="T348" s="86" t="str">
        <f>HYPERLINK("http://www.youtube.com/channel/UCSzS5KSQvkpkPNiF8hmr0zw")</f>
        <v>http://www.youtube.com/channel/UCSzS5KSQvkpkPNiF8hmr0zw</v>
      </c>
      <c r="U348" s="81"/>
      <c r="V348" s="81" t="s">
        <v>2321</v>
      </c>
      <c r="W348" s="86" t="str">
        <f>HYPERLINK("https://www.youtube.com/watch?v=xS_txj05aTQ")</f>
        <v>https://www.youtube.com/watch?v=xS_txj05aTQ</v>
      </c>
      <c r="X348" s="81" t="s">
        <v>2349</v>
      </c>
      <c r="Y348" s="81">
        <v>1</v>
      </c>
      <c r="Z348" s="88">
        <v>42526.010046296295</v>
      </c>
      <c r="AA348" s="88">
        <v>42526.010046296295</v>
      </c>
      <c r="AB348" s="81"/>
      <c r="AC348" s="81"/>
      <c r="AD348" s="84" t="s">
        <v>2390</v>
      </c>
      <c r="AE348" s="82">
        <v>1</v>
      </c>
      <c r="AF348" s="83" t="str">
        <f>REPLACE(INDEX(GroupVertices[Group],MATCH(Edges[[#This Row],[Vertex 1]],GroupVertices[Vertex],0)),1,1,"")</f>
        <v>10</v>
      </c>
      <c r="AG348" s="83" t="str">
        <f>REPLACE(INDEX(GroupVertices[Group],MATCH(Edges[[#This Row],[Vertex 2]],GroupVertices[Vertex],0)),1,1,"")</f>
        <v>10</v>
      </c>
      <c r="AH348" s="111">
        <v>3</v>
      </c>
      <c r="AI348" s="112">
        <v>4.411764705882353</v>
      </c>
      <c r="AJ348" s="111">
        <v>2</v>
      </c>
      <c r="AK348" s="112">
        <v>2.9411764705882355</v>
      </c>
      <c r="AL348" s="111">
        <v>0</v>
      </c>
      <c r="AM348" s="112">
        <v>0</v>
      </c>
      <c r="AN348" s="111">
        <v>63</v>
      </c>
      <c r="AO348" s="112">
        <v>92.6470588235294</v>
      </c>
      <c r="AP348" s="111">
        <v>68</v>
      </c>
    </row>
    <row r="349" spans="1:42" ht="15">
      <c r="A349" s="65" t="s">
        <v>489</v>
      </c>
      <c r="B349" s="65" t="s">
        <v>834</v>
      </c>
      <c r="C349" s="66" t="s">
        <v>4651</v>
      </c>
      <c r="D349" s="67">
        <v>3</v>
      </c>
      <c r="E349" s="68"/>
      <c r="F349" s="69">
        <v>40</v>
      </c>
      <c r="G349" s="66"/>
      <c r="H349" s="70"/>
      <c r="I349" s="71"/>
      <c r="J349" s="71"/>
      <c r="K349" s="35" t="s">
        <v>65</v>
      </c>
      <c r="L349" s="79">
        <v>349</v>
      </c>
      <c r="M349" s="79"/>
      <c r="N349" s="73"/>
      <c r="O349" s="81" t="s">
        <v>844</v>
      </c>
      <c r="P349" s="81" t="s">
        <v>199</v>
      </c>
      <c r="Q349" s="84" t="s">
        <v>1176</v>
      </c>
      <c r="R349" s="81" t="s">
        <v>489</v>
      </c>
      <c r="S349" s="81" t="s">
        <v>1848</v>
      </c>
      <c r="T349" s="86" t="str">
        <f>HYPERLINK("http://www.youtube.com/channel/UCzur-Z2eeJUb_J3ELxWqO4w")</f>
        <v>http://www.youtube.com/channel/UCzur-Z2eeJUb_J3ELxWqO4w</v>
      </c>
      <c r="U349" s="81"/>
      <c r="V349" s="81" t="s">
        <v>2321</v>
      </c>
      <c r="W349" s="86" t="str">
        <f>HYPERLINK("https://www.youtube.com/watch?v=xS_txj05aTQ")</f>
        <v>https://www.youtube.com/watch?v=xS_txj05aTQ</v>
      </c>
      <c r="X349" s="81" t="s">
        <v>2349</v>
      </c>
      <c r="Y349" s="81">
        <v>3</v>
      </c>
      <c r="Z349" s="88">
        <v>42530.41134259259</v>
      </c>
      <c r="AA349" s="88">
        <v>42530.41134259259</v>
      </c>
      <c r="AB349" s="81"/>
      <c r="AC349" s="81"/>
      <c r="AD349" s="84" t="s">
        <v>2390</v>
      </c>
      <c r="AE349" s="82">
        <v>1</v>
      </c>
      <c r="AF349" s="83" t="str">
        <f>REPLACE(INDEX(GroupVertices[Group],MATCH(Edges[[#This Row],[Vertex 1]],GroupVertices[Vertex],0)),1,1,"")</f>
        <v>10</v>
      </c>
      <c r="AG349" s="83" t="str">
        <f>REPLACE(INDEX(GroupVertices[Group],MATCH(Edges[[#This Row],[Vertex 2]],GroupVertices[Vertex],0)),1,1,"")</f>
        <v>10</v>
      </c>
      <c r="AH349" s="111">
        <v>3</v>
      </c>
      <c r="AI349" s="112">
        <v>8.571428571428571</v>
      </c>
      <c r="AJ349" s="111">
        <v>1</v>
      </c>
      <c r="AK349" s="112">
        <v>2.857142857142857</v>
      </c>
      <c r="AL349" s="111">
        <v>0</v>
      </c>
      <c r="AM349" s="112">
        <v>0</v>
      </c>
      <c r="AN349" s="111">
        <v>31</v>
      </c>
      <c r="AO349" s="112">
        <v>88.57142857142857</v>
      </c>
      <c r="AP349" s="111">
        <v>35</v>
      </c>
    </row>
    <row r="350" spans="1:42" ht="15">
      <c r="A350" s="65" t="s">
        <v>490</v>
      </c>
      <c r="B350" s="65" t="s">
        <v>492</v>
      </c>
      <c r="C350" s="66" t="s">
        <v>4651</v>
      </c>
      <c r="D350" s="67">
        <v>3</v>
      </c>
      <c r="E350" s="68"/>
      <c r="F350" s="69">
        <v>40</v>
      </c>
      <c r="G350" s="66"/>
      <c r="H350" s="70"/>
      <c r="I350" s="71"/>
      <c r="J350" s="71"/>
      <c r="K350" s="35" t="s">
        <v>65</v>
      </c>
      <c r="L350" s="79">
        <v>350</v>
      </c>
      <c r="M350" s="79"/>
      <c r="N350" s="73"/>
      <c r="O350" s="81" t="s">
        <v>845</v>
      </c>
      <c r="P350" s="81" t="s">
        <v>847</v>
      </c>
      <c r="Q350" s="84" t="s">
        <v>1177</v>
      </c>
      <c r="R350" s="81" t="s">
        <v>490</v>
      </c>
      <c r="S350" s="81" t="s">
        <v>1849</v>
      </c>
      <c r="T350" s="86" t="str">
        <f>HYPERLINK("http://www.youtube.com/channel/UCqpfqBGy1f6H9b4WVeFAa9w")</f>
        <v>http://www.youtube.com/channel/UCqpfqBGy1f6H9b4WVeFAa9w</v>
      </c>
      <c r="U350" s="81" t="s">
        <v>2236</v>
      </c>
      <c r="V350" s="81" t="s">
        <v>2321</v>
      </c>
      <c r="W350" s="86" t="str">
        <f>HYPERLINK("https://www.youtube.com/watch?v=xS_txj05aTQ")</f>
        <v>https://www.youtube.com/watch?v=xS_txj05aTQ</v>
      </c>
      <c r="X350" s="81" t="s">
        <v>2349</v>
      </c>
      <c r="Y350" s="81">
        <v>0</v>
      </c>
      <c r="Z350" s="88">
        <v>42532.682905092595</v>
      </c>
      <c r="AA350" s="88">
        <v>42532.682905092595</v>
      </c>
      <c r="AB350" s="81"/>
      <c r="AC350" s="81"/>
      <c r="AD350" s="84" t="s">
        <v>2390</v>
      </c>
      <c r="AE350" s="82">
        <v>1</v>
      </c>
      <c r="AF350" s="83" t="str">
        <f>REPLACE(INDEX(GroupVertices[Group],MATCH(Edges[[#This Row],[Vertex 1]],GroupVertices[Vertex],0)),1,1,"")</f>
        <v>10</v>
      </c>
      <c r="AG350" s="83" t="str">
        <f>REPLACE(INDEX(GroupVertices[Group],MATCH(Edges[[#This Row],[Vertex 2]],GroupVertices[Vertex],0)),1,1,"")</f>
        <v>10</v>
      </c>
      <c r="AH350" s="111">
        <v>2</v>
      </c>
      <c r="AI350" s="112">
        <v>5.714285714285714</v>
      </c>
      <c r="AJ350" s="111">
        <v>0</v>
      </c>
      <c r="AK350" s="112">
        <v>0</v>
      </c>
      <c r="AL350" s="111">
        <v>0</v>
      </c>
      <c r="AM350" s="112">
        <v>0</v>
      </c>
      <c r="AN350" s="111">
        <v>33</v>
      </c>
      <c r="AO350" s="112">
        <v>94.28571428571429</v>
      </c>
      <c r="AP350" s="111">
        <v>35</v>
      </c>
    </row>
    <row r="351" spans="1:42" ht="15">
      <c r="A351" s="65" t="s">
        <v>491</v>
      </c>
      <c r="B351" s="65" t="s">
        <v>492</v>
      </c>
      <c r="C351" s="66" t="s">
        <v>4651</v>
      </c>
      <c r="D351" s="67">
        <v>3</v>
      </c>
      <c r="E351" s="68"/>
      <c r="F351" s="69">
        <v>40</v>
      </c>
      <c r="G351" s="66"/>
      <c r="H351" s="70"/>
      <c r="I351" s="71"/>
      <c r="J351" s="71"/>
      <c r="K351" s="35" t="s">
        <v>65</v>
      </c>
      <c r="L351" s="79">
        <v>351</v>
      </c>
      <c r="M351" s="79"/>
      <c r="N351" s="73"/>
      <c r="O351" s="81" t="s">
        <v>845</v>
      </c>
      <c r="P351" s="81" t="s">
        <v>847</v>
      </c>
      <c r="Q351" s="84" t="s">
        <v>1178</v>
      </c>
      <c r="R351" s="81" t="s">
        <v>491</v>
      </c>
      <c r="S351" s="81" t="s">
        <v>1850</v>
      </c>
      <c r="T351" s="86" t="str">
        <f>HYPERLINK("http://www.youtube.com/channel/UConxZesAFmzNl8tlMQfL4EQ")</f>
        <v>http://www.youtube.com/channel/UConxZesAFmzNl8tlMQfL4EQ</v>
      </c>
      <c r="U351" s="81" t="s">
        <v>2236</v>
      </c>
      <c r="V351" s="81" t="s">
        <v>2321</v>
      </c>
      <c r="W351" s="86" t="str">
        <f>HYPERLINK("https://www.youtube.com/watch?v=xS_txj05aTQ")</f>
        <v>https://www.youtube.com/watch?v=xS_txj05aTQ</v>
      </c>
      <c r="X351" s="81" t="s">
        <v>2349</v>
      </c>
      <c r="Y351" s="81">
        <v>0</v>
      </c>
      <c r="Z351" s="88">
        <v>42533.132569444446</v>
      </c>
      <c r="AA351" s="88">
        <v>42533.132569444446</v>
      </c>
      <c r="AB351" s="81"/>
      <c r="AC351" s="81"/>
      <c r="AD351" s="84" t="s">
        <v>2390</v>
      </c>
      <c r="AE351" s="82">
        <v>1</v>
      </c>
      <c r="AF351" s="83" t="str">
        <f>REPLACE(INDEX(GroupVertices[Group],MATCH(Edges[[#This Row],[Vertex 1]],GroupVertices[Vertex],0)),1,1,"")</f>
        <v>10</v>
      </c>
      <c r="AG351" s="83" t="str">
        <f>REPLACE(INDEX(GroupVertices[Group],MATCH(Edges[[#This Row],[Vertex 2]],GroupVertices[Vertex],0)),1,1,"")</f>
        <v>10</v>
      </c>
      <c r="AH351" s="111">
        <v>1</v>
      </c>
      <c r="AI351" s="112">
        <v>4.761904761904762</v>
      </c>
      <c r="AJ351" s="111">
        <v>1</v>
      </c>
      <c r="AK351" s="112">
        <v>4.761904761904762</v>
      </c>
      <c r="AL351" s="111">
        <v>0</v>
      </c>
      <c r="AM351" s="112">
        <v>0</v>
      </c>
      <c r="AN351" s="111">
        <v>19</v>
      </c>
      <c r="AO351" s="112">
        <v>90.47619047619048</v>
      </c>
      <c r="AP351" s="111">
        <v>21</v>
      </c>
    </row>
    <row r="352" spans="1:42" ht="15">
      <c r="A352" s="65" t="s">
        <v>492</v>
      </c>
      <c r="B352" s="65" t="s">
        <v>492</v>
      </c>
      <c r="C352" s="66" t="s">
        <v>4651</v>
      </c>
      <c r="D352" s="67">
        <v>3</v>
      </c>
      <c r="E352" s="68"/>
      <c r="F352" s="69">
        <v>40</v>
      </c>
      <c r="G352" s="66"/>
      <c r="H352" s="70"/>
      <c r="I352" s="71"/>
      <c r="J352" s="71"/>
      <c r="K352" s="35" t="s">
        <v>65</v>
      </c>
      <c r="L352" s="79">
        <v>352</v>
      </c>
      <c r="M352" s="79"/>
      <c r="N352" s="73"/>
      <c r="O352" s="81" t="s">
        <v>845</v>
      </c>
      <c r="P352" s="81" t="s">
        <v>847</v>
      </c>
      <c r="Q352" s="84" t="s">
        <v>1179</v>
      </c>
      <c r="R352" s="81" t="s">
        <v>492</v>
      </c>
      <c r="S352" s="81" t="s">
        <v>1851</v>
      </c>
      <c r="T352" s="86" t="str">
        <f>HYPERLINK("http://www.youtube.com/channel/UCKXwB75VUB7r9f9UfdNF7QQ")</f>
        <v>http://www.youtube.com/channel/UCKXwB75VUB7r9f9UfdNF7QQ</v>
      </c>
      <c r="U352" s="81" t="s">
        <v>2236</v>
      </c>
      <c r="V352" s="81" t="s">
        <v>2321</v>
      </c>
      <c r="W352" s="86" t="str">
        <f>HYPERLINK("https://www.youtube.com/watch?v=xS_txj05aTQ")</f>
        <v>https://www.youtube.com/watch?v=xS_txj05aTQ</v>
      </c>
      <c r="X352" s="81" t="s">
        <v>2349</v>
      </c>
      <c r="Y352" s="81">
        <v>1</v>
      </c>
      <c r="Z352" s="88">
        <v>42537.584027777775</v>
      </c>
      <c r="AA352" s="88">
        <v>42537.584027777775</v>
      </c>
      <c r="AB352" s="81"/>
      <c r="AC352" s="81"/>
      <c r="AD352" s="84" t="s">
        <v>2390</v>
      </c>
      <c r="AE352" s="82">
        <v>1</v>
      </c>
      <c r="AF352" s="83" t="str">
        <f>REPLACE(INDEX(GroupVertices[Group],MATCH(Edges[[#This Row],[Vertex 1]],GroupVertices[Vertex],0)),1,1,"")</f>
        <v>10</v>
      </c>
      <c r="AG352" s="83" t="str">
        <f>REPLACE(INDEX(GroupVertices[Group],MATCH(Edges[[#This Row],[Vertex 2]],GroupVertices[Vertex],0)),1,1,"")</f>
        <v>10</v>
      </c>
      <c r="AH352" s="111">
        <v>3</v>
      </c>
      <c r="AI352" s="112">
        <v>3.488372093023256</v>
      </c>
      <c r="AJ352" s="111">
        <v>1</v>
      </c>
      <c r="AK352" s="112">
        <v>1.1627906976744187</v>
      </c>
      <c r="AL352" s="111">
        <v>0</v>
      </c>
      <c r="AM352" s="112">
        <v>0</v>
      </c>
      <c r="AN352" s="111">
        <v>82</v>
      </c>
      <c r="AO352" s="112">
        <v>95.34883720930233</v>
      </c>
      <c r="AP352" s="111">
        <v>86</v>
      </c>
    </row>
    <row r="353" spans="1:42" ht="15">
      <c r="A353" s="65" t="s">
        <v>492</v>
      </c>
      <c r="B353" s="65" t="s">
        <v>834</v>
      </c>
      <c r="C353" s="66" t="s">
        <v>4651</v>
      </c>
      <c r="D353" s="67">
        <v>3</v>
      </c>
      <c r="E353" s="68"/>
      <c r="F353" s="69">
        <v>40</v>
      </c>
      <c r="G353" s="66"/>
      <c r="H353" s="70"/>
      <c r="I353" s="71"/>
      <c r="J353" s="71"/>
      <c r="K353" s="35" t="s">
        <v>65</v>
      </c>
      <c r="L353" s="79">
        <v>353</v>
      </c>
      <c r="M353" s="79"/>
      <c r="N353" s="73"/>
      <c r="O353" s="81" t="s">
        <v>844</v>
      </c>
      <c r="P353" s="81" t="s">
        <v>199</v>
      </c>
      <c r="Q353" s="84" t="s">
        <v>1180</v>
      </c>
      <c r="R353" s="81" t="s">
        <v>492</v>
      </c>
      <c r="S353" s="81" t="s">
        <v>1851</v>
      </c>
      <c r="T353" s="86" t="str">
        <f>HYPERLINK("http://www.youtube.com/channel/UCKXwB75VUB7r9f9UfdNF7QQ")</f>
        <v>http://www.youtube.com/channel/UCKXwB75VUB7r9f9UfdNF7QQ</v>
      </c>
      <c r="U353" s="81"/>
      <c r="V353" s="81" t="s">
        <v>2321</v>
      </c>
      <c r="W353" s="86" t="str">
        <f>HYPERLINK("https://www.youtube.com/watch?v=xS_txj05aTQ")</f>
        <v>https://www.youtube.com/watch?v=xS_txj05aTQ</v>
      </c>
      <c r="X353" s="81" t="s">
        <v>2349</v>
      </c>
      <c r="Y353" s="81">
        <v>0</v>
      </c>
      <c r="Z353" s="88">
        <v>42532.62263888889</v>
      </c>
      <c r="AA353" s="88">
        <v>42532.62263888889</v>
      </c>
      <c r="AB353" s="81"/>
      <c r="AC353" s="81"/>
      <c r="AD353" s="84" t="s">
        <v>2390</v>
      </c>
      <c r="AE353" s="82">
        <v>1</v>
      </c>
      <c r="AF353" s="83" t="str">
        <f>REPLACE(INDEX(GroupVertices[Group],MATCH(Edges[[#This Row],[Vertex 1]],GroupVertices[Vertex],0)),1,1,"")</f>
        <v>10</v>
      </c>
      <c r="AG353" s="83" t="str">
        <f>REPLACE(INDEX(GroupVertices[Group],MATCH(Edges[[#This Row],[Vertex 2]],GroupVertices[Vertex],0)),1,1,"")</f>
        <v>10</v>
      </c>
      <c r="AH353" s="111">
        <v>1</v>
      </c>
      <c r="AI353" s="112">
        <v>3.4482758620689653</v>
      </c>
      <c r="AJ353" s="111">
        <v>2</v>
      </c>
      <c r="AK353" s="112">
        <v>6.896551724137931</v>
      </c>
      <c r="AL353" s="111">
        <v>0</v>
      </c>
      <c r="AM353" s="112">
        <v>0</v>
      </c>
      <c r="AN353" s="111">
        <v>26</v>
      </c>
      <c r="AO353" s="112">
        <v>89.65517241379311</v>
      </c>
      <c r="AP353" s="111">
        <v>29</v>
      </c>
    </row>
    <row r="354" spans="1:42" ht="15">
      <c r="A354" s="65" t="s">
        <v>493</v>
      </c>
      <c r="B354" s="65" t="s">
        <v>834</v>
      </c>
      <c r="C354" s="66" t="s">
        <v>4651</v>
      </c>
      <c r="D354" s="67">
        <v>3</v>
      </c>
      <c r="E354" s="68"/>
      <c r="F354" s="69">
        <v>40</v>
      </c>
      <c r="G354" s="66"/>
      <c r="H354" s="70"/>
      <c r="I354" s="71"/>
      <c r="J354" s="71"/>
      <c r="K354" s="35" t="s">
        <v>65</v>
      </c>
      <c r="L354" s="79">
        <v>354</v>
      </c>
      <c r="M354" s="79"/>
      <c r="N354" s="73"/>
      <c r="O354" s="81" t="s">
        <v>844</v>
      </c>
      <c r="P354" s="81" t="s">
        <v>199</v>
      </c>
      <c r="Q354" s="84" t="s">
        <v>1181</v>
      </c>
      <c r="R354" s="81" t="s">
        <v>493</v>
      </c>
      <c r="S354" s="81" t="s">
        <v>1852</v>
      </c>
      <c r="T354" s="86" t="str">
        <f>HYPERLINK("http://www.youtube.com/channel/UC-ZdhLrOmcewlverLd0xGkw")</f>
        <v>http://www.youtube.com/channel/UC-ZdhLrOmcewlverLd0xGkw</v>
      </c>
      <c r="U354" s="81"/>
      <c r="V354" s="81" t="s">
        <v>2321</v>
      </c>
      <c r="W354" s="86" t="str">
        <f>HYPERLINK("https://www.youtube.com/watch?v=xS_txj05aTQ")</f>
        <v>https://www.youtube.com/watch?v=xS_txj05aTQ</v>
      </c>
      <c r="X354" s="81" t="s">
        <v>2349</v>
      </c>
      <c r="Y354" s="81">
        <v>0</v>
      </c>
      <c r="Z354" s="88">
        <v>42549.82082175926</v>
      </c>
      <c r="AA354" s="88">
        <v>42549.82082175926</v>
      </c>
      <c r="AB354" s="81"/>
      <c r="AC354" s="81"/>
      <c r="AD354" s="84" t="s">
        <v>2390</v>
      </c>
      <c r="AE354" s="82">
        <v>1</v>
      </c>
      <c r="AF354" s="83" t="str">
        <f>REPLACE(INDEX(GroupVertices[Group],MATCH(Edges[[#This Row],[Vertex 1]],GroupVertices[Vertex],0)),1,1,"")</f>
        <v>10</v>
      </c>
      <c r="AG354" s="83" t="str">
        <f>REPLACE(INDEX(GroupVertices[Group],MATCH(Edges[[#This Row],[Vertex 2]],GroupVertices[Vertex],0)),1,1,"")</f>
        <v>10</v>
      </c>
      <c r="AH354" s="111">
        <v>1</v>
      </c>
      <c r="AI354" s="112">
        <v>3.8461538461538463</v>
      </c>
      <c r="AJ354" s="111">
        <v>2</v>
      </c>
      <c r="AK354" s="112">
        <v>7.6923076923076925</v>
      </c>
      <c r="AL354" s="111">
        <v>0</v>
      </c>
      <c r="AM354" s="112">
        <v>0</v>
      </c>
      <c r="AN354" s="111">
        <v>23</v>
      </c>
      <c r="AO354" s="112">
        <v>88.46153846153847</v>
      </c>
      <c r="AP354" s="111">
        <v>26</v>
      </c>
    </row>
    <row r="355" spans="1:42" ht="15">
      <c r="A355" s="65" t="s">
        <v>494</v>
      </c>
      <c r="B355" s="65" t="s">
        <v>834</v>
      </c>
      <c r="C355" s="66" t="s">
        <v>4651</v>
      </c>
      <c r="D355" s="67">
        <v>3</v>
      </c>
      <c r="E355" s="68"/>
      <c r="F355" s="69">
        <v>40</v>
      </c>
      <c r="G355" s="66"/>
      <c r="H355" s="70"/>
      <c r="I355" s="71"/>
      <c r="J355" s="71"/>
      <c r="K355" s="35" t="s">
        <v>65</v>
      </c>
      <c r="L355" s="79">
        <v>355</v>
      </c>
      <c r="M355" s="79"/>
      <c r="N355" s="73"/>
      <c r="O355" s="81" t="s">
        <v>844</v>
      </c>
      <c r="P355" s="81" t="s">
        <v>199</v>
      </c>
      <c r="Q355" s="84" t="s">
        <v>1182</v>
      </c>
      <c r="R355" s="81" t="s">
        <v>494</v>
      </c>
      <c r="S355" s="81" t="s">
        <v>1853</v>
      </c>
      <c r="T355" s="86" t="str">
        <f>HYPERLINK("http://www.youtube.com/channel/UCtEIxnWLQaJKNvsM3kgdv-A")</f>
        <v>http://www.youtube.com/channel/UCtEIxnWLQaJKNvsM3kgdv-A</v>
      </c>
      <c r="U355" s="81"/>
      <c r="V355" s="81" t="s">
        <v>2321</v>
      </c>
      <c r="W355" s="86" t="str">
        <f>HYPERLINK("https://www.youtube.com/watch?v=xS_txj05aTQ")</f>
        <v>https://www.youtube.com/watch?v=xS_txj05aTQ</v>
      </c>
      <c r="X355" s="81" t="s">
        <v>2349</v>
      </c>
      <c r="Y355" s="81">
        <v>0</v>
      </c>
      <c r="Z355" s="88">
        <v>42674.46365740741</v>
      </c>
      <c r="AA355" s="88">
        <v>42674.46365740741</v>
      </c>
      <c r="AB355" s="81"/>
      <c r="AC355" s="81"/>
      <c r="AD355" s="84" t="s">
        <v>2390</v>
      </c>
      <c r="AE355" s="82">
        <v>1</v>
      </c>
      <c r="AF355" s="83" t="str">
        <f>REPLACE(INDEX(GroupVertices[Group],MATCH(Edges[[#This Row],[Vertex 1]],GroupVertices[Vertex],0)),1,1,"")</f>
        <v>10</v>
      </c>
      <c r="AG355" s="83" t="str">
        <f>REPLACE(INDEX(GroupVertices[Group],MATCH(Edges[[#This Row],[Vertex 2]],GroupVertices[Vertex],0)),1,1,"")</f>
        <v>10</v>
      </c>
      <c r="AH355" s="111">
        <v>1</v>
      </c>
      <c r="AI355" s="112">
        <v>8.333333333333334</v>
      </c>
      <c r="AJ355" s="111">
        <v>0</v>
      </c>
      <c r="AK355" s="112">
        <v>0</v>
      </c>
      <c r="AL355" s="111">
        <v>0</v>
      </c>
      <c r="AM355" s="112">
        <v>0</v>
      </c>
      <c r="AN355" s="111">
        <v>11</v>
      </c>
      <c r="AO355" s="112">
        <v>91.66666666666667</v>
      </c>
      <c r="AP355" s="111">
        <v>12</v>
      </c>
    </row>
    <row r="356" spans="1:42" ht="15">
      <c r="A356" s="65" t="s">
        <v>495</v>
      </c>
      <c r="B356" s="65" t="s">
        <v>834</v>
      </c>
      <c r="C356" s="66" t="s">
        <v>4651</v>
      </c>
      <c r="D356" s="67">
        <v>3</v>
      </c>
      <c r="E356" s="68"/>
      <c r="F356" s="69">
        <v>40</v>
      </c>
      <c r="G356" s="66"/>
      <c r="H356" s="70"/>
      <c r="I356" s="71"/>
      <c r="J356" s="71"/>
      <c r="K356" s="35" t="s">
        <v>65</v>
      </c>
      <c r="L356" s="79">
        <v>356</v>
      </c>
      <c r="M356" s="79"/>
      <c r="N356" s="73"/>
      <c r="O356" s="81" t="s">
        <v>844</v>
      </c>
      <c r="P356" s="81" t="s">
        <v>199</v>
      </c>
      <c r="Q356" s="84" t="s">
        <v>1183</v>
      </c>
      <c r="R356" s="81" t="s">
        <v>495</v>
      </c>
      <c r="S356" s="81" t="s">
        <v>1854</v>
      </c>
      <c r="T356" s="86" t="str">
        <f>HYPERLINK("http://www.youtube.com/channel/UCjcG2FUpnj3wTx3rmW3fT_w")</f>
        <v>http://www.youtube.com/channel/UCjcG2FUpnj3wTx3rmW3fT_w</v>
      </c>
      <c r="U356" s="81"/>
      <c r="V356" s="81" t="s">
        <v>2321</v>
      </c>
      <c r="W356" s="86" t="str">
        <f>HYPERLINK("https://www.youtube.com/watch?v=xS_txj05aTQ")</f>
        <v>https://www.youtube.com/watch?v=xS_txj05aTQ</v>
      </c>
      <c r="X356" s="81" t="s">
        <v>2349</v>
      </c>
      <c r="Y356" s="81">
        <v>0</v>
      </c>
      <c r="Z356" s="88">
        <v>42724.542916666665</v>
      </c>
      <c r="AA356" s="88">
        <v>42724.542916666665</v>
      </c>
      <c r="AB356" s="81"/>
      <c r="AC356" s="81"/>
      <c r="AD356" s="84" t="s">
        <v>2390</v>
      </c>
      <c r="AE356" s="82">
        <v>1</v>
      </c>
      <c r="AF356" s="83" t="str">
        <f>REPLACE(INDEX(GroupVertices[Group],MATCH(Edges[[#This Row],[Vertex 1]],GroupVertices[Vertex],0)),1,1,"")</f>
        <v>10</v>
      </c>
      <c r="AG356" s="83" t="str">
        <f>REPLACE(INDEX(GroupVertices[Group],MATCH(Edges[[#This Row],[Vertex 2]],GroupVertices[Vertex],0)),1,1,"")</f>
        <v>10</v>
      </c>
      <c r="AH356" s="111">
        <v>0</v>
      </c>
      <c r="AI356" s="112">
        <v>0</v>
      </c>
      <c r="AJ356" s="111">
        <v>0</v>
      </c>
      <c r="AK356" s="112">
        <v>0</v>
      </c>
      <c r="AL356" s="111">
        <v>0</v>
      </c>
      <c r="AM356" s="112">
        <v>0</v>
      </c>
      <c r="AN356" s="111">
        <v>3</v>
      </c>
      <c r="AO356" s="112">
        <v>100</v>
      </c>
      <c r="AP356" s="111">
        <v>3</v>
      </c>
    </row>
    <row r="357" spans="1:42" ht="15">
      <c r="A357" s="65" t="s">
        <v>496</v>
      </c>
      <c r="B357" s="65" t="s">
        <v>834</v>
      </c>
      <c r="C357" s="66" t="s">
        <v>4651</v>
      </c>
      <c r="D357" s="67">
        <v>3</v>
      </c>
      <c r="E357" s="68"/>
      <c r="F357" s="69">
        <v>40</v>
      </c>
      <c r="G357" s="66"/>
      <c r="H357" s="70"/>
      <c r="I357" s="71"/>
      <c r="J357" s="71"/>
      <c r="K357" s="35" t="s">
        <v>65</v>
      </c>
      <c r="L357" s="79">
        <v>357</v>
      </c>
      <c r="M357" s="79"/>
      <c r="N357" s="73"/>
      <c r="O357" s="81" t="s">
        <v>844</v>
      </c>
      <c r="P357" s="81" t="s">
        <v>199</v>
      </c>
      <c r="Q357" s="84" t="s">
        <v>1184</v>
      </c>
      <c r="R357" s="81" t="s">
        <v>496</v>
      </c>
      <c r="S357" s="81" t="s">
        <v>1855</v>
      </c>
      <c r="T357" s="86" t="str">
        <f>HYPERLINK("http://www.youtube.com/channel/UCez-57V3o53c0ySZNCeqR2A")</f>
        <v>http://www.youtube.com/channel/UCez-57V3o53c0ySZNCeqR2A</v>
      </c>
      <c r="U357" s="81"/>
      <c r="V357" s="81" t="s">
        <v>2321</v>
      </c>
      <c r="W357" s="86" t="str">
        <f>HYPERLINK("https://www.youtube.com/watch?v=xS_txj05aTQ")</f>
        <v>https://www.youtube.com/watch?v=xS_txj05aTQ</v>
      </c>
      <c r="X357" s="81" t="s">
        <v>2349</v>
      </c>
      <c r="Y357" s="81">
        <v>0</v>
      </c>
      <c r="Z357" s="88">
        <v>42746.53262731482</v>
      </c>
      <c r="AA357" s="88">
        <v>42746.53262731482</v>
      </c>
      <c r="AB357" s="81"/>
      <c r="AC357" s="81"/>
      <c r="AD357" s="84" t="s">
        <v>2390</v>
      </c>
      <c r="AE357" s="82">
        <v>1</v>
      </c>
      <c r="AF357" s="83" t="str">
        <f>REPLACE(INDEX(GroupVertices[Group],MATCH(Edges[[#This Row],[Vertex 1]],GroupVertices[Vertex],0)),1,1,"")</f>
        <v>10</v>
      </c>
      <c r="AG357" s="83" t="str">
        <f>REPLACE(INDEX(GroupVertices[Group],MATCH(Edges[[#This Row],[Vertex 2]],GroupVertices[Vertex],0)),1,1,"")</f>
        <v>10</v>
      </c>
      <c r="AH357" s="111">
        <v>0</v>
      </c>
      <c r="AI357" s="112">
        <v>0</v>
      </c>
      <c r="AJ357" s="111">
        <v>0</v>
      </c>
      <c r="AK357" s="112">
        <v>0</v>
      </c>
      <c r="AL357" s="111">
        <v>0</v>
      </c>
      <c r="AM357" s="112">
        <v>0</v>
      </c>
      <c r="AN357" s="111">
        <v>2</v>
      </c>
      <c r="AO357" s="112">
        <v>100</v>
      </c>
      <c r="AP357" s="111">
        <v>2</v>
      </c>
    </row>
    <row r="358" spans="1:42" ht="15">
      <c r="A358" s="65" t="s">
        <v>497</v>
      </c>
      <c r="B358" s="65" t="s">
        <v>834</v>
      </c>
      <c r="C358" s="66" t="s">
        <v>4651</v>
      </c>
      <c r="D358" s="67">
        <v>3</v>
      </c>
      <c r="E358" s="68"/>
      <c r="F358" s="69">
        <v>40</v>
      </c>
      <c r="G358" s="66"/>
      <c r="H358" s="70"/>
      <c r="I358" s="71"/>
      <c r="J358" s="71"/>
      <c r="K358" s="35" t="s">
        <v>65</v>
      </c>
      <c r="L358" s="79">
        <v>358</v>
      </c>
      <c r="M358" s="79"/>
      <c r="N358" s="73"/>
      <c r="O358" s="81" t="s">
        <v>844</v>
      </c>
      <c r="P358" s="81" t="s">
        <v>199</v>
      </c>
      <c r="Q358" s="84" t="s">
        <v>1185</v>
      </c>
      <c r="R358" s="81" t="s">
        <v>497</v>
      </c>
      <c r="S358" s="81" t="s">
        <v>1856</v>
      </c>
      <c r="T358" s="86" t="str">
        <f>HYPERLINK("http://www.youtube.com/channel/UCnfuX9dN8a--5ptIge7wYJw")</f>
        <v>http://www.youtube.com/channel/UCnfuX9dN8a--5ptIge7wYJw</v>
      </c>
      <c r="U358" s="81"/>
      <c r="V358" s="81" t="s">
        <v>2321</v>
      </c>
      <c r="W358" s="86" t="str">
        <f>HYPERLINK("https://www.youtube.com/watch?v=xS_txj05aTQ")</f>
        <v>https://www.youtube.com/watch?v=xS_txj05aTQ</v>
      </c>
      <c r="X358" s="81" t="s">
        <v>2349</v>
      </c>
      <c r="Y358" s="81">
        <v>2</v>
      </c>
      <c r="Z358" s="88">
        <v>42872.122465277775</v>
      </c>
      <c r="AA358" s="88">
        <v>42872.12364583334</v>
      </c>
      <c r="AB358" s="81"/>
      <c r="AC358" s="81"/>
      <c r="AD358" s="84" t="s">
        <v>2390</v>
      </c>
      <c r="AE358" s="82">
        <v>1</v>
      </c>
      <c r="AF358" s="83" t="str">
        <f>REPLACE(INDEX(GroupVertices[Group],MATCH(Edges[[#This Row],[Vertex 1]],GroupVertices[Vertex],0)),1,1,"")</f>
        <v>10</v>
      </c>
      <c r="AG358" s="83" t="str">
        <f>REPLACE(INDEX(GroupVertices[Group],MATCH(Edges[[#This Row],[Vertex 2]],GroupVertices[Vertex],0)),1,1,"")</f>
        <v>10</v>
      </c>
      <c r="AH358" s="111">
        <v>0</v>
      </c>
      <c r="AI358" s="112">
        <v>0</v>
      </c>
      <c r="AJ358" s="111">
        <v>0</v>
      </c>
      <c r="AK358" s="112">
        <v>0</v>
      </c>
      <c r="AL358" s="111">
        <v>0</v>
      </c>
      <c r="AM358" s="112">
        <v>0</v>
      </c>
      <c r="AN358" s="111">
        <v>28</v>
      </c>
      <c r="AO358" s="112">
        <v>100</v>
      </c>
      <c r="AP358" s="111">
        <v>28</v>
      </c>
    </row>
    <row r="359" spans="1:42" ht="15">
      <c r="A359" s="65" t="s">
        <v>498</v>
      </c>
      <c r="B359" s="65" t="s">
        <v>834</v>
      </c>
      <c r="C359" s="66" t="s">
        <v>4651</v>
      </c>
      <c r="D359" s="67">
        <v>3</v>
      </c>
      <c r="E359" s="68"/>
      <c r="F359" s="69">
        <v>40</v>
      </c>
      <c r="G359" s="66"/>
      <c r="H359" s="70"/>
      <c r="I359" s="71"/>
      <c r="J359" s="71"/>
      <c r="K359" s="35" t="s">
        <v>65</v>
      </c>
      <c r="L359" s="79">
        <v>359</v>
      </c>
      <c r="M359" s="79"/>
      <c r="N359" s="73"/>
      <c r="O359" s="81" t="s">
        <v>844</v>
      </c>
      <c r="P359" s="81" t="s">
        <v>199</v>
      </c>
      <c r="Q359" s="84" t="s">
        <v>1186</v>
      </c>
      <c r="R359" s="81" t="s">
        <v>498</v>
      </c>
      <c r="S359" s="81" t="s">
        <v>1857</v>
      </c>
      <c r="T359" s="86" t="str">
        <f>HYPERLINK("http://www.youtube.com/channel/UCcVY4PNhKTStBqbmWBBXJsw")</f>
        <v>http://www.youtube.com/channel/UCcVY4PNhKTStBqbmWBBXJsw</v>
      </c>
      <c r="U359" s="81"/>
      <c r="V359" s="81" t="s">
        <v>2321</v>
      </c>
      <c r="W359" s="86" t="str">
        <f>HYPERLINK("https://www.youtube.com/watch?v=xS_txj05aTQ")</f>
        <v>https://www.youtube.com/watch?v=xS_txj05aTQ</v>
      </c>
      <c r="X359" s="81" t="s">
        <v>2349</v>
      </c>
      <c r="Y359" s="81">
        <v>1</v>
      </c>
      <c r="Z359" s="88">
        <v>42875.72550925926</v>
      </c>
      <c r="AA359" s="88">
        <v>42875.72550925926</v>
      </c>
      <c r="AB359" s="81"/>
      <c r="AC359" s="81"/>
      <c r="AD359" s="84" t="s">
        <v>2390</v>
      </c>
      <c r="AE359" s="82">
        <v>1</v>
      </c>
      <c r="AF359" s="83" t="str">
        <f>REPLACE(INDEX(GroupVertices[Group],MATCH(Edges[[#This Row],[Vertex 1]],GroupVertices[Vertex],0)),1,1,"")</f>
        <v>10</v>
      </c>
      <c r="AG359" s="83" t="str">
        <f>REPLACE(INDEX(GroupVertices[Group],MATCH(Edges[[#This Row],[Vertex 2]],GroupVertices[Vertex],0)),1,1,"")</f>
        <v>10</v>
      </c>
      <c r="AH359" s="111">
        <v>0</v>
      </c>
      <c r="AI359" s="112">
        <v>0</v>
      </c>
      <c r="AJ359" s="111">
        <v>0</v>
      </c>
      <c r="AK359" s="112">
        <v>0</v>
      </c>
      <c r="AL359" s="111">
        <v>0</v>
      </c>
      <c r="AM359" s="112">
        <v>0</v>
      </c>
      <c r="AN359" s="111">
        <v>37</v>
      </c>
      <c r="AO359" s="112">
        <v>100</v>
      </c>
      <c r="AP359" s="111">
        <v>37</v>
      </c>
    </row>
    <row r="360" spans="1:42" ht="15">
      <c r="A360" s="65" t="s">
        <v>499</v>
      </c>
      <c r="B360" s="65" t="s">
        <v>834</v>
      </c>
      <c r="C360" s="66" t="s">
        <v>4651</v>
      </c>
      <c r="D360" s="67">
        <v>3</v>
      </c>
      <c r="E360" s="68"/>
      <c r="F360" s="69">
        <v>40</v>
      </c>
      <c r="G360" s="66"/>
      <c r="H360" s="70"/>
      <c r="I360" s="71"/>
      <c r="J360" s="71"/>
      <c r="K360" s="35" t="s">
        <v>65</v>
      </c>
      <c r="L360" s="79">
        <v>360</v>
      </c>
      <c r="M360" s="79"/>
      <c r="N360" s="73"/>
      <c r="O360" s="81" t="s">
        <v>844</v>
      </c>
      <c r="P360" s="81" t="s">
        <v>199</v>
      </c>
      <c r="Q360" s="84" t="s">
        <v>1187</v>
      </c>
      <c r="R360" s="81" t="s">
        <v>499</v>
      </c>
      <c r="S360" s="81" t="s">
        <v>1858</v>
      </c>
      <c r="T360" s="86" t="str">
        <f>HYPERLINK("http://www.youtube.com/channel/UCoXa-0RdNxTdWehirvqAvbQ")</f>
        <v>http://www.youtube.com/channel/UCoXa-0RdNxTdWehirvqAvbQ</v>
      </c>
      <c r="U360" s="81"/>
      <c r="V360" s="81" t="s">
        <v>2321</v>
      </c>
      <c r="W360" s="86" t="str">
        <f>HYPERLINK("https://www.youtube.com/watch?v=xS_txj05aTQ")</f>
        <v>https://www.youtube.com/watch?v=xS_txj05aTQ</v>
      </c>
      <c r="X360" s="81" t="s">
        <v>2349</v>
      </c>
      <c r="Y360" s="81">
        <v>0</v>
      </c>
      <c r="Z360" s="88">
        <v>43374.1180787037</v>
      </c>
      <c r="AA360" s="88">
        <v>43374.1180787037</v>
      </c>
      <c r="AB360" s="81"/>
      <c r="AC360" s="81"/>
      <c r="AD360" s="84" t="s">
        <v>2390</v>
      </c>
      <c r="AE360" s="82">
        <v>1</v>
      </c>
      <c r="AF360" s="83" t="str">
        <f>REPLACE(INDEX(GroupVertices[Group],MATCH(Edges[[#This Row],[Vertex 1]],GroupVertices[Vertex],0)),1,1,"")</f>
        <v>10</v>
      </c>
      <c r="AG360" s="83" t="str">
        <f>REPLACE(INDEX(GroupVertices[Group],MATCH(Edges[[#This Row],[Vertex 2]],GroupVertices[Vertex],0)),1,1,"")</f>
        <v>10</v>
      </c>
      <c r="AH360" s="111">
        <v>0</v>
      </c>
      <c r="AI360" s="112">
        <v>0</v>
      </c>
      <c r="AJ360" s="111">
        <v>0</v>
      </c>
      <c r="AK360" s="112">
        <v>0</v>
      </c>
      <c r="AL360" s="111">
        <v>0</v>
      </c>
      <c r="AM360" s="112">
        <v>0</v>
      </c>
      <c r="AN360" s="111">
        <v>8</v>
      </c>
      <c r="AO360" s="112">
        <v>100</v>
      </c>
      <c r="AP360" s="111">
        <v>8</v>
      </c>
    </row>
    <row r="361" spans="1:42" ht="15">
      <c r="A361" s="65" t="s">
        <v>486</v>
      </c>
      <c r="B361" s="65" t="s">
        <v>834</v>
      </c>
      <c r="C361" s="66" t="s">
        <v>4651</v>
      </c>
      <c r="D361" s="67">
        <v>3</v>
      </c>
      <c r="E361" s="68"/>
      <c r="F361" s="69">
        <v>40</v>
      </c>
      <c r="G361" s="66"/>
      <c r="H361" s="70"/>
      <c r="I361" s="71"/>
      <c r="J361" s="71"/>
      <c r="K361" s="35" t="s">
        <v>65</v>
      </c>
      <c r="L361" s="79">
        <v>361</v>
      </c>
      <c r="M361" s="79"/>
      <c r="N361" s="73"/>
      <c r="O361" s="81" t="s">
        <v>844</v>
      </c>
      <c r="P361" s="81" t="s">
        <v>199</v>
      </c>
      <c r="Q361" s="84" t="s">
        <v>1188</v>
      </c>
      <c r="R361" s="81" t="s">
        <v>486</v>
      </c>
      <c r="S361" s="81" t="s">
        <v>1845</v>
      </c>
      <c r="T361" s="86" t="str">
        <f>HYPERLINK("http://www.youtube.com/channel/UCbwAbzjiQXy7VMT5cCINu2w")</f>
        <v>http://www.youtube.com/channel/UCbwAbzjiQXy7VMT5cCINu2w</v>
      </c>
      <c r="U361" s="81"/>
      <c r="V361" s="81" t="s">
        <v>2321</v>
      </c>
      <c r="W361" s="86" t="str">
        <f>HYPERLINK("https://www.youtube.com/watch?v=xS_txj05aTQ")</f>
        <v>https://www.youtube.com/watch?v=xS_txj05aTQ</v>
      </c>
      <c r="X361" s="81" t="s">
        <v>2349</v>
      </c>
      <c r="Y361" s="81">
        <v>1</v>
      </c>
      <c r="Z361" s="88">
        <v>43583.6721412037</v>
      </c>
      <c r="AA361" s="88">
        <v>43583.672847222224</v>
      </c>
      <c r="AB361" s="81"/>
      <c r="AC361" s="81"/>
      <c r="AD361" s="84" t="s">
        <v>2390</v>
      </c>
      <c r="AE361" s="82">
        <v>1</v>
      </c>
      <c r="AF361" s="83" t="str">
        <f>REPLACE(INDEX(GroupVertices[Group],MATCH(Edges[[#This Row],[Vertex 1]],GroupVertices[Vertex],0)),1,1,"")</f>
        <v>10</v>
      </c>
      <c r="AG361" s="83" t="str">
        <f>REPLACE(INDEX(GroupVertices[Group],MATCH(Edges[[#This Row],[Vertex 2]],GroupVertices[Vertex],0)),1,1,"")</f>
        <v>10</v>
      </c>
      <c r="AH361" s="111">
        <v>6</v>
      </c>
      <c r="AI361" s="112">
        <v>4.109589041095891</v>
      </c>
      <c r="AJ361" s="111">
        <v>7</v>
      </c>
      <c r="AK361" s="112">
        <v>4.794520547945205</v>
      </c>
      <c r="AL361" s="111">
        <v>0</v>
      </c>
      <c r="AM361" s="112">
        <v>0</v>
      </c>
      <c r="AN361" s="111">
        <v>133</v>
      </c>
      <c r="AO361" s="112">
        <v>91.0958904109589</v>
      </c>
      <c r="AP361" s="111">
        <v>146</v>
      </c>
    </row>
    <row r="362" spans="1:42" ht="15">
      <c r="A362" s="65" t="s">
        <v>500</v>
      </c>
      <c r="B362" s="65" t="s">
        <v>834</v>
      </c>
      <c r="C362" s="66" t="s">
        <v>4651</v>
      </c>
      <c r="D362" s="67">
        <v>3</v>
      </c>
      <c r="E362" s="68"/>
      <c r="F362" s="69">
        <v>40</v>
      </c>
      <c r="G362" s="66"/>
      <c r="H362" s="70"/>
      <c r="I362" s="71"/>
      <c r="J362" s="71"/>
      <c r="K362" s="35" t="s">
        <v>65</v>
      </c>
      <c r="L362" s="79">
        <v>362</v>
      </c>
      <c r="M362" s="79"/>
      <c r="N362" s="73"/>
      <c r="O362" s="81" t="s">
        <v>844</v>
      </c>
      <c r="P362" s="81" t="s">
        <v>199</v>
      </c>
      <c r="Q362" s="84" t="s">
        <v>1189</v>
      </c>
      <c r="R362" s="81" t="s">
        <v>500</v>
      </c>
      <c r="S362" s="81" t="s">
        <v>1859</v>
      </c>
      <c r="T362" s="86" t="str">
        <f>HYPERLINK("http://www.youtube.com/channel/UCfcdeSgCO4v25ymgnOybN5g")</f>
        <v>http://www.youtube.com/channel/UCfcdeSgCO4v25ymgnOybN5g</v>
      </c>
      <c r="U362" s="81"/>
      <c r="V362" s="81" t="s">
        <v>2321</v>
      </c>
      <c r="W362" s="86" t="str">
        <f>HYPERLINK("https://www.youtube.com/watch?v=xS_txj05aTQ")</f>
        <v>https://www.youtube.com/watch?v=xS_txj05aTQ</v>
      </c>
      <c r="X362" s="81" t="s">
        <v>2349</v>
      </c>
      <c r="Y362" s="81">
        <v>0</v>
      </c>
      <c r="Z362" s="88">
        <v>43785.49431712963</v>
      </c>
      <c r="AA362" s="88">
        <v>43785.49431712963</v>
      </c>
      <c r="AB362" s="81"/>
      <c r="AC362" s="81"/>
      <c r="AD362" s="84" t="s">
        <v>2390</v>
      </c>
      <c r="AE362" s="82">
        <v>1</v>
      </c>
      <c r="AF362" s="83" t="str">
        <f>REPLACE(INDEX(GroupVertices[Group],MATCH(Edges[[#This Row],[Vertex 1]],GroupVertices[Vertex],0)),1,1,"")</f>
        <v>10</v>
      </c>
      <c r="AG362" s="83" t="str">
        <f>REPLACE(INDEX(GroupVertices[Group],MATCH(Edges[[#This Row],[Vertex 2]],GroupVertices[Vertex],0)),1,1,"")</f>
        <v>10</v>
      </c>
      <c r="AH362" s="111">
        <v>2</v>
      </c>
      <c r="AI362" s="112">
        <v>13.333333333333334</v>
      </c>
      <c r="AJ362" s="111">
        <v>0</v>
      </c>
      <c r="AK362" s="112">
        <v>0</v>
      </c>
      <c r="AL362" s="111">
        <v>0</v>
      </c>
      <c r="AM362" s="112">
        <v>0</v>
      </c>
      <c r="AN362" s="111">
        <v>13</v>
      </c>
      <c r="AO362" s="112">
        <v>86.66666666666667</v>
      </c>
      <c r="AP362" s="111">
        <v>15</v>
      </c>
    </row>
    <row r="363" spans="1:42" ht="15">
      <c r="A363" s="65" t="s">
        <v>501</v>
      </c>
      <c r="B363" s="65" t="s">
        <v>834</v>
      </c>
      <c r="C363" s="66" t="s">
        <v>4651</v>
      </c>
      <c r="D363" s="67">
        <v>3</v>
      </c>
      <c r="E363" s="68"/>
      <c r="F363" s="69">
        <v>40</v>
      </c>
      <c r="G363" s="66"/>
      <c r="H363" s="70"/>
      <c r="I363" s="71"/>
      <c r="J363" s="71"/>
      <c r="K363" s="35" t="s">
        <v>65</v>
      </c>
      <c r="L363" s="79">
        <v>363</v>
      </c>
      <c r="M363" s="79"/>
      <c r="N363" s="73"/>
      <c r="O363" s="81" t="s">
        <v>844</v>
      </c>
      <c r="P363" s="81" t="s">
        <v>199</v>
      </c>
      <c r="Q363" s="84" t="s">
        <v>1190</v>
      </c>
      <c r="R363" s="81" t="s">
        <v>501</v>
      </c>
      <c r="S363" s="81" t="s">
        <v>1860</v>
      </c>
      <c r="T363" s="86" t="str">
        <f>HYPERLINK("http://www.youtube.com/channel/UCjU5msKQEe1Bpc-z4WT6CsA")</f>
        <v>http://www.youtube.com/channel/UCjU5msKQEe1Bpc-z4WT6CsA</v>
      </c>
      <c r="U363" s="81"/>
      <c r="V363" s="81" t="s">
        <v>2321</v>
      </c>
      <c r="W363" s="86" t="str">
        <f>HYPERLINK("https://www.youtube.com/watch?v=xS_txj05aTQ")</f>
        <v>https://www.youtube.com/watch?v=xS_txj05aTQ</v>
      </c>
      <c r="X363" s="81" t="s">
        <v>2349</v>
      </c>
      <c r="Y363" s="81">
        <v>0</v>
      </c>
      <c r="Z363" s="88">
        <v>44040.25591435185</v>
      </c>
      <c r="AA363" s="88">
        <v>44040.25591435185</v>
      </c>
      <c r="AB363" s="81"/>
      <c r="AC363" s="81"/>
      <c r="AD363" s="84" t="s">
        <v>2390</v>
      </c>
      <c r="AE363" s="82">
        <v>1</v>
      </c>
      <c r="AF363" s="83" t="str">
        <f>REPLACE(INDEX(GroupVertices[Group],MATCH(Edges[[#This Row],[Vertex 1]],GroupVertices[Vertex],0)),1,1,"")</f>
        <v>10</v>
      </c>
      <c r="AG363" s="83" t="str">
        <f>REPLACE(INDEX(GroupVertices[Group],MATCH(Edges[[#This Row],[Vertex 2]],GroupVertices[Vertex],0)),1,1,"")</f>
        <v>10</v>
      </c>
      <c r="AH363" s="111">
        <v>1</v>
      </c>
      <c r="AI363" s="112">
        <v>50</v>
      </c>
      <c r="AJ363" s="111">
        <v>0</v>
      </c>
      <c r="AK363" s="112">
        <v>0</v>
      </c>
      <c r="AL363" s="111">
        <v>0</v>
      </c>
      <c r="AM363" s="112">
        <v>0</v>
      </c>
      <c r="AN363" s="111">
        <v>1</v>
      </c>
      <c r="AO363" s="112">
        <v>50</v>
      </c>
      <c r="AP363" s="111">
        <v>2</v>
      </c>
    </row>
    <row r="364" spans="1:42" ht="15">
      <c r="A364" s="65" t="s">
        <v>502</v>
      </c>
      <c r="B364" s="65" t="s">
        <v>834</v>
      </c>
      <c r="C364" s="66" t="s">
        <v>4651</v>
      </c>
      <c r="D364" s="67">
        <v>3</v>
      </c>
      <c r="E364" s="68"/>
      <c r="F364" s="69">
        <v>40</v>
      </c>
      <c r="G364" s="66"/>
      <c r="H364" s="70"/>
      <c r="I364" s="71"/>
      <c r="J364" s="71"/>
      <c r="K364" s="35" t="s">
        <v>65</v>
      </c>
      <c r="L364" s="79">
        <v>364</v>
      </c>
      <c r="M364" s="79"/>
      <c r="N364" s="73"/>
      <c r="O364" s="81" t="s">
        <v>844</v>
      </c>
      <c r="P364" s="81" t="s">
        <v>199</v>
      </c>
      <c r="Q364" s="84" t="s">
        <v>1191</v>
      </c>
      <c r="R364" s="81" t="s">
        <v>502</v>
      </c>
      <c r="S364" s="81" t="s">
        <v>1861</v>
      </c>
      <c r="T364" s="86" t="str">
        <f>HYPERLINK("http://www.youtube.com/channel/UCc75Eb2KclgOOUnkerIIHjw")</f>
        <v>http://www.youtube.com/channel/UCc75Eb2KclgOOUnkerIIHjw</v>
      </c>
      <c r="U364" s="81"/>
      <c r="V364" s="81" t="s">
        <v>2321</v>
      </c>
      <c r="W364" s="86" t="str">
        <f>HYPERLINK("https://www.youtube.com/watch?v=xS_txj05aTQ")</f>
        <v>https://www.youtube.com/watch?v=xS_txj05aTQ</v>
      </c>
      <c r="X364" s="81" t="s">
        <v>2349</v>
      </c>
      <c r="Y364" s="81">
        <v>0</v>
      </c>
      <c r="Z364" s="88">
        <v>44205.102743055555</v>
      </c>
      <c r="AA364" s="88">
        <v>44205.102743055555</v>
      </c>
      <c r="AB364" s="81"/>
      <c r="AC364" s="81"/>
      <c r="AD364" s="84" t="s">
        <v>2390</v>
      </c>
      <c r="AE364" s="82">
        <v>1</v>
      </c>
      <c r="AF364" s="83" t="str">
        <f>REPLACE(INDEX(GroupVertices[Group],MATCH(Edges[[#This Row],[Vertex 1]],GroupVertices[Vertex],0)),1,1,"")</f>
        <v>10</v>
      </c>
      <c r="AG364" s="83" t="str">
        <f>REPLACE(INDEX(GroupVertices[Group],MATCH(Edges[[#This Row],[Vertex 2]],GroupVertices[Vertex],0)),1,1,"")</f>
        <v>10</v>
      </c>
      <c r="AH364" s="111">
        <v>2</v>
      </c>
      <c r="AI364" s="112">
        <v>33.333333333333336</v>
      </c>
      <c r="AJ364" s="111">
        <v>0</v>
      </c>
      <c r="AK364" s="112">
        <v>0</v>
      </c>
      <c r="AL364" s="111">
        <v>0</v>
      </c>
      <c r="AM364" s="112">
        <v>0</v>
      </c>
      <c r="AN364" s="111">
        <v>4</v>
      </c>
      <c r="AO364" s="112">
        <v>66.66666666666667</v>
      </c>
      <c r="AP364" s="111">
        <v>6</v>
      </c>
    </row>
    <row r="365" spans="1:42" ht="15">
      <c r="A365" s="65" t="s">
        <v>503</v>
      </c>
      <c r="B365" s="65" t="s">
        <v>834</v>
      </c>
      <c r="C365" s="66" t="s">
        <v>4651</v>
      </c>
      <c r="D365" s="67">
        <v>3</v>
      </c>
      <c r="E365" s="68"/>
      <c r="F365" s="69">
        <v>40</v>
      </c>
      <c r="G365" s="66"/>
      <c r="H365" s="70"/>
      <c r="I365" s="71"/>
      <c r="J365" s="71"/>
      <c r="K365" s="35" t="s">
        <v>65</v>
      </c>
      <c r="L365" s="79">
        <v>365</v>
      </c>
      <c r="M365" s="79"/>
      <c r="N365" s="73"/>
      <c r="O365" s="81" t="s">
        <v>844</v>
      </c>
      <c r="P365" s="81" t="s">
        <v>199</v>
      </c>
      <c r="Q365" s="84" t="s">
        <v>1192</v>
      </c>
      <c r="R365" s="81" t="s">
        <v>503</v>
      </c>
      <c r="S365" s="81" t="s">
        <v>1862</v>
      </c>
      <c r="T365" s="86" t="str">
        <f>HYPERLINK("http://www.youtube.com/channel/UCwlIuUEYNSbAfoGgoEx2nIg")</f>
        <v>http://www.youtube.com/channel/UCwlIuUEYNSbAfoGgoEx2nIg</v>
      </c>
      <c r="U365" s="81"/>
      <c r="V365" s="81" t="s">
        <v>2321</v>
      </c>
      <c r="W365" s="86" t="str">
        <f>HYPERLINK("https://www.youtube.com/watch?v=xS_txj05aTQ")</f>
        <v>https://www.youtube.com/watch?v=xS_txj05aTQ</v>
      </c>
      <c r="X365" s="81" t="s">
        <v>2349</v>
      </c>
      <c r="Y365" s="81">
        <v>0</v>
      </c>
      <c r="Z365" s="88">
        <v>44271.86378472222</v>
      </c>
      <c r="AA365" s="88">
        <v>44271.86378472222</v>
      </c>
      <c r="AB365" s="81"/>
      <c r="AC365" s="81"/>
      <c r="AD365" s="84" t="s">
        <v>2390</v>
      </c>
      <c r="AE365" s="82">
        <v>1</v>
      </c>
      <c r="AF365" s="83" t="str">
        <f>REPLACE(INDEX(GroupVertices[Group],MATCH(Edges[[#This Row],[Vertex 1]],GroupVertices[Vertex],0)),1,1,"")</f>
        <v>10</v>
      </c>
      <c r="AG365" s="83" t="str">
        <f>REPLACE(INDEX(GroupVertices[Group],MATCH(Edges[[#This Row],[Vertex 2]],GroupVertices[Vertex],0)),1,1,"")</f>
        <v>10</v>
      </c>
      <c r="AH365" s="111">
        <v>2</v>
      </c>
      <c r="AI365" s="112">
        <v>33.333333333333336</v>
      </c>
      <c r="AJ365" s="111">
        <v>0</v>
      </c>
      <c r="AK365" s="112">
        <v>0</v>
      </c>
      <c r="AL365" s="111">
        <v>0</v>
      </c>
      <c r="AM365" s="112">
        <v>0</v>
      </c>
      <c r="AN365" s="111">
        <v>4</v>
      </c>
      <c r="AO365" s="112">
        <v>66.66666666666667</v>
      </c>
      <c r="AP365" s="111">
        <v>6</v>
      </c>
    </row>
    <row r="366" spans="1:42" ht="15">
      <c r="A366" s="65" t="s">
        <v>504</v>
      </c>
      <c r="B366" s="65" t="s">
        <v>834</v>
      </c>
      <c r="C366" s="66" t="s">
        <v>4651</v>
      </c>
      <c r="D366" s="67">
        <v>3</v>
      </c>
      <c r="E366" s="68"/>
      <c r="F366" s="69">
        <v>40</v>
      </c>
      <c r="G366" s="66"/>
      <c r="H366" s="70"/>
      <c r="I366" s="71"/>
      <c r="J366" s="71"/>
      <c r="K366" s="35" t="s">
        <v>65</v>
      </c>
      <c r="L366" s="79">
        <v>366</v>
      </c>
      <c r="M366" s="79"/>
      <c r="N366" s="73"/>
      <c r="O366" s="81" t="s">
        <v>844</v>
      </c>
      <c r="P366" s="81" t="s">
        <v>199</v>
      </c>
      <c r="Q366" s="84" t="s">
        <v>1193</v>
      </c>
      <c r="R366" s="81" t="s">
        <v>504</v>
      </c>
      <c r="S366" s="81" t="s">
        <v>1863</v>
      </c>
      <c r="T366" s="86" t="str">
        <f>HYPERLINK("http://www.youtube.com/channel/UCBncj-o42hfPG0TRJkaRWYw")</f>
        <v>http://www.youtube.com/channel/UCBncj-o42hfPG0TRJkaRWYw</v>
      </c>
      <c r="U366" s="81"/>
      <c r="V366" s="81" t="s">
        <v>2321</v>
      </c>
      <c r="W366" s="86" t="str">
        <f>HYPERLINK("https://www.youtube.com/watch?v=xS_txj05aTQ")</f>
        <v>https://www.youtube.com/watch?v=xS_txj05aTQ</v>
      </c>
      <c r="X366" s="81" t="s">
        <v>2349</v>
      </c>
      <c r="Y366" s="81">
        <v>0</v>
      </c>
      <c r="Z366" s="88">
        <v>44272.80636574074</v>
      </c>
      <c r="AA366" s="88">
        <v>44272.80636574074</v>
      </c>
      <c r="AB366" s="81"/>
      <c r="AC366" s="81"/>
      <c r="AD366" s="84" t="s">
        <v>2390</v>
      </c>
      <c r="AE366" s="82">
        <v>1</v>
      </c>
      <c r="AF366" s="83" t="str">
        <f>REPLACE(INDEX(GroupVertices[Group],MATCH(Edges[[#This Row],[Vertex 1]],GroupVertices[Vertex],0)),1,1,"")</f>
        <v>10</v>
      </c>
      <c r="AG366" s="83" t="str">
        <f>REPLACE(INDEX(GroupVertices[Group],MATCH(Edges[[#This Row],[Vertex 2]],GroupVertices[Vertex],0)),1,1,"")</f>
        <v>10</v>
      </c>
      <c r="AH366" s="111">
        <v>0</v>
      </c>
      <c r="AI366" s="112">
        <v>0</v>
      </c>
      <c r="AJ366" s="111">
        <v>0</v>
      </c>
      <c r="AK366" s="112">
        <v>0</v>
      </c>
      <c r="AL366" s="111">
        <v>0</v>
      </c>
      <c r="AM366" s="112">
        <v>0</v>
      </c>
      <c r="AN366" s="111">
        <v>5</v>
      </c>
      <c r="AO366" s="112">
        <v>100</v>
      </c>
      <c r="AP366" s="111">
        <v>5</v>
      </c>
    </row>
    <row r="367" spans="1:42" ht="15">
      <c r="A367" s="65" t="s">
        <v>505</v>
      </c>
      <c r="B367" s="65" t="s">
        <v>834</v>
      </c>
      <c r="C367" s="66" t="s">
        <v>4651</v>
      </c>
      <c r="D367" s="67">
        <v>3</v>
      </c>
      <c r="E367" s="68"/>
      <c r="F367" s="69">
        <v>40</v>
      </c>
      <c r="G367" s="66"/>
      <c r="H367" s="70"/>
      <c r="I367" s="71"/>
      <c r="J367" s="71"/>
      <c r="K367" s="35" t="s">
        <v>65</v>
      </c>
      <c r="L367" s="79">
        <v>367</v>
      </c>
      <c r="M367" s="79"/>
      <c r="N367" s="73"/>
      <c r="O367" s="81" t="s">
        <v>844</v>
      </c>
      <c r="P367" s="81" t="s">
        <v>199</v>
      </c>
      <c r="Q367" s="84" t="s">
        <v>1194</v>
      </c>
      <c r="R367" s="81" t="s">
        <v>505</v>
      </c>
      <c r="S367" s="81" t="s">
        <v>1864</v>
      </c>
      <c r="T367" s="86" t="str">
        <f>HYPERLINK("http://www.youtube.com/channel/UCUDtZqrtk59W9NYBMVzLfEw")</f>
        <v>http://www.youtube.com/channel/UCUDtZqrtk59W9NYBMVzLfEw</v>
      </c>
      <c r="U367" s="81"/>
      <c r="V367" s="81" t="s">
        <v>2321</v>
      </c>
      <c r="W367" s="86" t="str">
        <f>HYPERLINK("https://www.youtube.com/watch?v=xS_txj05aTQ")</f>
        <v>https://www.youtube.com/watch?v=xS_txj05aTQ</v>
      </c>
      <c r="X367" s="81" t="s">
        <v>2349</v>
      </c>
      <c r="Y367" s="81">
        <v>0</v>
      </c>
      <c r="Z367" s="88">
        <v>44325.52923611111</v>
      </c>
      <c r="AA367" s="88">
        <v>44325.52923611111</v>
      </c>
      <c r="AB367" s="81"/>
      <c r="AC367" s="81"/>
      <c r="AD367" s="84" t="s">
        <v>2390</v>
      </c>
      <c r="AE367" s="82">
        <v>1</v>
      </c>
      <c r="AF367" s="83" t="str">
        <f>REPLACE(INDEX(GroupVertices[Group],MATCH(Edges[[#This Row],[Vertex 1]],GroupVertices[Vertex],0)),1,1,"")</f>
        <v>10</v>
      </c>
      <c r="AG367" s="83" t="str">
        <f>REPLACE(INDEX(GroupVertices[Group],MATCH(Edges[[#This Row],[Vertex 2]],GroupVertices[Vertex],0)),1,1,"")</f>
        <v>10</v>
      </c>
      <c r="AH367" s="111">
        <v>1</v>
      </c>
      <c r="AI367" s="112">
        <v>2.7777777777777777</v>
      </c>
      <c r="AJ367" s="111">
        <v>4</v>
      </c>
      <c r="AK367" s="112">
        <v>11.11111111111111</v>
      </c>
      <c r="AL367" s="111">
        <v>0</v>
      </c>
      <c r="AM367" s="112">
        <v>0</v>
      </c>
      <c r="AN367" s="111">
        <v>31</v>
      </c>
      <c r="AO367" s="112">
        <v>86.11111111111111</v>
      </c>
      <c r="AP367" s="111">
        <v>36</v>
      </c>
    </row>
    <row r="368" spans="1:42" ht="15">
      <c r="A368" s="65" t="s">
        <v>506</v>
      </c>
      <c r="B368" s="65" t="s">
        <v>835</v>
      </c>
      <c r="C368" s="66" t="s">
        <v>4651</v>
      </c>
      <c r="D368" s="67">
        <v>3</v>
      </c>
      <c r="E368" s="68"/>
      <c r="F368" s="69">
        <v>40</v>
      </c>
      <c r="G368" s="66"/>
      <c r="H368" s="70"/>
      <c r="I368" s="71"/>
      <c r="J368" s="71"/>
      <c r="K368" s="35" t="s">
        <v>65</v>
      </c>
      <c r="L368" s="79">
        <v>368</v>
      </c>
      <c r="M368" s="79"/>
      <c r="N368" s="73"/>
      <c r="O368" s="81" t="s">
        <v>844</v>
      </c>
      <c r="P368" s="81" t="s">
        <v>199</v>
      </c>
      <c r="Q368" s="84" t="s">
        <v>1195</v>
      </c>
      <c r="R368" s="81" t="s">
        <v>506</v>
      </c>
      <c r="S368" s="81" t="s">
        <v>1865</v>
      </c>
      <c r="T368" s="86" t="str">
        <f>HYPERLINK("http://www.youtube.com/channel/UCUOSzv2bpjlN9dUF6AVGzlQ")</f>
        <v>http://www.youtube.com/channel/UCUOSzv2bpjlN9dUF6AVGzlQ</v>
      </c>
      <c r="U368" s="81"/>
      <c r="V368" s="81" t="s">
        <v>2322</v>
      </c>
      <c r="W368" s="86" t="str">
        <f>HYPERLINK("https://www.youtube.com/watch?v=5Q411ntL0jQ")</f>
        <v>https://www.youtube.com/watch?v=5Q411ntL0jQ</v>
      </c>
      <c r="X368" s="81" t="s">
        <v>2349</v>
      </c>
      <c r="Y368" s="81">
        <v>3</v>
      </c>
      <c r="Z368" s="88">
        <v>43915.2133912037</v>
      </c>
      <c r="AA368" s="88">
        <v>43915.2133912037</v>
      </c>
      <c r="AB368" s="81"/>
      <c r="AC368" s="81"/>
      <c r="AD368" s="84" t="s">
        <v>2390</v>
      </c>
      <c r="AE368" s="82">
        <v>1</v>
      </c>
      <c r="AF368" s="83" t="str">
        <f>REPLACE(INDEX(GroupVertices[Group],MATCH(Edges[[#This Row],[Vertex 1]],GroupVertices[Vertex],0)),1,1,"")</f>
        <v>11</v>
      </c>
      <c r="AG368" s="83" t="str">
        <f>REPLACE(INDEX(GroupVertices[Group],MATCH(Edges[[#This Row],[Vertex 2]],GroupVertices[Vertex],0)),1,1,"")</f>
        <v>11</v>
      </c>
      <c r="AH368" s="111">
        <v>1</v>
      </c>
      <c r="AI368" s="112">
        <v>50</v>
      </c>
      <c r="AJ368" s="111">
        <v>0</v>
      </c>
      <c r="AK368" s="112">
        <v>0</v>
      </c>
      <c r="AL368" s="111">
        <v>0</v>
      </c>
      <c r="AM368" s="112">
        <v>0</v>
      </c>
      <c r="AN368" s="111">
        <v>1</v>
      </c>
      <c r="AO368" s="112">
        <v>50</v>
      </c>
      <c r="AP368" s="111">
        <v>2</v>
      </c>
    </row>
    <row r="369" spans="1:42" ht="15">
      <c r="A369" s="65" t="s">
        <v>507</v>
      </c>
      <c r="B369" s="65" t="s">
        <v>508</v>
      </c>
      <c r="C369" s="66" t="s">
        <v>4651</v>
      </c>
      <c r="D369" s="67">
        <v>3</v>
      </c>
      <c r="E369" s="68"/>
      <c r="F369" s="69">
        <v>40</v>
      </c>
      <c r="G369" s="66"/>
      <c r="H369" s="70"/>
      <c r="I369" s="71"/>
      <c r="J369" s="71"/>
      <c r="K369" s="35" t="s">
        <v>65</v>
      </c>
      <c r="L369" s="79">
        <v>369</v>
      </c>
      <c r="M369" s="79"/>
      <c r="N369" s="73"/>
      <c r="O369" s="81" t="s">
        <v>845</v>
      </c>
      <c r="P369" s="81" t="s">
        <v>847</v>
      </c>
      <c r="Q369" s="84" t="s">
        <v>1196</v>
      </c>
      <c r="R369" s="81" t="s">
        <v>507</v>
      </c>
      <c r="S369" s="81" t="s">
        <v>1866</v>
      </c>
      <c r="T369" s="86" t="str">
        <f>HYPERLINK("http://www.youtube.com/channel/UCZUtl9CB3LvYHTFIQ7rkMPQ")</f>
        <v>http://www.youtube.com/channel/UCZUtl9CB3LvYHTFIQ7rkMPQ</v>
      </c>
      <c r="U369" s="81" t="s">
        <v>2237</v>
      </c>
      <c r="V369" s="81" t="s">
        <v>2322</v>
      </c>
      <c r="W369" s="86" t="str">
        <f>HYPERLINK("https://www.youtube.com/watch?v=5Q411ntL0jQ")</f>
        <v>https://www.youtube.com/watch?v=5Q411ntL0jQ</v>
      </c>
      <c r="X369" s="81" t="s">
        <v>2349</v>
      </c>
      <c r="Y369" s="81">
        <v>1</v>
      </c>
      <c r="Z369" s="88">
        <v>43915.324791666666</v>
      </c>
      <c r="AA369" s="88">
        <v>43915.324791666666</v>
      </c>
      <c r="AB369" s="81"/>
      <c r="AC369" s="81"/>
      <c r="AD369" s="84" t="s">
        <v>2390</v>
      </c>
      <c r="AE369" s="82">
        <v>1</v>
      </c>
      <c r="AF369" s="83" t="str">
        <f>REPLACE(INDEX(GroupVertices[Group],MATCH(Edges[[#This Row],[Vertex 1]],GroupVertices[Vertex],0)),1,1,"")</f>
        <v>11</v>
      </c>
      <c r="AG369" s="83" t="str">
        <f>REPLACE(INDEX(GroupVertices[Group],MATCH(Edges[[#This Row],[Vertex 2]],GroupVertices[Vertex],0)),1,1,"")</f>
        <v>11</v>
      </c>
      <c r="AH369" s="111">
        <v>1</v>
      </c>
      <c r="AI369" s="112">
        <v>7.6923076923076925</v>
      </c>
      <c r="AJ369" s="111">
        <v>0</v>
      </c>
      <c r="AK369" s="112">
        <v>0</v>
      </c>
      <c r="AL369" s="111">
        <v>0</v>
      </c>
      <c r="AM369" s="112">
        <v>0</v>
      </c>
      <c r="AN369" s="111">
        <v>12</v>
      </c>
      <c r="AO369" s="112">
        <v>92.3076923076923</v>
      </c>
      <c r="AP369" s="111">
        <v>13</v>
      </c>
    </row>
    <row r="370" spans="1:42" ht="15">
      <c r="A370" s="65" t="s">
        <v>508</v>
      </c>
      <c r="B370" s="65" t="s">
        <v>835</v>
      </c>
      <c r="C370" s="66" t="s">
        <v>4651</v>
      </c>
      <c r="D370" s="67">
        <v>3</v>
      </c>
      <c r="E370" s="68"/>
      <c r="F370" s="69">
        <v>40</v>
      </c>
      <c r="G370" s="66"/>
      <c r="H370" s="70"/>
      <c r="I370" s="71"/>
      <c r="J370" s="71"/>
      <c r="K370" s="35" t="s">
        <v>65</v>
      </c>
      <c r="L370" s="79">
        <v>370</v>
      </c>
      <c r="M370" s="79"/>
      <c r="N370" s="73"/>
      <c r="O370" s="81" t="s">
        <v>844</v>
      </c>
      <c r="P370" s="81" t="s">
        <v>199</v>
      </c>
      <c r="Q370" s="84" t="s">
        <v>1197</v>
      </c>
      <c r="R370" s="81" t="s">
        <v>508</v>
      </c>
      <c r="S370" s="81" t="s">
        <v>1867</v>
      </c>
      <c r="T370" s="86" t="str">
        <f>HYPERLINK("http://www.youtube.com/channel/UCe6oxU_T8mj_K-r5deB1Mkg")</f>
        <v>http://www.youtube.com/channel/UCe6oxU_T8mj_K-r5deB1Mkg</v>
      </c>
      <c r="U370" s="81"/>
      <c r="V370" s="81" t="s">
        <v>2322</v>
      </c>
      <c r="W370" s="86" t="str">
        <f>HYPERLINK("https://www.youtube.com/watch?v=5Q411ntL0jQ")</f>
        <v>https://www.youtube.com/watch?v=5Q411ntL0jQ</v>
      </c>
      <c r="X370" s="81" t="s">
        <v>2349</v>
      </c>
      <c r="Y370" s="81">
        <v>2</v>
      </c>
      <c r="Z370" s="88">
        <v>43915.22539351852</v>
      </c>
      <c r="AA370" s="88">
        <v>43915.22539351852</v>
      </c>
      <c r="AB370" s="81"/>
      <c r="AC370" s="81"/>
      <c r="AD370" s="84" t="s">
        <v>2390</v>
      </c>
      <c r="AE370" s="82">
        <v>1</v>
      </c>
      <c r="AF370" s="83" t="str">
        <f>REPLACE(INDEX(GroupVertices[Group],MATCH(Edges[[#This Row],[Vertex 1]],GroupVertices[Vertex],0)),1,1,"")</f>
        <v>11</v>
      </c>
      <c r="AG370" s="83" t="str">
        <f>REPLACE(INDEX(GroupVertices[Group],MATCH(Edges[[#This Row],[Vertex 2]],GroupVertices[Vertex],0)),1,1,"")</f>
        <v>11</v>
      </c>
      <c r="AH370" s="111">
        <v>0</v>
      </c>
      <c r="AI370" s="112">
        <v>0</v>
      </c>
      <c r="AJ370" s="111">
        <v>0</v>
      </c>
      <c r="AK370" s="112">
        <v>0</v>
      </c>
      <c r="AL370" s="111">
        <v>0</v>
      </c>
      <c r="AM370" s="112">
        <v>0</v>
      </c>
      <c r="AN370" s="111">
        <v>5</v>
      </c>
      <c r="AO370" s="112">
        <v>100</v>
      </c>
      <c r="AP370" s="111">
        <v>5</v>
      </c>
    </row>
    <row r="371" spans="1:42" ht="15">
      <c r="A371" s="65" t="s">
        <v>509</v>
      </c>
      <c r="B371" s="65" t="s">
        <v>835</v>
      </c>
      <c r="C371" s="66" t="s">
        <v>4651</v>
      </c>
      <c r="D371" s="67">
        <v>3</v>
      </c>
      <c r="E371" s="68"/>
      <c r="F371" s="69">
        <v>40</v>
      </c>
      <c r="G371" s="66"/>
      <c r="H371" s="70"/>
      <c r="I371" s="71"/>
      <c r="J371" s="71"/>
      <c r="K371" s="35" t="s">
        <v>65</v>
      </c>
      <c r="L371" s="79">
        <v>371</v>
      </c>
      <c r="M371" s="79"/>
      <c r="N371" s="73"/>
      <c r="O371" s="81" t="s">
        <v>844</v>
      </c>
      <c r="P371" s="81" t="s">
        <v>199</v>
      </c>
      <c r="Q371" s="84" t="s">
        <v>1198</v>
      </c>
      <c r="R371" s="81" t="s">
        <v>509</v>
      </c>
      <c r="S371" s="81" t="s">
        <v>1868</v>
      </c>
      <c r="T371" s="86" t="str">
        <f>HYPERLINK("http://www.youtube.com/channel/UC6_tiK1bj4l8UmfrAcCuV1Q")</f>
        <v>http://www.youtube.com/channel/UC6_tiK1bj4l8UmfrAcCuV1Q</v>
      </c>
      <c r="U371" s="81"/>
      <c r="V371" s="81" t="s">
        <v>2322</v>
      </c>
      <c r="W371" s="86" t="str">
        <f>HYPERLINK("https://www.youtube.com/watch?v=5Q411ntL0jQ")</f>
        <v>https://www.youtube.com/watch?v=5Q411ntL0jQ</v>
      </c>
      <c r="X371" s="81" t="s">
        <v>2349</v>
      </c>
      <c r="Y371" s="81">
        <v>2</v>
      </c>
      <c r="Z371" s="88">
        <v>43915.23173611111</v>
      </c>
      <c r="AA371" s="88">
        <v>43915.23173611111</v>
      </c>
      <c r="AB371" s="81"/>
      <c r="AC371" s="81"/>
      <c r="AD371" s="84" t="s">
        <v>2390</v>
      </c>
      <c r="AE371" s="82">
        <v>1</v>
      </c>
      <c r="AF371" s="83" t="str">
        <f>REPLACE(INDEX(GroupVertices[Group],MATCH(Edges[[#This Row],[Vertex 1]],GroupVertices[Vertex],0)),1,1,"")</f>
        <v>11</v>
      </c>
      <c r="AG371" s="83" t="str">
        <f>REPLACE(INDEX(GroupVertices[Group],MATCH(Edges[[#This Row],[Vertex 2]],GroupVertices[Vertex],0)),1,1,"")</f>
        <v>11</v>
      </c>
      <c r="AH371" s="111">
        <v>0</v>
      </c>
      <c r="AI371" s="112">
        <v>0</v>
      </c>
      <c r="AJ371" s="111">
        <v>0</v>
      </c>
      <c r="AK371" s="112">
        <v>0</v>
      </c>
      <c r="AL371" s="111">
        <v>0</v>
      </c>
      <c r="AM371" s="112">
        <v>0</v>
      </c>
      <c r="AN371" s="111">
        <v>3</v>
      </c>
      <c r="AO371" s="112">
        <v>100</v>
      </c>
      <c r="AP371" s="111">
        <v>3</v>
      </c>
    </row>
    <row r="372" spans="1:42" ht="15">
      <c r="A372" s="65" t="s">
        <v>510</v>
      </c>
      <c r="B372" s="65" t="s">
        <v>835</v>
      </c>
      <c r="C372" s="66" t="s">
        <v>4651</v>
      </c>
      <c r="D372" s="67">
        <v>3</v>
      </c>
      <c r="E372" s="68"/>
      <c r="F372" s="69">
        <v>40</v>
      </c>
      <c r="G372" s="66"/>
      <c r="H372" s="70"/>
      <c r="I372" s="71"/>
      <c r="J372" s="71"/>
      <c r="K372" s="35" t="s">
        <v>65</v>
      </c>
      <c r="L372" s="79">
        <v>372</v>
      </c>
      <c r="M372" s="79"/>
      <c r="N372" s="73"/>
      <c r="O372" s="81" t="s">
        <v>844</v>
      </c>
      <c r="P372" s="81" t="s">
        <v>199</v>
      </c>
      <c r="Q372" s="84" t="s">
        <v>882</v>
      </c>
      <c r="R372" s="81" t="s">
        <v>510</v>
      </c>
      <c r="S372" s="81" t="s">
        <v>1869</v>
      </c>
      <c r="T372" s="86" t="str">
        <f>HYPERLINK("http://www.youtube.com/channel/UClBN0jShxrWa70rM-9O6dCQ")</f>
        <v>http://www.youtube.com/channel/UClBN0jShxrWa70rM-9O6dCQ</v>
      </c>
      <c r="U372" s="81"/>
      <c r="V372" s="81" t="s">
        <v>2322</v>
      </c>
      <c r="W372" s="86" t="str">
        <f>HYPERLINK("https://www.youtube.com/watch?v=5Q411ntL0jQ")</f>
        <v>https://www.youtube.com/watch?v=5Q411ntL0jQ</v>
      </c>
      <c r="X372" s="81" t="s">
        <v>2349</v>
      </c>
      <c r="Y372" s="81">
        <v>4</v>
      </c>
      <c r="Z372" s="88">
        <v>43915.23741898148</v>
      </c>
      <c r="AA372" s="88">
        <v>43915.23741898148</v>
      </c>
      <c r="AB372" s="81"/>
      <c r="AC372" s="81"/>
      <c r="AD372" s="84" t="s">
        <v>2390</v>
      </c>
      <c r="AE372" s="82">
        <v>1</v>
      </c>
      <c r="AF372" s="83" t="str">
        <f>REPLACE(INDEX(GroupVertices[Group],MATCH(Edges[[#This Row],[Vertex 1]],GroupVertices[Vertex],0)),1,1,"")</f>
        <v>11</v>
      </c>
      <c r="AG372" s="83" t="str">
        <f>REPLACE(INDEX(GroupVertices[Group],MATCH(Edges[[#This Row],[Vertex 2]],GroupVertices[Vertex],0)),1,1,"")</f>
        <v>11</v>
      </c>
      <c r="AH372" s="111">
        <v>0</v>
      </c>
      <c r="AI372" s="112">
        <v>0</v>
      </c>
      <c r="AJ372" s="111">
        <v>0</v>
      </c>
      <c r="AK372" s="112">
        <v>0</v>
      </c>
      <c r="AL372" s="111">
        <v>0</v>
      </c>
      <c r="AM372" s="112">
        <v>0</v>
      </c>
      <c r="AN372" s="111">
        <v>2</v>
      </c>
      <c r="AO372" s="112">
        <v>100</v>
      </c>
      <c r="AP372" s="111">
        <v>2</v>
      </c>
    </row>
    <row r="373" spans="1:42" ht="15">
      <c r="A373" s="65" t="s">
        <v>511</v>
      </c>
      <c r="B373" s="65" t="s">
        <v>835</v>
      </c>
      <c r="C373" s="66" t="s">
        <v>4651</v>
      </c>
      <c r="D373" s="67">
        <v>3</v>
      </c>
      <c r="E373" s="68"/>
      <c r="F373" s="69">
        <v>40</v>
      </c>
      <c r="G373" s="66"/>
      <c r="H373" s="70"/>
      <c r="I373" s="71"/>
      <c r="J373" s="71"/>
      <c r="K373" s="35" t="s">
        <v>65</v>
      </c>
      <c r="L373" s="79">
        <v>373</v>
      </c>
      <c r="M373" s="79"/>
      <c r="N373" s="73"/>
      <c r="O373" s="81" t="s">
        <v>844</v>
      </c>
      <c r="P373" s="81" t="s">
        <v>199</v>
      </c>
      <c r="Q373" s="84" t="s">
        <v>1199</v>
      </c>
      <c r="R373" s="81" t="s">
        <v>511</v>
      </c>
      <c r="S373" s="81" t="s">
        <v>1870</v>
      </c>
      <c r="T373" s="86" t="str">
        <f>HYPERLINK("http://www.youtube.com/channel/UCb1r9sNaQG8VV2wmNcPlCHw")</f>
        <v>http://www.youtube.com/channel/UCb1r9sNaQG8VV2wmNcPlCHw</v>
      </c>
      <c r="U373" s="81"/>
      <c r="V373" s="81" t="s">
        <v>2322</v>
      </c>
      <c r="W373" s="86" t="str">
        <f>HYPERLINK("https://www.youtube.com/watch?v=5Q411ntL0jQ")</f>
        <v>https://www.youtube.com/watch?v=5Q411ntL0jQ</v>
      </c>
      <c r="X373" s="81" t="s">
        <v>2349</v>
      </c>
      <c r="Y373" s="81">
        <v>2</v>
      </c>
      <c r="Z373" s="88">
        <v>43915.243055555555</v>
      </c>
      <c r="AA373" s="88">
        <v>43915.243055555555</v>
      </c>
      <c r="AB373" s="81"/>
      <c r="AC373" s="81"/>
      <c r="AD373" s="84" t="s">
        <v>2390</v>
      </c>
      <c r="AE373" s="82">
        <v>1</v>
      </c>
      <c r="AF373" s="83" t="str">
        <f>REPLACE(INDEX(GroupVertices[Group],MATCH(Edges[[#This Row],[Vertex 1]],GroupVertices[Vertex],0)),1,1,"")</f>
        <v>11</v>
      </c>
      <c r="AG373" s="83" t="str">
        <f>REPLACE(INDEX(GroupVertices[Group],MATCH(Edges[[#This Row],[Vertex 2]],GroupVertices[Vertex],0)),1,1,"")</f>
        <v>11</v>
      </c>
      <c r="AH373" s="111">
        <v>0</v>
      </c>
      <c r="AI373" s="112">
        <v>0</v>
      </c>
      <c r="AJ373" s="111">
        <v>0</v>
      </c>
      <c r="AK373" s="112">
        <v>0</v>
      </c>
      <c r="AL373" s="111">
        <v>0</v>
      </c>
      <c r="AM373" s="112">
        <v>0</v>
      </c>
      <c r="AN373" s="111">
        <v>6</v>
      </c>
      <c r="AO373" s="112">
        <v>100</v>
      </c>
      <c r="AP373" s="111">
        <v>6</v>
      </c>
    </row>
    <row r="374" spans="1:42" ht="15">
      <c r="A374" s="65" t="s">
        <v>512</v>
      </c>
      <c r="B374" s="65" t="s">
        <v>835</v>
      </c>
      <c r="C374" s="66" t="s">
        <v>4651</v>
      </c>
      <c r="D374" s="67">
        <v>3</v>
      </c>
      <c r="E374" s="68"/>
      <c r="F374" s="69">
        <v>40</v>
      </c>
      <c r="G374" s="66"/>
      <c r="H374" s="70"/>
      <c r="I374" s="71"/>
      <c r="J374" s="71"/>
      <c r="K374" s="35" t="s">
        <v>65</v>
      </c>
      <c r="L374" s="79">
        <v>374</v>
      </c>
      <c r="M374" s="79"/>
      <c r="N374" s="73"/>
      <c r="O374" s="81" t="s">
        <v>844</v>
      </c>
      <c r="P374" s="81" t="s">
        <v>199</v>
      </c>
      <c r="Q374" s="84" t="s">
        <v>1200</v>
      </c>
      <c r="R374" s="81" t="s">
        <v>512</v>
      </c>
      <c r="S374" s="81" t="s">
        <v>1871</v>
      </c>
      <c r="T374" s="86" t="str">
        <f>HYPERLINK("http://www.youtube.com/channel/UCH-CAPoK2f1La6ITUKe5xsQ")</f>
        <v>http://www.youtube.com/channel/UCH-CAPoK2f1La6ITUKe5xsQ</v>
      </c>
      <c r="U374" s="81"/>
      <c r="V374" s="81" t="s">
        <v>2322</v>
      </c>
      <c r="W374" s="86" t="str">
        <f>HYPERLINK("https://www.youtube.com/watch?v=5Q411ntL0jQ")</f>
        <v>https://www.youtube.com/watch?v=5Q411ntL0jQ</v>
      </c>
      <c r="X374" s="81" t="s">
        <v>2349</v>
      </c>
      <c r="Y374" s="81">
        <v>3</v>
      </c>
      <c r="Z374" s="88">
        <v>43915.273356481484</v>
      </c>
      <c r="AA374" s="88">
        <v>43915.273356481484</v>
      </c>
      <c r="AB374" s="81"/>
      <c r="AC374" s="81"/>
      <c r="AD374" s="84" t="s">
        <v>2390</v>
      </c>
      <c r="AE374" s="82">
        <v>1</v>
      </c>
      <c r="AF374" s="83" t="str">
        <f>REPLACE(INDEX(GroupVertices[Group],MATCH(Edges[[#This Row],[Vertex 1]],GroupVertices[Vertex],0)),1,1,"")</f>
        <v>11</v>
      </c>
      <c r="AG374" s="83" t="str">
        <f>REPLACE(INDEX(GroupVertices[Group],MATCH(Edges[[#This Row],[Vertex 2]],GroupVertices[Vertex],0)),1,1,"")</f>
        <v>11</v>
      </c>
      <c r="AH374" s="111">
        <v>0</v>
      </c>
      <c r="AI374" s="112">
        <v>0</v>
      </c>
      <c r="AJ374" s="111">
        <v>0</v>
      </c>
      <c r="AK374" s="112">
        <v>0</v>
      </c>
      <c r="AL374" s="111">
        <v>0</v>
      </c>
      <c r="AM374" s="112">
        <v>0</v>
      </c>
      <c r="AN374" s="111">
        <v>9</v>
      </c>
      <c r="AO374" s="112">
        <v>100</v>
      </c>
      <c r="AP374" s="111">
        <v>9</v>
      </c>
    </row>
    <row r="375" spans="1:42" ht="15">
      <c r="A375" s="65" t="s">
        <v>513</v>
      </c>
      <c r="B375" s="65" t="s">
        <v>835</v>
      </c>
      <c r="C375" s="66" t="s">
        <v>4651</v>
      </c>
      <c r="D375" s="67">
        <v>3</v>
      </c>
      <c r="E375" s="68"/>
      <c r="F375" s="69">
        <v>40</v>
      </c>
      <c r="G375" s="66"/>
      <c r="H375" s="70"/>
      <c r="I375" s="71"/>
      <c r="J375" s="71"/>
      <c r="K375" s="35" t="s">
        <v>65</v>
      </c>
      <c r="L375" s="79">
        <v>375</v>
      </c>
      <c r="M375" s="79"/>
      <c r="N375" s="73"/>
      <c r="O375" s="81" t="s">
        <v>844</v>
      </c>
      <c r="P375" s="81" t="s">
        <v>199</v>
      </c>
      <c r="Q375" s="84" t="s">
        <v>1201</v>
      </c>
      <c r="R375" s="81" t="s">
        <v>513</v>
      </c>
      <c r="S375" s="81" t="s">
        <v>1872</v>
      </c>
      <c r="T375" s="86" t="str">
        <f>HYPERLINK("http://www.youtube.com/channel/UCq3GPCRAUpLZJmZ-SAomWwg")</f>
        <v>http://www.youtube.com/channel/UCq3GPCRAUpLZJmZ-SAomWwg</v>
      </c>
      <c r="U375" s="81"/>
      <c r="V375" s="81" t="s">
        <v>2322</v>
      </c>
      <c r="W375" s="86" t="str">
        <f>HYPERLINK("https://www.youtube.com/watch?v=5Q411ntL0jQ")</f>
        <v>https://www.youtube.com/watch?v=5Q411ntL0jQ</v>
      </c>
      <c r="X375" s="81" t="s">
        <v>2349</v>
      </c>
      <c r="Y375" s="81">
        <v>0</v>
      </c>
      <c r="Z375" s="88">
        <v>43915.290555555555</v>
      </c>
      <c r="AA375" s="88">
        <v>43915.290555555555</v>
      </c>
      <c r="AB375" s="81"/>
      <c r="AC375" s="81"/>
      <c r="AD375" s="84" t="s">
        <v>2390</v>
      </c>
      <c r="AE375" s="82">
        <v>1</v>
      </c>
      <c r="AF375" s="83" t="str">
        <f>REPLACE(INDEX(GroupVertices[Group],MATCH(Edges[[#This Row],[Vertex 1]],GroupVertices[Vertex],0)),1,1,"")</f>
        <v>11</v>
      </c>
      <c r="AG375" s="83" t="str">
        <f>REPLACE(INDEX(GroupVertices[Group],MATCH(Edges[[#This Row],[Vertex 2]],GroupVertices[Vertex],0)),1,1,"")</f>
        <v>11</v>
      </c>
      <c r="AH375" s="111">
        <v>0</v>
      </c>
      <c r="AI375" s="112">
        <v>0</v>
      </c>
      <c r="AJ375" s="111">
        <v>0</v>
      </c>
      <c r="AK375" s="112">
        <v>0</v>
      </c>
      <c r="AL375" s="111">
        <v>0</v>
      </c>
      <c r="AM375" s="112">
        <v>0</v>
      </c>
      <c r="AN375" s="111">
        <v>11</v>
      </c>
      <c r="AO375" s="112">
        <v>100</v>
      </c>
      <c r="AP375" s="111">
        <v>11</v>
      </c>
    </row>
    <row r="376" spans="1:42" ht="15">
      <c r="A376" s="65" t="s">
        <v>514</v>
      </c>
      <c r="B376" s="65" t="s">
        <v>507</v>
      </c>
      <c r="C376" s="66" t="s">
        <v>4651</v>
      </c>
      <c r="D376" s="67">
        <v>3</v>
      </c>
      <c r="E376" s="68"/>
      <c r="F376" s="69">
        <v>40</v>
      </c>
      <c r="G376" s="66"/>
      <c r="H376" s="70"/>
      <c r="I376" s="71"/>
      <c r="J376" s="71"/>
      <c r="K376" s="35" t="s">
        <v>65</v>
      </c>
      <c r="L376" s="79">
        <v>376</v>
      </c>
      <c r="M376" s="79"/>
      <c r="N376" s="73"/>
      <c r="O376" s="81" t="s">
        <v>845</v>
      </c>
      <c r="P376" s="81" t="s">
        <v>847</v>
      </c>
      <c r="Q376" s="84" t="s">
        <v>1202</v>
      </c>
      <c r="R376" s="81" t="s">
        <v>514</v>
      </c>
      <c r="S376" s="81" t="s">
        <v>1873</v>
      </c>
      <c r="T376" s="86" t="str">
        <f>HYPERLINK("http://www.youtube.com/channel/UCrjCeiq-TQ1mxwSVrb56_tw")</f>
        <v>http://www.youtube.com/channel/UCrjCeiq-TQ1mxwSVrb56_tw</v>
      </c>
      <c r="U376" s="81" t="s">
        <v>2238</v>
      </c>
      <c r="V376" s="81" t="s">
        <v>2322</v>
      </c>
      <c r="W376" s="86" t="str">
        <f>HYPERLINK("https://www.youtube.com/watch?v=5Q411ntL0jQ")</f>
        <v>https://www.youtube.com/watch?v=5Q411ntL0jQ</v>
      </c>
      <c r="X376" s="81" t="s">
        <v>2349</v>
      </c>
      <c r="Y376" s="81">
        <v>0</v>
      </c>
      <c r="Z376" s="88">
        <v>44298.478854166664</v>
      </c>
      <c r="AA376" s="88">
        <v>44298.478854166664</v>
      </c>
      <c r="AB376" s="81"/>
      <c r="AC376" s="81"/>
      <c r="AD376" s="84" t="s">
        <v>2390</v>
      </c>
      <c r="AE376" s="82">
        <v>1</v>
      </c>
      <c r="AF376" s="83" t="str">
        <f>REPLACE(INDEX(GroupVertices[Group],MATCH(Edges[[#This Row],[Vertex 1]],GroupVertices[Vertex],0)),1,1,"")</f>
        <v>11</v>
      </c>
      <c r="AG376" s="83" t="str">
        <f>REPLACE(INDEX(GroupVertices[Group],MATCH(Edges[[#This Row],[Vertex 2]],GroupVertices[Vertex],0)),1,1,"")</f>
        <v>11</v>
      </c>
      <c r="AH376" s="111">
        <v>1</v>
      </c>
      <c r="AI376" s="112">
        <v>6.666666666666667</v>
      </c>
      <c r="AJ376" s="111">
        <v>1</v>
      </c>
      <c r="AK376" s="112">
        <v>6.666666666666667</v>
      </c>
      <c r="AL376" s="111">
        <v>0</v>
      </c>
      <c r="AM376" s="112">
        <v>0</v>
      </c>
      <c r="AN376" s="111">
        <v>13</v>
      </c>
      <c r="AO376" s="112">
        <v>86.66666666666667</v>
      </c>
      <c r="AP376" s="111">
        <v>15</v>
      </c>
    </row>
    <row r="377" spans="1:42" ht="15">
      <c r="A377" s="65" t="s">
        <v>507</v>
      </c>
      <c r="B377" s="65" t="s">
        <v>835</v>
      </c>
      <c r="C377" s="66" t="s">
        <v>4651</v>
      </c>
      <c r="D377" s="67">
        <v>3</v>
      </c>
      <c r="E377" s="68"/>
      <c r="F377" s="69">
        <v>40</v>
      </c>
      <c r="G377" s="66"/>
      <c r="H377" s="70"/>
      <c r="I377" s="71"/>
      <c r="J377" s="71"/>
      <c r="K377" s="35" t="s">
        <v>65</v>
      </c>
      <c r="L377" s="79">
        <v>377</v>
      </c>
      <c r="M377" s="79"/>
      <c r="N377" s="73"/>
      <c r="O377" s="81" t="s">
        <v>844</v>
      </c>
      <c r="P377" s="81" t="s">
        <v>199</v>
      </c>
      <c r="Q377" s="84" t="s">
        <v>1203</v>
      </c>
      <c r="R377" s="81" t="s">
        <v>507</v>
      </c>
      <c r="S377" s="81" t="s">
        <v>1866</v>
      </c>
      <c r="T377" s="86" t="str">
        <f>HYPERLINK("http://www.youtube.com/channel/UCZUtl9CB3LvYHTFIQ7rkMPQ")</f>
        <v>http://www.youtube.com/channel/UCZUtl9CB3LvYHTFIQ7rkMPQ</v>
      </c>
      <c r="U377" s="81"/>
      <c r="V377" s="81" t="s">
        <v>2322</v>
      </c>
      <c r="W377" s="86" t="str">
        <f>HYPERLINK("https://www.youtube.com/watch?v=5Q411ntL0jQ")</f>
        <v>https://www.youtube.com/watch?v=5Q411ntL0jQ</v>
      </c>
      <c r="X377" s="81" t="s">
        <v>2349</v>
      </c>
      <c r="Y377" s="81">
        <v>3</v>
      </c>
      <c r="Z377" s="88">
        <v>43915.324270833335</v>
      </c>
      <c r="AA377" s="88">
        <v>43915.32528935185</v>
      </c>
      <c r="AB377" s="81" t="s">
        <v>2369</v>
      </c>
      <c r="AC377" s="81" t="s">
        <v>2379</v>
      </c>
      <c r="AD377" s="84" t="s">
        <v>2390</v>
      </c>
      <c r="AE377" s="82">
        <v>1</v>
      </c>
      <c r="AF377" s="83" t="str">
        <f>REPLACE(INDEX(GroupVertices[Group],MATCH(Edges[[#This Row],[Vertex 1]],GroupVertices[Vertex],0)),1,1,"")</f>
        <v>11</v>
      </c>
      <c r="AG377" s="83" t="str">
        <f>REPLACE(INDEX(GroupVertices[Group],MATCH(Edges[[#This Row],[Vertex 2]],GroupVertices[Vertex],0)),1,1,"")</f>
        <v>11</v>
      </c>
      <c r="AH377" s="111">
        <v>2</v>
      </c>
      <c r="AI377" s="112">
        <v>3.1746031746031744</v>
      </c>
      <c r="AJ377" s="111">
        <v>2</v>
      </c>
      <c r="AK377" s="112">
        <v>3.1746031746031744</v>
      </c>
      <c r="AL377" s="111">
        <v>0</v>
      </c>
      <c r="AM377" s="112">
        <v>0</v>
      </c>
      <c r="AN377" s="111">
        <v>59</v>
      </c>
      <c r="AO377" s="112">
        <v>93.65079365079364</v>
      </c>
      <c r="AP377" s="111">
        <v>63</v>
      </c>
    </row>
    <row r="378" spans="1:42" ht="15">
      <c r="A378" s="65" t="s">
        <v>515</v>
      </c>
      <c r="B378" s="65" t="s">
        <v>835</v>
      </c>
      <c r="C378" s="66" t="s">
        <v>4651</v>
      </c>
      <c r="D378" s="67">
        <v>3</v>
      </c>
      <c r="E378" s="68"/>
      <c r="F378" s="69">
        <v>40</v>
      </c>
      <c r="G378" s="66"/>
      <c r="H378" s="70"/>
      <c r="I378" s="71"/>
      <c r="J378" s="71"/>
      <c r="K378" s="35" t="s">
        <v>65</v>
      </c>
      <c r="L378" s="79">
        <v>378</v>
      </c>
      <c r="M378" s="79"/>
      <c r="N378" s="73"/>
      <c r="O378" s="81" t="s">
        <v>844</v>
      </c>
      <c r="P378" s="81" t="s">
        <v>199</v>
      </c>
      <c r="Q378" s="84" t="s">
        <v>1204</v>
      </c>
      <c r="R378" s="81" t="s">
        <v>515</v>
      </c>
      <c r="S378" s="81" t="s">
        <v>1874</v>
      </c>
      <c r="T378" s="86" t="str">
        <f>HYPERLINK("http://www.youtube.com/channel/UC_45IzWOplbP9I-NwW8zhkw")</f>
        <v>http://www.youtube.com/channel/UC_45IzWOplbP9I-NwW8zhkw</v>
      </c>
      <c r="U378" s="81"/>
      <c r="V378" s="81" t="s">
        <v>2322</v>
      </c>
      <c r="W378" s="86" t="str">
        <f>HYPERLINK("https://www.youtube.com/watch?v=5Q411ntL0jQ")</f>
        <v>https://www.youtube.com/watch?v=5Q411ntL0jQ</v>
      </c>
      <c r="X378" s="81" t="s">
        <v>2349</v>
      </c>
      <c r="Y378" s="81">
        <v>2</v>
      </c>
      <c r="Z378" s="88">
        <v>43915.529386574075</v>
      </c>
      <c r="AA378" s="88">
        <v>43915.529386574075</v>
      </c>
      <c r="AB378" s="81"/>
      <c r="AC378" s="81"/>
      <c r="AD378" s="84" t="s">
        <v>2390</v>
      </c>
      <c r="AE378" s="82">
        <v>1</v>
      </c>
      <c r="AF378" s="83" t="str">
        <f>REPLACE(INDEX(GroupVertices[Group],MATCH(Edges[[#This Row],[Vertex 1]],GroupVertices[Vertex],0)),1,1,"")</f>
        <v>11</v>
      </c>
      <c r="AG378" s="83" t="str">
        <f>REPLACE(INDEX(GroupVertices[Group],MATCH(Edges[[#This Row],[Vertex 2]],GroupVertices[Vertex],0)),1,1,"")</f>
        <v>11</v>
      </c>
      <c r="AH378" s="111">
        <v>1</v>
      </c>
      <c r="AI378" s="112">
        <v>4.761904761904762</v>
      </c>
      <c r="AJ378" s="111">
        <v>1</v>
      </c>
      <c r="AK378" s="112">
        <v>4.761904761904762</v>
      </c>
      <c r="AL378" s="111">
        <v>0</v>
      </c>
      <c r="AM378" s="112">
        <v>0</v>
      </c>
      <c r="AN378" s="111">
        <v>19</v>
      </c>
      <c r="AO378" s="112">
        <v>90.47619047619048</v>
      </c>
      <c r="AP378" s="111">
        <v>21</v>
      </c>
    </row>
    <row r="379" spans="1:42" ht="15">
      <c r="A379" s="65" t="s">
        <v>516</v>
      </c>
      <c r="B379" s="65" t="s">
        <v>835</v>
      </c>
      <c r="C379" s="66" t="s">
        <v>4651</v>
      </c>
      <c r="D379" s="67">
        <v>3</v>
      </c>
      <c r="E379" s="68"/>
      <c r="F379" s="69">
        <v>40</v>
      </c>
      <c r="G379" s="66"/>
      <c r="H379" s="70"/>
      <c r="I379" s="71"/>
      <c r="J379" s="71"/>
      <c r="K379" s="35" t="s">
        <v>65</v>
      </c>
      <c r="L379" s="79">
        <v>379</v>
      </c>
      <c r="M379" s="79"/>
      <c r="N379" s="73"/>
      <c r="O379" s="81" t="s">
        <v>844</v>
      </c>
      <c r="P379" s="81" t="s">
        <v>199</v>
      </c>
      <c r="Q379" s="84" t="s">
        <v>1205</v>
      </c>
      <c r="R379" s="81" t="s">
        <v>516</v>
      </c>
      <c r="S379" s="81" t="s">
        <v>1875</v>
      </c>
      <c r="T379" s="86" t="str">
        <f>HYPERLINK("http://www.youtube.com/channel/UC1SQ6WLwqCw8z1OFqWrBvlg")</f>
        <v>http://www.youtube.com/channel/UC1SQ6WLwqCw8z1OFqWrBvlg</v>
      </c>
      <c r="U379" s="81"/>
      <c r="V379" s="81" t="s">
        <v>2322</v>
      </c>
      <c r="W379" s="86" t="str">
        <f>HYPERLINK("https://www.youtube.com/watch?v=5Q411ntL0jQ")</f>
        <v>https://www.youtube.com/watch?v=5Q411ntL0jQ</v>
      </c>
      <c r="X379" s="81" t="s">
        <v>2349</v>
      </c>
      <c r="Y379" s="81">
        <v>1</v>
      </c>
      <c r="Z379" s="88">
        <v>44088.21135416667</v>
      </c>
      <c r="AA379" s="88">
        <v>44088.21135416667</v>
      </c>
      <c r="AB379" s="81"/>
      <c r="AC379" s="81"/>
      <c r="AD379" s="84" t="s">
        <v>2390</v>
      </c>
      <c r="AE379" s="82">
        <v>1</v>
      </c>
      <c r="AF379" s="83" t="str">
        <f>REPLACE(INDEX(GroupVertices[Group],MATCH(Edges[[#This Row],[Vertex 1]],GroupVertices[Vertex],0)),1,1,"")</f>
        <v>11</v>
      </c>
      <c r="AG379" s="83" t="str">
        <f>REPLACE(INDEX(GroupVertices[Group],MATCH(Edges[[#This Row],[Vertex 2]],GroupVertices[Vertex],0)),1,1,"")</f>
        <v>11</v>
      </c>
      <c r="AH379" s="111">
        <v>1</v>
      </c>
      <c r="AI379" s="112">
        <v>11.11111111111111</v>
      </c>
      <c r="AJ379" s="111">
        <v>1</v>
      </c>
      <c r="AK379" s="112">
        <v>11.11111111111111</v>
      </c>
      <c r="AL379" s="111">
        <v>0</v>
      </c>
      <c r="AM379" s="112">
        <v>0</v>
      </c>
      <c r="AN379" s="111">
        <v>7</v>
      </c>
      <c r="AO379" s="112">
        <v>77.77777777777777</v>
      </c>
      <c r="AP379" s="111">
        <v>9</v>
      </c>
    </row>
    <row r="380" spans="1:42" ht="15">
      <c r="A380" s="65" t="s">
        <v>517</v>
      </c>
      <c r="B380" s="65" t="s">
        <v>835</v>
      </c>
      <c r="C380" s="66" t="s">
        <v>4651</v>
      </c>
      <c r="D380" s="67">
        <v>3</v>
      </c>
      <c r="E380" s="68"/>
      <c r="F380" s="69">
        <v>40</v>
      </c>
      <c r="G380" s="66"/>
      <c r="H380" s="70"/>
      <c r="I380" s="71"/>
      <c r="J380" s="71"/>
      <c r="K380" s="35" t="s">
        <v>65</v>
      </c>
      <c r="L380" s="79">
        <v>380</v>
      </c>
      <c r="M380" s="79"/>
      <c r="N380" s="73"/>
      <c r="O380" s="81" t="s">
        <v>844</v>
      </c>
      <c r="P380" s="81" t="s">
        <v>199</v>
      </c>
      <c r="Q380" s="84" t="s">
        <v>1206</v>
      </c>
      <c r="R380" s="81" t="s">
        <v>517</v>
      </c>
      <c r="S380" s="81" t="s">
        <v>1876</v>
      </c>
      <c r="T380" s="86" t="str">
        <f>HYPERLINK("http://www.youtube.com/channel/UCI8a254j9MYepxDRrR7iBBQ")</f>
        <v>http://www.youtube.com/channel/UCI8a254j9MYepxDRrR7iBBQ</v>
      </c>
      <c r="U380" s="81"/>
      <c r="V380" s="81" t="s">
        <v>2322</v>
      </c>
      <c r="W380" s="86" t="str">
        <f>HYPERLINK("https://www.youtube.com/watch?v=5Q411ntL0jQ")</f>
        <v>https://www.youtube.com/watch?v=5Q411ntL0jQ</v>
      </c>
      <c r="X380" s="81" t="s">
        <v>2349</v>
      </c>
      <c r="Y380" s="81">
        <v>0</v>
      </c>
      <c r="Z380" s="88">
        <v>44101.451944444445</v>
      </c>
      <c r="AA380" s="88">
        <v>44101.451944444445</v>
      </c>
      <c r="AB380" s="81"/>
      <c r="AC380" s="81"/>
      <c r="AD380" s="84" t="s">
        <v>2390</v>
      </c>
      <c r="AE380" s="82">
        <v>1</v>
      </c>
      <c r="AF380" s="83" t="str">
        <f>REPLACE(INDEX(GroupVertices[Group],MATCH(Edges[[#This Row],[Vertex 1]],GroupVertices[Vertex],0)),1,1,"")</f>
        <v>11</v>
      </c>
      <c r="AG380" s="83" t="str">
        <f>REPLACE(INDEX(GroupVertices[Group],MATCH(Edges[[#This Row],[Vertex 2]],GroupVertices[Vertex],0)),1,1,"")</f>
        <v>11</v>
      </c>
      <c r="AH380" s="111">
        <v>1</v>
      </c>
      <c r="AI380" s="112">
        <v>20</v>
      </c>
      <c r="AJ380" s="111">
        <v>0</v>
      </c>
      <c r="AK380" s="112">
        <v>0</v>
      </c>
      <c r="AL380" s="111">
        <v>0</v>
      </c>
      <c r="AM380" s="112">
        <v>0</v>
      </c>
      <c r="AN380" s="111">
        <v>4</v>
      </c>
      <c r="AO380" s="112">
        <v>80</v>
      </c>
      <c r="AP380" s="111">
        <v>5</v>
      </c>
    </row>
    <row r="381" spans="1:42" ht="15">
      <c r="A381" s="65" t="s">
        <v>518</v>
      </c>
      <c r="B381" s="65" t="s">
        <v>835</v>
      </c>
      <c r="C381" s="66" t="s">
        <v>4651</v>
      </c>
      <c r="D381" s="67">
        <v>3</v>
      </c>
      <c r="E381" s="68"/>
      <c r="F381" s="69">
        <v>40</v>
      </c>
      <c r="G381" s="66"/>
      <c r="H381" s="70"/>
      <c r="I381" s="71"/>
      <c r="J381" s="71"/>
      <c r="K381" s="35" t="s">
        <v>65</v>
      </c>
      <c r="L381" s="79">
        <v>381</v>
      </c>
      <c r="M381" s="79"/>
      <c r="N381" s="73"/>
      <c r="O381" s="81" t="s">
        <v>844</v>
      </c>
      <c r="P381" s="81" t="s">
        <v>199</v>
      </c>
      <c r="Q381" s="84" t="s">
        <v>1207</v>
      </c>
      <c r="R381" s="81" t="s">
        <v>518</v>
      </c>
      <c r="S381" s="81" t="s">
        <v>1877</v>
      </c>
      <c r="T381" s="86" t="str">
        <f>HYPERLINK("http://www.youtube.com/channel/UCjnlw6abg_8YOV5FWEOJC-Q")</f>
        <v>http://www.youtube.com/channel/UCjnlw6abg_8YOV5FWEOJC-Q</v>
      </c>
      <c r="U381" s="81"/>
      <c r="V381" s="81" t="s">
        <v>2322</v>
      </c>
      <c r="W381" s="86" t="str">
        <f>HYPERLINK("https://www.youtube.com/watch?v=5Q411ntL0jQ")</f>
        <v>https://www.youtube.com/watch?v=5Q411ntL0jQ</v>
      </c>
      <c r="X381" s="81" t="s">
        <v>2349</v>
      </c>
      <c r="Y381" s="81">
        <v>1</v>
      </c>
      <c r="Z381" s="88">
        <v>44135.68951388889</v>
      </c>
      <c r="AA381" s="88">
        <v>44135.68951388889</v>
      </c>
      <c r="AB381" s="81"/>
      <c r="AC381" s="81"/>
      <c r="AD381" s="84" t="s">
        <v>2390</v>
      </c>
      <c r="AE381" s="82">
        <v>1</v>
      </c>
      <c r="AF381" s="83" t="str">
        <f>REPLACE(INDEX(GroupVertices[Group],MATCH(Edges[[#This Row],[Vertex 1]],GroupVertices[Vertex],0)),1,1,"")</f>
        <v>11</v>
      </c>
      <c r="AG381" s="83" t="str">
        <f>REPLACE(INDEX(GroupVertices[Group],MATCH(Edges[[#This Row],[Vertex 2]],GroupVertices[Vertex],0)),1,1,"")</f>
        <v>11</v>
      </c>
      <c r="AH381" s="111">
        <v>0</v>
      </c>
      <c r="AI381" s="112">
        <v>0</v>
      </c>
      <c r="AJ381" s="111">
        <v>0</v>
      </c>
      <c r="AK381" s="112">
        <v>0</v>
      </c>
      <c r="AL381" s="111">
        <v>0</v>
      </c>
      <c r="AM381" s="112">
        <v>0</v>
      </c>
      <c r="AN381" s="111">
        <v>10</v>
      </c>
      <c r="AO381" s="112">
        <v>100</v>
      </c>
      <c r="AP381" s="111">
        <v>10</v>
      </c>
    </row>
    <row r="382" spans="1:42" ht="15">
      <c r="A382" s="65" t="s">
        <v>519</v>
      </c>
      <c r="B382" s="65" t="s">
        <v>835</v>
      </c>
      <c r="C382" s="66" t="s">
        <v>4651</v>
      </c>
      <c r="D382" s="67">
        <v>3</v>
      </c>
      <c r="E382" s="68"/>
      <c r="F382" s="69">
        <v>40</v>
      </c>
      <c r="G382" s="66"/>
      <c r="H382" s="70"/>
      <c r="I382" s="71"/>
      <c r="J382" s="71"/>
      <c r="K382" s="35" t="s">
        <v>65</v>
      </c>
      <c r="L382" s="79">
        <v>382</v>
      </c>
      <c r="M382" s="79"/>
      <c r="N382" s="73"/>
      <c r="O382" s="81" t="s">
        <v>844</v>
      </c>
      <c r="P382" s="81" t="s">
        <v>199</v>
      </c>
      <c r="Q382" s="84" t="s">
        <v>1208</v>
      </c>
      <c r="R382" s="81" t="s">
        <v>519</v>
      </c>
      <c r="S382" s="81" t="s">
        <v>1878</v>
      </c>
      <c r="T382" s="86" t="str">
        <f>HYPERLINK("http://www.youtube.com/channel/UCEKepcrXySgFtDQgmfeg5gA")</f>
        <v>http://www.youtube.com/channel/UCEKepcrXySgFtDQgmfeg5gA</v>
      </c>
      <c r="U382" s="81"/>
      <c r="V382" s="81" t="s">
        <v>2322</v>
      </c>
      <c r="W382" s="86" t="str">
        <f>HYPERLINK("https://www.youtube.com/watch?v=5Q411ntL0jQ")</f>
        <v>https://www.youtube.com/watch?v=5Q411ntL0jQ</v>
      </c>
      <c r="X382" s="81" t="s">
        <v>2349</v>
      </c>
      <c r="Y382" s="81">
        <v>0</v>
      </c>
      <c r="Z382" s="88">
        <v>44226.22185185185</v>
      </c>
      <c r="AA382" s="88">
        <v>44226.22185185185</v>
      </c>
      <c r="AB382" s="81"/>
      <c r="AC382" s="81"/>
      <c r="AD382" s="84" t="s">
        <v>2390</v>
      </c>
      <c r="AE382" s="82">
        <v>1</v>
      </c>
      <c r="AF382" s="83" t="str">
        <f>REPLACE(INDEX(GroupVertices[Group],MATCH(Edges[[#This Row],[Vertex 1]],GroupVertices[Vertex],0)),1,1,"")</f>
        <v>11</v>
      </c>
      <c r="AG382" s="83" t="str">
        <f>REPLACE(INDEX(GroupVertices[Group],MATCH(Edges[[#This Row],[Vertex 2]],GroupVertices[Vertex],0)),1,1,"")</f>
        <v>11</v>
      </c>
      <c r="AH382" s="111">
        <v>2</v>
      </c>
      <c r="AI382" s="112">
        <v>33.333333333333336</v>
      </c>
      <c r="AJ382" s="111">
        <v>0</v>
      </c>
      <c r="AK382" s="112">
        <v>0</v>
      </c>
      <c r="AL382" s="111">
        <v>0</v>
      </c>
      <c r="AM382" s="112">
        <v>0</v>
      </c>
      <c r="AN382" s="111">
        <v>4</v>
      </c>
      <c r="AO382" s="112">
        <v>66.66666666666667</v>
      </c>
      <c r="AP382" s="111">
        <v>6</v>
      </c>
    </row>
    <row r="383" spans="1:42" ht="15">
      <c r="A383" s="65" t="s">
        <v>520</v>
      </c>
      <c r="B383" s="65" t="s">
        <v>835</v>
      </c>
      <c r="C383" s="66" t="s">
        <v>4651</v>
      </c>
      <c r="D383" s="67">
        <v>3</v>
      </c>
      <c r="E383" s="68"/>
      <c r="F383" s="69">
        <v>40</v>
      </c>
      <c r="G383" s="66"/>
      <c r="H383" s="70"/>
      <c r="I383" s="71"/>
      <c r="J383" s="71"/>
      <c r="K383" s="35" t="s">
        <v>65</v>
      </c>
      <c r="L383" s="79">
        <v>383</v>
      </c>
      <c r="M383" s="79"/>
      <c r="N383" s="73"/>
      <c r="O383" s="81" t="s">
        <v>844</v>
      </c>
      <c r="P383" s="81" t="s">
        <v>199</v>
      </c>
      <c r="Q383" s="84" t="s">
        <v>1209</v>
      </c>
      <c r="R383" s="81" t="s">
        <v>520</v>
      </c>
      <c r="S383" s="81" t="s">
        <v>1879</v>
      </c>
      <c r="T383" s="86" t="str">
        <f>HYPERLINK("http://www.youtube.com/channel/UCAMeifLg83EHL1oqulx7IvQ")</f>
        <v>http://www.youtube.com/channel/UCAMeifLg83EHL1oqulx7IvQ</v>
      </c>
      <c r="U383" s="81"/>
      <c r="V383" s="81" t="s">
        <v>2322</v>
      </c>
      <c r="W383" s="86" t="str">
        <f>HYPERLINK("https://www.youtube.com/watch?v=5Q411ntL0jQ")</f>
        <v>https://www.youtube.com/watch?v=5Q411ntL0jQ</v>
      </c>
      <c r="X383" s="81" t="s">
        <v>2349</v>
      </c>
      <c r="Y383" s="81">
        <v>2</v>
      </c>
      <c r="Z383" s="88">
        <v>44260.790451388886</v>
      </c>
      <c r="AA383" s="88">
        <v>44260.790451388886</v>
      </c>
      <c r="AB383" s="81"/>
      <c r="AC383" s="81"/>
      <c r="AD383" s="84" t="s">
        <v>2390</v>
      </c>
      <c r="AE383" s="82">
        <v>1</v>
      </c>
      <c r="AF383" s="83" t="str">
        <f>REPLACE(INDEX(GroupVertices[Group],MATCH(Edges[[#This Row],[Vertex 1]],GroupVertices[Vertex],0)),1,1,"")</f>
        <v>11</v>
      </c>
      <c r="AG383" s="83" t="str">
        <f>REPLACE(INDEX(GroupVertices[Group],MATCH(Edges[[#This Row],[Vertex 2]],GroupVertices[Vertex],0)),1,1,"")</f>
        <v>11</v>
      </c>
      <c r="AH383" s="111">
        <v>0</v>
      </c>
      <c r="AI383" s="112">
        <v>0</v>
      </c>
      <c r="AJ383" s="111">
        <v>0</v>
      </c>
      <c r="AK383" s="112">
        <v>0</v>
      </c>
      <c r="AL383" s="111">
        <v>0</v>
      </c>
      <c r="AM383" s="112">
        <v>0</v>
      </c>
      <c r="AN383" s="111">
        <v>7</v>
      </c>
      <c r="AO383" s="112">
        <v>100</v>
      </c>
      <c r="AP383" s="111">
        <v>7</v>
      </c>
    </row>
    <row r="384" spans="1:42" ht="15">
      <c r="A384" s="65" t="s">
        <v>521</v>
      </c>
      <c r="B384" s="65" t="s">
        <v>835</v>
      </c>
      <c r="C384" s="66" t="s">
        <v>4651</v>
      </c>
      <c r="D384" s="67">
        <v>3</v>
      </c>
      <c r="E384" s="68"/>
      <c r="F384" s="69">
        <v>40</v>
      </c>
      <c r="G384" s="66"/>
      <c r="H384" s="70"/>
      <c r="I384" s="71"/>
      <c r="J384" s="71"/>
      <c r="K384" s="35" t="s">
        <v>65</v>
      </c>
      <c r="L384" s="79">
        <v>384</v>
      </c>
      <c r="M384" s="79"/>
      <c r="N384" s="73"/>
      <c r="O384" s="81" t="s">
        <v>844</v>
      </c>
      <c r="P384" s="81" t="s">
        <v>199</v>
      </c>
      <c r="Q384" s="84" t="s">
        <v>1210</v>
      </c>
      <c r="R384" s="81" t="s">
        <v>521</v>
      </c>
      <c r="S384" s="81" t="s">
        <v>1880</v>
      </c>
      <c r="T384" s="86" t="str">
        <f>HYPERLINK("http://www.youtube.com/channel/UCgySfE0SXpRKvRrD6JBhVdg")</f>
        <v>http://www.youtube.com/channel/UCgySfE0SXpRKvRrD6JBhVdg</v>
      </c>
      <c r="U384" s="81"/>
      <c r="V384" s="81" t="s">
        <v>2322</v>
      </c>
      <c r="W384" s="86" t="str">
        <f>HYPERLINK("https://www.youtube.com/watch?v=5Q411ntL0jQ")</f>
        <v>https://www.youtube.com/watch?v=5Q411ntL0jQ</v>
      </c>
      <c r="X384" s="81" t="s">
        <v>2349</v>
      </c>
      <c r="Y384" s="81">
        <v>0</v>
      </c>
      <c r="Z384" s="88">
        <v>44301.45479166666</v>
      </c>
      <c r="AA384" s="88">
        <v>44301.45479166666</v>
      </c>
      <c r="AB384" s="81"/>
      <c r="AC384" s="81"/>
      <c r="AD384" s="84" t="s">
        <v>2390</v>
      </c>
      <c r="AE384" s="82">
        <v>1</v>
      </c>
      <c r="AF384" s="83" t="str">
        <f>REPLACE(INDEX(GroupVertices[Group],MATCH(Edges[[#This Row],[Vertex 1]],GroupVertices[Vertex],0)),1,1,"")</f>
        <v>11</v>
      </c>
      <c r="AG384" s="83" t="str">
        <f>REPLACE(INDEX(GroupVertices[Group],MATCH(Edges[[#This Row],[Vertex 2]],GroupVertices[Vertex],0)),1,1,"")</f>
        <v>11</v>
      </c>
      <c r="AH384" s="111">
        <v>0</v>
      </c>
      <c r="AI384" s="112">
        <v>0</v>
      </c>
      <c r="AJ384" s="111">
        <v>1</v>
      </c>
      <c r="AK384" s="112">
        <v>16.666666666666668</v>
      </c>
      <c r="AL384" s="111">
        <v>0</v>
      </c>
      <c r="AM384" s="112">
        <v>0</v>
      </c>
      <c r="AN384" s="111">
        <v>5</v>
      </c>
      <c r="AO384" s="112">
        <v>83.33333333333333</v>
      </c>
      <c r="AP384" s="111">
        <v>6</v>
      </c>
    </row>
    <row r="385" spans="1:42" ht="15">
      <c r="A385" s="65" t="s">
        <v>522</v>
      </c>
      <c r="B385" s="65" t="s">
        <v>835</v>
      </c>
      <c r="C385" s="66" t="s">
        <v>4651</v>
      </c>
      <c r="D385" s="67">
        <v>3</v>
      </c>
      <c r="E385" s="68"/>
      <c r="F385" s="69">
        <v>40</v>
      </c>
      <c r="G385" s="66"/>
      <c r="H385" s="70"/>
      <c r="I385" s="71"/>
      <c r="J385" s="71"/>
      <c r="K385" s="35" t="s">
        <v>65</v>
      </c>
      <c r="L385" s="79">
        <v>385</v>
      </c>
      <c r="M385" s="79"/>
      <c r="N385" s="73"/>
      <c r="O385" s="81" t="s">
        <v>844</v>
      </c>
      <c r="P385" s="81" t="s">
        <v>199</v>
      </c>
      <c r="Q385" s="84" t="s">
        <v>1211</v>
      </c>
      <c r="R385" s="81" t="s">
        <v>522</v>
      </c>
      <c r="S385" s="81" t="s">
        <v>1881</v>
      </c>
      <c r="T385" s="86" t="str">
        <f>HYPERLINK("http://www.youtube.com/channel/UCY4U7-wx-X0UTCeALjUgsuA")</f>
        <v>http://www.youtube.com/channel/UCY4U7-wx-X0UTCeALjUgsuA</v>
      </c>
      <c r="U385" s="81"/>
      <c r="V385" s="81" t="s">
        <v>2322</v>
      </c>
      <c r="W385" s="86" t="str">
        <f>HYPERLINK("https://www.youtube.com/watch?v=5Q411ntL0jQ")</f>
        <v>https://www.youtube.com/watch?v=5Q411ntL0jQ</v>
      </c>
      <c r="X385" s="81" t="s">
        <v>2349</v>
      </c>
      <c r="Y385" s="81">
        <v>0</v>
      </c>
      <c r="Z385" s="88">
        <v>44310.75502314815</v>
      </c>
      <c r="AA385" s="88">
        <v>44310.75502314815</v>
      </c>
      <c r="AB385" s="81"/>
      <c r="AC385" s="81"/>
      <c r="AD385" s="84" t="s">
        <v>2390</v>
      </c>
      <c r="AE385" s="82">
        <v>1</v>
      </c>
      <c r="AF385" s="83" t="str">
        <f>REPLACE(INDEX(GroupVertices[Group],MATCH(Edges[[#This Row],[Vertex 1]],GroupVertices[Vertex],0)),1,1,"")</f>
        <v>11</v>
      </c>
      <c r="AG385" s="83" t="str">
        <f>REPLACE(INDEX(GroupVertices[Group],MATCH(Edges[[#This Row],[Vertex 2]],GroupVertices[Vertex],0)),1,1,"")</f>
        <v>11</v>
      </c>
      <c r="AH385" s="111">
        <v>0</v>
      </c>
      <c r="AI385" s="112">
        <v>0</v>
      </c>
      <c r="AJ385" s="111">
        <v>1</v>
      </c>
      <c r="AK385" s="112">
        <v>9.090909090909092</v>
      </c>
      <c r="AL385" s="111">
        <v>0</v>
      </c>
      <c r="AM385" s="112">
        <v>0</v>
      </c>
      <c r="AN385" s="111">
        <v>10</v>
      </c>
      <c r="AO385" s="112">
        <v>90.9090909090909</v>
      </c>
      <c r="AP385" s="111">
        <v>11</v>
      </c>
    </row>
    <row r="386" spans="1:42" ht="15">
      <c r="A386" s="65" t="s">
        <v>523</v>
      </c>
      <c r="B386" s="65" t="s">
        <v>835</v>
      </c>
      <c r="C386" s="66" t="s">
        <v>4651</v>
      </c>
      <c r="D386" s="67">
        <v>3</v>
      </c>
      <c r="E386" s="68"/>
      <c r="F386" s="69">
        <v>40</v>
      </c>
      <c r="G386" s="66"/>
      <c r="H386" s="70"/>
      <c r="I386" s="71"/>
      <c r="J386" s="71"/>
      <c r="K386" s="35" t="s">
        <v>65</v>
      </c>
      <c r="L386" s="79">
        <v>386</v>
      </c>
      <c r="M386" s="79"/>
      <c r="N386" s="73"/>
      <c r="O386" s="81" t="s">
        <v>844</v>
      </c>
      <c r="P386" s="81" t="s">
        <v>199</v>
      </c>
      <c r="Q386" s="84" t="s">
        <v>1146</v>
      </c>
      <c r="R386" s="81" t="s">
        <v>523</v>
      </c>
      <c r="S386" s="81" t="s">
        <v>1882</v>
      </c>
      <c r="T386" s="86" t="str">
        <f>HYPERLINK("http://www.youtube.com/channel/UChXypeawFlFg1TNm7chU2hg")</f>
        <v>http://www.youtube.com/channel/UChXypeawFlFg1TNm7chU2hg</v>
      </c>
      <c r="U386" s="81"/>
      <c r="V386" s="81" t="s">
        <v>2322</v>
      </c>
      <c r="W386" s="86" t="str">
        <f>HYPERLINK("https://www.youtube.com/watch?v=5Q411ntL0jQ")</f>
        <v>https://www.youtube.com/watch?v=5Q411ntL0jQ</v>
      </c>
      <c r="X386" s="81" t="s">
        <v>2349</v>
      </c>
      <c r="Y386" s="81">
        <v>0</v>
      </c>
      <c r="Z386" s="88">
        <v>44311.54525462963</v>
      </c>
      <c r="AA386" s="88">
        <v>44311.54525462963</v>
      </c>
      <c r="AB386" s="81"/>
      <c r="AC386" s="81"/>
      <c r="AD386" s="84" t="s">
        <v>2390</v>
      </c>
      <c r="AE386" s="82">
        <v>1</v>
      </c>
      <c r="AF386" s="83" t="str">
        <f>REPLACE(INDEX(GroupVertices[Group],MATCH(Edges[[#This Row],[Vertex 1]],GroupVertices[Vertex],0)),1,1,"")</f>
        <v>11</v>
      </c>
      <c r="AG386" s="83" t="str">
        <f>REPLACE(INDEX(GroupVertices[Group],MATCH(Edges[[#This Row],[Vertex 2]],GroupVertices[Vertex],0)),1,1,"")</f>
        <v>11</v>
      </c>
      <c r="AH386" s="111">
        <v>1</v>
      </c>
      <c r="AI386" s="112">
        <v>33.333333333333336</v>
      </c>
      <c r="AJ386" s="111">
        <v>0</v>
      </c>
      <c r="AK386" s="112">
        <v>0</v>
      </c>
      <c r="AL386" s="111">
        <v>0</v>
      </c>
      <c r="AM386" s="112">
        <v>0</v>
      </c>
      <c r="AN386" s="111">
        <v>2</v>
      </c>
      <c r="AO386" s="112">
        <v>66.66666666666667</v>
      </c>
      <c r="AP386" s="111">
        <v>3</v>
      </c>
    </row>
    <row r="387" spans="1:42" ht="15">
      <c r="A387" s="65" t="s">
        <v>524</v>
      </c>
      <c r="B387" s="65" t="s">
        <v>836</v>
      </c>
      <c r="C387" s="66" t="s">
        <v>4651</v>
      </c>
      <c r="D387" s="67">
        <v>3</v>
      </c>
      <c r="E387" s="68"/>
      <c r="F387" s="69">
        <v>40</v>
      </c>
      <c r="G387" s="66"/>
      <c r="H387" s="70"/>
      <c r="I387" s="71"/>
      <c r="J387" s="71"/>
      <c r="K387" s="35" t="s">
        <v>65</v>
      </c>
      <c r="L387" s="79">
        <v>387</v>
      </c>
      <c r="M387" s="79"/>
      <c r="N387" s="73"/>
      <c r="O387" s="81" t="s">
        <v>844</v>
      </c>
      <c r="P387" s="81" t="s">
        <v>199</v>
      </c>
      <c r="Q387" s="84" t="s">
        <v>1212</v>
      </c>
      <c r="R387" s="81" t="s">
        <v>524</v>
      </c>
      <c r="S387" s="81" t="s">
        <v>1883</v>
      </c>
      <c r="T387" s="86" t="str">
        <f>HYPERLINK("http://www.youtube.com/channel/UCKm4hpcuWTvzF-fk4AQlVBg")</f>
        <v>http://www.youtube.com/channel/UCKm4hpcuWTvzF-fk4AQlVBg</v>
      </c>
      <c r="U387" s="81"/>
      <c r="V387" s="81" t="s">
        <v>2323</v>
      </c>
      <c r="W387" s="86" t="str">
        <f>HYPERLINK("https://www.youtube.com/watch?v=TAO_rztPO80")</f>
        <v>https://www.youtube.com/watch?v=TAO_rztPO80</v>
      </c>
      <c r="X387" s="81" t="s">
        <v>2349</v>
      </c>
      <c r="Y387" s="81">
        <v>0</v>
      </c>
      <c r="Z387" s="88">
        <v>44308.78991898148</v>
      </c>
      <c r="AA387" s="88">
        <v>44308.78991898148</v>
      </c>
      <c r="AB387" s="81"/>
      <c r="AC387" s="81"/>
      <c r="AD387" s="84" t="s">
        <v>2390</v>
      </c>
      <c r="AE387" s="82">
        <v>1</v>
      </c>
      <c r="AF387" s="83" t="str">
        <f>REPLACE(INDEX(GroupVertices[Group],MATCH(Edges[[#This Row],[Vertex 1]],GroupVertices[Vertex],0)),1,1,"")</f>
        <v>21</v>
      </c>
      <c r="AG387" s="83" t="str">
        <f>REPLACE(INDEX(GroupVertices[Group],MATCH(Edges[[#This Row],[Vertex 2]],GroupVertices[Vertex],0)),1,1,"")</f>
        <v>21</v>
      </c>
      <c r="AH387" s="111">
        <v>1</v>
      </c>
      <c r="AI387" s="112">
        <v>14.285714285714286</v>
      </c>
      <c r="AJ387" s="111">
        <v>0</v>
      </c>
      <c r="AK387" s="112">
        <v>0</v>
      </c>
      <c r="AL387" s="111">
        <v>0</v>
      </c>
      <c r="AM387" s="112">
        <v>0</v>
      </c>
      <c r="AN387" s="111">
        <v>6</v>
      </c>
      <c r="AO387" s="112">
        <v>85.71428571428571</v>
      </c>
      <c r="AP387" s="111">
        <v>7</v>
      </c>
    </row>
    <row r="388" spans="1:42" ht="15">
      <c r="A388" s="65" t="s">
        <v>525</v>
      </c>
      <c r="B388" s="65" t="s">
        <v>836</v>
      </c>
      <c r="C388" s="66" t="s">
        <v>4651</v>
      </c>
      <c r="D388" s="67">
        <v>3</v>
      </c>
      <c r="E388" s="68"/>
      <c r="F388" s="69">
        <v>40</v>
      </c>
      <c r="G388" s="66"/>
      <c r="H388" s="70"/>
      <c r="I388" s="71"/>
      <c r="J388" s="71"/>
      <c r="K388" s="35" t="s">
        <v>65</v>
      </c>
      <c r="L388" s="79">
        <v>388</v>
      </c>
      <c r="M388" s="79"/>
      <c r="N388" s="73"/>
      <c r="O388" s="81" t="s">
        <v>844</v>
      </c>
      <c r="P388" s="81" t="s">
        <v>199</v>
      </c>
      <c r="Q388" s="84" t="s">
        <v>1213</v>
      </c>
      <c r="R388" s="81" t="s">
        <v>525</v>
      </c>
      <c r="S388" s="81" t="s">
        <v>1884</v>
      </c>
      <c r="T388" s="86" t="str">
        <f>HYPERLINK("http://www.youtube.com/channel/UCvKp1ptbneYFIHWUpUNYbHQ")</f>
        <v>http://www.youtube.com/channel/UCvKp1ptbneYFIHWUpUNYbHQ</v>
      </c>
      <c r="U388" s="81"/>
      <c r="V388" s="81" t="s">
        <v>2323</v>
      </c>
      <c r="W388" s="86" t="str">
        <f>HYPERLINK("https://www.youtube.com/watch?v=TAO_rztPO80")</f>
        <v>https://www.youtube.com/watch?v=TAO_rztPO80</v>
      </c>
      <c r="X388" s="81" t="s">
        <v>2349</v>
      </c>
      <c r="Y388" s="81">
        <v>0</v>
      </c>
      <c r="Z388" s="88">
        <v>44339.41725694444</v>
      </c>
      <c r="AA388" s="88">
        <v>44339.41725694444</v>
      </c>
      <c r="AB388" s="81"/>
      <c r="AC388" s="81"/>
      <c r="AD388" s="84" t="s">
        <v>2390</v>
      </c>
      <c r="AE388" s="82">
        <v>1</v>
      </c>
      <c r="AF388" s="83" t="str">
        <f>REPLACE(INDEX(GroupVertices[Group],MATCH(Edges[[#This Row],[Vertex 1]],GroupVertices[Vertex],0)),1,1,"")</f>
        <v>21</v>
      </c>
      <c r="AG388" s="83" t="str">
        <f>REPLACE(INDEX(GroupVertices[Group],MATCH(Edges[[#This Row],[Vertex 2]],GroupVertices[Vertex],0)),1,1,"")</f>
        <v>21</v>
      </c>
      <c r="AH388" s="111">
        <v>0</v>
      </c>
      <c r="AI388" s="112">
        <v>0</v>
      </c>
      <c r="AJ388" s="111">
        <v>1</v>
      </c>
      <c r="AK388" s="112">
        <v>9.090909090909092</v>
      </c>
      <c r="AL388" s="111">
        <v>0</v>
      </c>
      <c r="AM388" s="112">
        <v>0</v>
      </c>
      <c r="AN388" s="111">
        <v>10</v>
      </c>
      <c r="AO388" s="112">
        <v>90.9090909090909</v>
      </c>
      <c r="AP388" s="111">
        <v>11</v>
      </c>
    </row>
    <row r="389" spans="1:42" ht="15">
      <c r="A389" s="65" t="s">
        <v>526</v>
      </c>
      <c r="B389" s="65" t="s">
        <v>527</v>
      </c>
      <c r="C389" s="66" t="s">
        <v>4651</v>
      </c>
      <c r="D389" s="67">
        <v>3</v>
      </c>
      <c r="E389" s="68"/>
      <c r="F389" s="69">
        <v>40</v>
      </c>
      <c r="G389" s="66"/>
      <c r="H389" s="70"/>
      <c r="I389" s="71"/>
      <c r="J389" s="71"/>
      <c r="K389" s="35" t="s">
        <v>66</v>
      </c>
      <c r="L389" s="79">
        <v>389</v>
      </c>
      <c r="M389" s="79"/>
      <c r="N389" s="73"/>
      <c r="O389" s="81" t="s">
        <v>845</v>
      </c>
      <c r="P389" s="81" t="s">
        <v>847</v>
      </c>
      <c r="Q389" s="84" t="s">
        <v>1214</v>
      </c>
      <c r="R389" s="81" t="s">
        <v>526</v>
      </c>
      <c r="S389" s="81" t="s">
        <v>1885</v>
      </c>
      <c r="T389" s="86" t="str">
        <f>HYPERLINK("http://www.youtube.com/channel/UCqNRObSCvPqLS8VftXXy9Ow")</f>
        <v>http://www.youtube.com/channel/UCqNRObSCvPqLS8VftXXy9Ow</v>
      </c>
      <c r="U389" s="81" t="s">
        <v>2239</v>
      </c>
      <c r="V389" s="81" t="s">
        <v>2324</v>
      </c>
      <c r="W389" s="86" t="str">
        <f>HYPERLINK("https://www.youtube.com/watch?v=Td1itX2lMss")</f>
        <v>https://www.youtube.com/watch?v=Td1itX2lMss</v>
      </c>
      <c r="X389" s="81" t="s">
        <v>2349</v>
      </c>
      <c r="Y389" s="81">
        <v>0</v>
      </c>
      <c r="Z389" s="88">
        <v>43809.43612268518</v>
      </c>
      <c r="AA389" s="88">
        <v>43809.43612268518</v>
      </c>
      <c r="AB389" s="81"/>
      <c r="AC389" s="81"/>
      <c r="AD389" s="84" t="s">
        <v>2390</v>
      </c>
      <c r="AE389" s="82">
        <v>1</v>
      </c>
      <c r="AF389" s="83" t="str">
        <f>REPLACE(INDEX(GroupVertices[Group],MATCH(Edges[[#This Row],[Vertex 1]],GroupVertices[Vertex],0)),1,1,"")</f>
        <v>16</v>
      </c>
      <c r="AG389" s="83" t="str">
        <f>REPLACE(INDEX(GroupVertices[Group],MATCH(Edges[[#This Row],[Vertex 2]],GroupVertices[Vertex],0)),1,1,"")</f>
        <v>16</v>
      </c>
      <c r="AH389" s="111">
        <v>1</v>
      </c>
      <c r="AI389" s="112">
        <v>25</v>
      </c>
      <c r="AJ389" s="111">
        <v>0</v>
      </c>
      <c r="AK389" s="112">
        <v>0</v>
      </c>
      <c r="AL389" s="111">
        <v>0</v>
      </c>
      <c r="AM389" s="112">
        <v>0</v>
      </c>
      <c r="AN389" s="111">
        <v>3</v>
      </c>
      <c r="AO389" s="112">
        <v>75</v>
      </c>
      <c r="AP389" s="111">
        <v>4</v>
      </c>
    </row>
    <row r="390" spans="1:42" ht="15">
      <c r="A390" s="65" t="s">
        <v>527</v>
      </c>
      <c r="B390" s="65" t="s">
        <v>526</v>
      </c>
      <c r="C390" s="66" t="s">
        <v>4651</v>
      </c>
      <c r="D390" s="67">
        <v>3</v>
      </c>
      <c r="E390" s="68"/>
      <c r="F390" s="69">
        <v>40</v>
      </c>
      <c r="G390" s="66"/>
      <c r="H390" s="70"/>
      <c r="I390" s="71"/>
      <c r="J390" s="71"/>
      <c r="K390" s="35" t="s">
        <v>66</v>
      </c>
      <c r="L390" s="79">
        <v>390</v>
      </c>
      <c r="M390" s="79"/>
      <c r="N390" s="73"/>
      <c r="O390" s="81" t="s">
        <v>844</v>
      </c>
      <c r="P390" s="81" t="s">
        <v>199</v>
      </c>
      <c r="Q390" s="84" t="s">
        <v>1215</v>
      </c>
      <c r="R390" s="81" t="s">
        <v>527</v>
      </c>
      <c r="S390" s="81" t="s">
        <v>1886</v>
      </c>
      <c r="T390" s="86" t="str">
        <f>HYPERLINK("http://www.youtube.com/channel/UC5YnhYiAxe6zckSu1_XKeOw")</f>
        <v>http://www.youtube.com/channel/UC5YnhYiAxe6zckSu1_XKeOw</v>
      </c>
      <c r="U390" s="81"/>
      <c r="V390" s="81" t="s">
        <v>2324</v>
      </c>
      <c r="W390" s="86" t="str">
        <f>HYPERLINK("https://www.youtube.com/watch?v=Td1itX2lMss")</f>
        <v>https://www.youtube.com/watch?v=Td1itX2lMss</v>
      </c>
      <c r="X390" s="81" t="s">
        <v>2349</v>
      </c>
      <c r="Y390" s="81">
        <v>3</v>
      </c>
      <c r="Z390" s="88">
        <v>43808.81587962963</v>
      </c>
      <c r="AA390" s="88">
        <v>43808.81587962963</v>
      </c>
      <c r="AB390" s="81"/>
      <c r="AC390" s="81"/>
      <c r="AD390" s="84" t="s">
        <v>2390</v>
      </c>
      <c r="AE390" s="82">
        <v>1</v>
      </c>
      <c r="AF390" s="83" t="str">
        <f>REPLACE(INDEX(GroupVertices[Group],MATCH(Edges[[#This Row],[Vertex 1]],GroupVertices[Vertex],0)),1,1,"")</f>
        <v>16</v>
      </c>
      <c r="AG390" s="83" t="str">
        <f>REPLACE(INDEX(GroupVertices[Group],MATCH(Edges[[#This Row],[Vertex 2]],GroupVertices[Vertex],0)),1,1,"")</f>
        <v>16</v>
      </c>
      <c r="AH390" s="111">
        <v>1</v>
      </c>
      <c r="AI390" s="112">
        <v>25</v>
      </c>
      <c r="AJ390" s="111">
        <v>0</v>
      </c>
      <c r="AK390" s="112">
        <v>0</v>
      </c>
      <c r="AL390" s="111">
        <v>0</v>
      </c>
      <c r="AM390" s="112">
        <v>0</v>
      </c>
      <c r="AN390" s="111">
        <v>3</v>
      </c>
      <c r="AO390" s="112">
        <v>75</v>
      </c>
      <c r="AP390" s="111">
        <v>4</v>
      </c>
    </row>
    <row r="391" spans="1:42" ht="15">
      <c r="A391" s="65" t="s">
        <v>526</v>
      </c>
      <c r="B391" s="65" t="s">
        <v>528</v>
      </c>
      <c r="C391" s="66" t="s">
        <v>4651</v>
      </c>
      <c r="D391" s="67">
        <v>3</v>
      </c>
      <c r="E391" s="68"/>
      <c r="F391" s="69">
        <v>40</v>
      </c>
      <c r="G391" s="66"/>
      <c r="H391" s="70"/>
      <c r="I391" s="71"/>
      <c r="J391" s="71"/>
      <c r="K391" s="35" t="s">
        <v>66</v>
      </c>
      <c r="L391" s="79">
        <v>391</v>
      </c>
      <c r="M391" s="79"/>
      <c r="N391" s="73"/>
      <c r="O391" s="81" t="s">
        <v>845</v>
      </c>
      <c r="P391" s="81" t="s">
        <v>847</v>
      </c>
      <c r="Q391" s="84" t="s">
        <v>1216</v>
      </c>
      <c r="R391" s="81" t="s">
        <v>526</v>
      </c>
      <c r="S391" s="81" t="s">
        <v>1885</v>
      </c>
      <c r="T391" s="86" t="str">
        <f>HYPERLINK("http://www.youtube.com/channel/UCqNRObSCvPqLS8VftXXy9Ow")</f>
        <v>http://www.youtube.com/channel/UCqNRObSCvPqLS8VftXXy9Ow</v>
      </c>
      <c r="U391" s="81" t="s">
        <v>2240</v>
      </c>
      <c r="V391" s="81" t="s">
        <v>2324</v>
      </c>
      <c r="W391" s="86" t="str">
        <f>HYPERLINK("https://www.youtube.com/watch?v=Td1itX2lMss")</f>
        <v>https://www.youtube.com/watch?v=Td1itX2lMss</v>
      </c>
      <c r="X391" s="81" t="s">
        <v>2349</v>
      </c>
      <c r="Y391" s="81">
        <v>0</v>
      </c>
      <c r="Z391" s="88">
        <v>43953.668958333335</v>
      </c>
      <c r="AA391" s="88">
        <v>43953.668958333335</v>
      </c>
      <c r="AB391" s="81"/>
      <c r="AC391" s="81"/>
      <c r="AD391" s="84" t="s">
        <v>2390</v>
      </c>
      <c r="AE391" s="82">
        <v>1</v>
      </c>
      <c r="AF391" s="83" t="str">
        <f>REPLACE(INDEX(GroupVertices[Group],MATCH(Edges[[#This Row],[Vertex 1]],GroupVertices[Vertex],0)),1,1,"")</f>
        <v>16</v>
      </c>
      <c r="AG391" s="83" t="str">
        <f>REPLACE(INDEX(GroupVertices[Group],MATCH(Edges[[#This Row],[Vertex 2]],GroupVertices[Vertex],0)),1,1,"")</f>
        <v>16</v>
      </c>
      <c r="AH391" s="111">
        <v>2</v>
      </c>
      <c r="AI391" s="112">
        <v>28.571428571428573</v>
      </c>
      <c r="AJ391" s="111">
        <v>0</v>
      </c>
      <c r="AK391" s="112">
        <v>0</v>
      </c>
      <c r="AL391" s="111">
        <v>0</v>
      </c>
      <c r="AM391" s="112">
        <v>0</v>
      </c>
      <c r="AN391" s="111">
        <v>5</v>
      </c>
      <c r="AO391" s="112">
        <v>71.42857142857143</v>
      </c>
      <c r="AP391" s="111">
        <v>7</v>
      </c>
    </row>
    <row r="392" spans="1:42" ht="15">
      <c r="A392" s="65" t="s">
        <v>528</v>
      </c>
      <c r="B392" s="65" t="s">
        <v>528</v>
      </c>
      <c r="C392" s="66" t="s">
        <v>4651</v>
      </c>
      <c r="D392" s="67">
        <v>3</v>
      </c>
      <c r="E392" s="68"/>
      <c r="F392" s="69">
        <v>40</v>
      </c>
      <c r="G392" s="66"/>
      <c r="H392" s="70"/>
      <c r="I392" s="71"/>
      <c r="J392" s="71"/>
      <c r="K392" s="35" t="s">
        <v>65</v>
      </c>
      <c r="L392" s="79">
        <v>392</v>
      </c>
      <c r="M392" s="79"/>
      <c r="N392" s="73"/>
      <c r="O392" s="81" t="s">
        <v>845</v>
      </c>
      <c r="P392" s="81" t="s">
        <v>847</v>
      </c>
      <c r="Q392" s="84" t="s">
        <v>1217</v>
      </c>
      <c r="R392" s="81" t="s">
        <v>528</v>
      </c>
      <c r="S392" s="81" t="s">
        <v>1887</v>
      </c>
      <c r="T392" s="86" t="str">
        <f>HYPERLINK("http://www.youtube.com/channel/UChVLSS6O6Ab542U4MN4OSlw")</f>
        <v>http://www.youtube.com/channel/UChVLSS6O6Ab542U4MN4OSlw</v>
      </c>
      <c r="U392" s="81" t="s">
        <v>2240</v>
      </c>
      <c r="V392" s="81" t="s">
        <v>2324</v>
      </c>
      <c r="W392" s="86" t="str">
        <f>HYPERLINK("https://www.youtube.com/watch?v=Td1itX2lMss")</f>
        <v>https://www.youtube.com/watch?v=Td1itX2lMss</v>
      </c>
      <c r="X392" s="81" t="s">
        <v>2349</v>
      </c>
      <c r="Y392" s="81">
        <v>0</v>
      </c>
      <c r="Z392" s="88">
        <v>43956.807592592595</v>
      </c>
      <c r="AA392" s="88">
        <v>43956.807592592595</v>
      </c>
      <c r="AB392" s="81"/>
      <c r="AC392" s="81"/>
      <c r="AD392" s="84" t="s">
        <v>2390</v>
      </c>
      <c r="AE392" s="82">
        <v>1</v>
      </c>
      <c r="AF392" s="83" t="str">
        <f>REPLACE(INDEX(GroupVertices[Group],MATCH(Edges[[#This Row],[Vertex 1]],GroupVertices[Vertex],0)),1,1,"")</f>
        <v>16</v>
      </c>
      <c r="AG392" s="83" t="str">
        <f>REPLACE(INDEX(GroupVertices[Group],MATCH(Edges[[#This Row],[Vertex 2]],GroupVertices[Vertex],0)),1,1,"")</f>
        <v>16</v>
      </c>
      <c r="AH392" s="111">
        <v>0</v>
      </c>
      <c r="AI392" s="112">
        <v>0</v>
      </c>
      <c r="AJ392" s="111">
        <v>0</v>
      </c>
      <c r="AK392" s="112">
        <v>0</v>
      </c>
      <c r="AL392" s="111">
        <v>0</v>
      </c>
      <c r="AM392" s="112">
        <v>0</v>
      </c>
      <c r="AN392" s="111">
        <v>1</v>
      </c>
      <c r="AO392" s="112">
        <v>100</v>
      </c>
      <c r="AP392" s="111">
        <v>1</v>
      </c>
    </row>
    <row r="393" spans="1:42" ht="15">
      <c r="A393" s="65" t="s">
        <v>528</v>
      </c>
      <c r="B393" s="65" t="s">
        <v>526</v>
      </c>
      <c r="C393" s="66" t="s">
        <v>4651</v>
      </c>
      <c r="D393" s="67">
        <v>3</v>
      </c>
      <c r="E393" s="68"/>
      <c r="F393" s="69">
        <v>40</v>
      </c>
      <c r="G393" s="66"/>
      <c r="H393" s="70"/>
      <c r="I393" s="71"/>
      <c r="J393" s="71"/>
      <c r="K393" s="35" t="s">
        <v>66</v>
      </c>
      <c r="L393" s="79">
        <v>393</v>
      </c>
      <c r="M393" s="79"/>
      <c r="N393" s="73"/>
      <c r="O393" s="81" t="s">
        <v>844</v>
      </c>
      <c r="P393" s="81" t="s">
        <v>199</v>
      </c>
      <c r="Q393" s="84" t="s">
        <v>1218</v>
      </c>
      <c r="R393" s="81" t="s">
        <v>528</v>
      </c>
      <c r="S393" s="81" t="s">
        <v>1887</v>
      </c>
      <c r="T393" s="86" t="str">
        <f>HYPERLINK("http://www.youtube.com/channel/UChVLSS6O6Ab542U4MN4OSlw")</f>
        <v>http://www.youtube.com/channel/UChVLSS6O6Ab542U4MN4OSlw</v>
      </c>
      <c r="U393" s="81"/>
      <c r="V393" s="81" t="s">
        <v>2324</v>
      </c>
      <c r="W393" s="86" t="str">
        <f>HYPERLINK("https://www.youtube.com/watch?v=Td1itX2lMss")</f>
        <v>https://www.youtube.com/watch?v=Td1itX2lMss</v>
      </c>
      <c r="X393" s="81" t="s">
        <v>2349</v>
      </c>
      <c r="Y393" s="81">
        <v>3</v>
      </c>
      <c r="Z393" s="88">
        <v>43952.40361111111</v>
      </c>
      <c r="AA393" s="88">
        <v>43952.40361111111</v>
      </c>
      <c r="AB393" s="81"/>
      <c r="AC393" s="81"/>
      <c r="AD393" s="84" t="s">
        <v>2390</v>
      </c>
      <c r="AE393" s="82">
        <v>1</v>
      </c>
      <c r="AF393" s="83" t="str">
        <f>REPLACE(INDEX(GroupVertices[Group],MATCH(Edges[[#This Row],[Vertex 1]],GroupVertices[Vertex],0)),1,1,"")</f>
        <v>16</v>
      </c>
      <c r="AG393" s="83" t="str">
        <f>REPLACE(INDEX(GroupVertices[Group],MATCH(Edges[[#This Row],[Vertex 2]],GroupVertices[Vertex],0)),1,1,"")</f>
        <v>16</v>
      </c>
      <c r="AH393" s="111">
        <v>0</v>
      </c>
      <c r="AI393" s="112">
        <v>0</v>
      </c>
      <c r="AJ393" s="111">
        <v>0</v>
      </c>
      <c r="AK393" s="112">
        <v>0</v>
      </c>
      <c r="AL393" s="111">
        <v>0</v>
      </c>
      <c r="AM393" s="112">
        <v>0</v>
      </c>
      <c r="AN393" s="111">
        <v>2</v>
      </c>
      <c r="AO393" s="112">
        <v>100</v>
      </c>
      <c r="AP393" s="111">
        <v>2</v>
      </c>
    </row>
    <row r="394" spans="1:42" ht="15">
      <c r="A394" s="65" t="s">
        <v>526</v>
      </c>
      <c r="B394" s="65" t="s">
        <v>529</v>
      </c>
      <c r="C394" s="66" t="s">
        <v>4651</v>
      </c>
      <c r="D394" s="67">
        <v>3</v>
      </c>
      <c r="E394" s="68"/>
      <c r="F394" s="69">
        <v>40</v>
      </c>
      <c r="G394" s="66"/>
      <c r="H394" s="70"/>
      <c r="I394" s="71"/>
      <c r="J394" s="71"/>
      <c r="K394" s="35" t="s">
        <v>66</v>
      </c>
      <c r="L394" s="79">
        <v>394</v>
      </c>
      <c r="M394" s="79"/>
      <c r="N394" s="73"/>
      <c r="O394" s="81" t="s">
        <v>845</v>
      </c>
      <c r="P394" s="81" t="s">
        <v>847</v>
      </c>
      <c r="Q394" s="84" t="s">
        <v>1219</v>
      </c>
      <c r="R394" s="81" t="s">
        <v>526</v>
      </c>
      <c r="S394" s="81" t="s">
        <v>1885</v>
      </c>
      <c r="T394" s="86" t="str">
        <f>HYPERLINK("http://www.youtube.com/channel/UCqNRObSCvPqLS8VftXXy9Ow")</f>
        <v>http://www.youtube.com/channel/UCqNRObSCvPqLS8VftXXy9Ow</v>
      </c>
      <c r="U394" s="81" t="s">
        <v>2241</v>
      </c>
      <c r="V394" s="81" t="s">
        <v>2324</v>
      </c>
      <c r="W394" s="86" t="str">
        <f>HYPERLINK("https://www.youtube.com/watch?v=Td1itX2lMss")</f>
        <v>https://www.youtube.com/watch?v=Td1itX2lMss</v>
      </c>
      <c r="X394" s="81" t="s">
        <v>2349</v>
      </c>
      <c r="Y394" s="81">
        <v>0</v>
      </c>
      <c r="Z394" s="88">
        <v>44078.792291666665</v>
      </c>
      <c r="AA394" s="88">
        <v>44078.792291666665</v>
      </c>
      <c r="AB394" s="81"/>
      <c r="AC394" s="81"/>
      <c r="AD394" s="84" t="s">
        <v>2390</v>
      </c>
      <c r="AE394" s="82">
        <v>1</v>
      </c>
      <c r="AF394" s="83" t="str">
        <f>REPLACE(INDEX(GroupVertices[Group],MATCH(Edges[[#This Row],[Vertex 1]],GroupVertices[Vertex],0)),1,1,"")</f>
        <v>16</v>
      </c>
      <c r="AG394" s="83" t="str">
        <f>REPLACE(INDEX(GroupVertices[Group],MATCH(Edges[[#This Row],[Vertex 2]],GroupVertices[Vertex],0)),1,1,"")</f>
        <v>16</v>
      </c>
      <c r="AH394" s="111">
        <v>1</v>
      </c>
      <c r="AI394" s="112">
        <v>20</v>
      </c>
      <c r="AJ394" s="111">
        <v>0</v>
      </c>
      <c r="AK394" s="112">
        <v>0</v>
      </c>
      <c r="AL394" s="111">
        <v>0</v>
      </c>
      <c r="AM394" s="112">
        <v>0</v>
      </c>
      <c r="AN394" s="111">
        <v>4</v>
      </c>
      <c r="AO394" s="112">
        <v>80</v>
      </c>
      <c r="AP394" s="111">
        <v>5</v>
      </c>
    </row>
    <row r="395" spans="1:42" ht="15">
      <c r="A395" s="65" t="s">
        <v>529</v>
      </c>
      <c r="B395" s="65" t="s">
        <v>526</v>
      </c>
      <c r="C395" s="66" t="s">
        <v>4651</v>
      </c>
      <c r="D395" s="67">
        <v>3</v>
      </c>
      <c r="E395" s="68"/>
      <c r="F395" s="69">
        <v>40</v>
      </c>
      <c r="G395" s="66"/>
      <c r="H395" s="70"/>
      <c r="I395" s="71"/>
      <c r="J395" s="71"/>
      <c r="K395" s="35" t="s">
        <v>66</v>
      </c>
      <c r="L395" s="79">
        <v>395</v>
      </c>
      <c r="M395" s="79"/>
      <c r="N395" s="73"/>
      <c r="O395" s="81" t="s">
        <v>844</v>
      </c>
      <c r="P395" s="81" t="s">
        <v>199</v>
      </c>
      <c r="Q395" s="84" t="s">
        <v>1220</v>
      </c>
      <c r="R395" s="81" t="s">
        <v>529</v>
      </c>
      <c r="S395" s="81" t="s">
        <v>1888</v>
      </c>
      <c r="T395" s="86" t="str">
        <f>HYPERLINK("http://www.youtube.com/channel/UCNRTjqb1p3Q3AYPAHZtUcVw")</f>
        <v>http://www.youtube.com/channel/UCNRTjqb1p3Q3AYPAHZtUcVw</v>
      </c>
      <c r="U395" s="81"/>
      <c r="V395" s="81" t="s">
        <v>2324</v>
      </c>
      <c r="W395" s="86" t="str">
        <f>HYPERLINK("https://www.youtube.com/watch?v=Td1itX2lMss")</f>
        <v>https://www.youtube.com/watch?v=Td1itX2lMss</v>
      </c>
      <c r="X395" s="81" t="s">
        <v>2349</v>
      </c>
      <c r="Y395" s="81">
        <v>0</v>
      </c>
      <c r="Z395" s="88">
        <v>44078.50770833333</v>
      </c>
      <c r="AA395" s="88">
        <v>44078.50770833333</v>
      </c>
      <c r="AB395" s="81"/>
      <c r="AC395" s="81"/>
      <c r="AD395" s="84" t="s">
        <v>2390</v>
      </c>
      <c r="AE395" s="82">
        <v>1</v>
      </c>
      <c r="AF395" s="83" t="str">
        <f>REPLACE(INDEX(GroupVertices[Group],MATCH(Edges[[#This Row],[Vertex 1]],GroupVertices[Vertex],0)),1,1,"")</f>
        <v>16</v>
      </c>
      <c r="AG395" s="83" t="str">
        <f>REPLACE(INDEX(GroupVertices[Group],MATCH(Edges[[#This Row],[Vertex 2]],GroupVertices[Vertex],0)),1,1,"")</f>
        <v>16</v>
      </c>
      <c r="AH395" s="111">
        <v>0</v>
      </c>
      <c r="AI395" s="112">
        <v>0</v>
      </c>
      <c r="AJ395" s="111">
        <v>0</v>
      </c>
      <c r="AK395" s="112">
        <v>0</v>
      </c>
      <c r="AL395" s="111">
        <v>0</v>
      </c>
      <c r="AM395" s="112">
        <v>0</v>
      </c>
      <c r="AN395" s="111">
        <v>1</v>
      </c>
      <c r="AO395" s="112">
        <v>100</v>
      </c>
      <c r="AP395" s="111">
        <v>1</v>
      </c>
    </row>
    <row r="396" spans="1:42" ht="15">
      <c r="A396" s="65" t="s">
        <v>530</v>
      </c>
      <c r="B396" s="65" t="s">
        <v>526</v>
      </c>
      <c r="C396" s="66" t="s">
        <v>4651</v>
      </c>
      <c r="D396" s="67">
        <v>3</v>
      </c>
      <c r="E396" s="68"/>
      <c r="F396" s="69">
        <v>40</v>
      </c>
      <c r="G396" s="66"/>
      <c r="H396" s="70"/>
      <c r="I396" s="71"/>
      <c r="J396" s="71"/>
      <c r="K396" s="35" t="s">
        <v>65</v>
      </c>
      <c r="L396" s="79">
        <v>396</v>
      </c>
      <c r="M396" s="79"/>
      <c r="N396" s="73"/>
      <c r="O396" s="81" t="s">
        <v>844</v>
      </c>
      <c r="P396" s="81" t="s">
        <v>199</v>
      </c>
      <c r="Q396" s="84" t="s">
        <v>1221</v>
      </c>
      <c r="R396" s="81" t="s">
        <v>530</v>
      </c>
      <c r="S396" s="81" t="s">
        <v>1889</v>
      </c>
      <c r="T396" s="86" t="str">
        <f>HYPERLINK("http://www.youtube.com/channel/UClVqXsTx_z51ddq5DKUOOow")</f>
        <v>http://www.youtube.com/channel/UClVqXsTx_z51ddq5DKUOOow</v>
      </c>
      <c r="U396" s="81"/>
      <c r="V396" s="81" t="s">
        <v>2324</v>
      </c>
      <c r="W396" s="86" t="str">
        <f>HYPERLINK("https://www.youtube.com/watch?v=Td1itX2lMss")</f>
        <v>https://www.youtube.com/watch?v=Td1itX2lMss</v>
      </c>
      <c r="X396" s="81" t="s">
        <v>2349</v>
      </c>
      <c r="Y396" s="81">
        <v>3</v>
      </c>
      <c r="Z396" s="88">
        <v>44224.45980324074</v>
      </c>
      <c r="AA396" s="88">
        <v>44224.45980324074</v>
      </c>
      <c r="AB396" s="81"/>
      <c r="AC396" s="81"/>
      <c r="AD396" s="84" t="s">
        <v>2390</v>
      </c>
      <c r="AE396" s="82">
        <v>1</v>
      </c>
      <c r="AF396" s="83" t="str">
        <f>REPLACE(INDEX(GroupVertices[Group],MATCH(Edges[[#This Row],[Vertex 1]],GroupVertices[Vertex],0)),1,1,"")</f>
        <v>16</v>
      </c>
      <c r="AG396" s="83" t="str">
        <f>REPLACE(INDEX(GroupVertices[Group],MATCH(Edges[[#This Row],[Vertex 2]],GroupVertices[Vertex],0)),1,1,"")</f>
        <v>16</v>
      </c>
      <c r="AH396" s="111">
        <v>0</v>
      </c>
      <c r="AI396" s="112">
        <v>0</v>
      </c>
      <c r="AJ396" s="111">
        <v>0</v>
      </c>
      <c r="AK396" s="112">
        <v>0</v>
      </c>
      <c r="AL396" s="111">
        <v>0</v>
      </c>
      <c r="AM396" s="112">
        <v>0</v>
      </c>
      <c r="AN396" s="111">
        <v>2</v>
      </c>
      <c r="AO396" s="112">
        <v>100</v>
      </c>
      <c r="AP396" s="111">
        <v>2</v>
      </c>
    </row>
    <row r="397" spans="1:42" ht="15">
      <c r="A397" s="65" t="s">
        <v>526</v>
      </c>
      <c r="B397" s="65" t="s">
        <v>531</v>
      </c>
      <c r="C397" s="66" t="s">
        <v>4651</v>
      </c>
      <c r="D397" s="67">
        <v>3</v>
      </c>
      <c r="E397" s="68"/>
      <c r="F397" s="69">
        <v>40</v>
      </c>
      <c r="G397" s="66"/>
      <c r="H397" s="70"/>
      <c r="I397" s="71"/>
      <c r="J397" s="71"/>
      <c r="K397" s="35" t="s">
        <v>66</v>
      </c>
      <c r="L397" s="79">
        <v>397</v>
      </c>
      <c r="M397" s="79"/>
      <c r="N397" s="73"/>
      <c r="O397" s="81" t="s">
        <v>845</v>
      </c>
      <c r="P397" s="81" t="s">
        <v>847</v>
      </c>
      <c r="Q397" s="84" t="s">
        <v>1222</v>
      </c>
      <c r="R397" s="81" t="s">
        <v>526</v>
      </c>
      <c r="S397" s="81" t="s">
        <v>1885</v>
      </c>
      <c r="T397" s="86" t="str">
        <f>HYPERLINK("http://www.youtube.com/channel/UCqNRObSCvPqLS8VftXXy9Ow")</f>
        <v>http://www.youtube.com/channel/UCqNRObSCvPqLS8VftXXy9Ow</v>
      </c>
      <c r="U397" s="81" t="s">
        <v>2242</v>
      </c>
      <c r="V397" s="81" t="s">
        <v>2324</v>
      </c>
      <c r="W397" s="86" t="str">
        <f>HYPERLINK("https://www.youtube.com/watch?v=Td1itX2lMss")</f>
        <v>https://www.youtube.com/watch?v=Td1itX2lMss</v>
      </c>
      <c r="X397" s="81" t="s">
        <v>2349</v>
      </c>
      <c r="Y397" s="81">
        <v>0</v>
      </c>
      <c r="Z397" s="88">
        <v>44249.47373842593</v>
      </c>
      <c r="AA397" s="88">
        <v>44249.47373842593</v>
      </c>
      <c r="AB397" s="81"/>
      <c r="AC397" s="81"/>
      <c r="AD397" s="84" t="s">
        <v>2390</v>
      </c>
      <c r="AE397" s="82">
        <v>1</v>
      </c>
      <c r="AF397" s="83" t="str">
        <f>REPLACE(INDEX(GroupVertices[Group],MATCH(Edges[[#This Row],[Vertex 1]],GroupVertices[Vertex],0)),1,1,"")</f>
        <v>16</v>
      </c>
      <c r="AG397" s="83" t="str">
        <f>REPLACE(INDEX(GroupVertices[Group],MATCH(Edges[[#This Row],[Vertex 2]],GroupVertices[Vertex],0)),1,1,"")</f>
        <v>16</v>
      </c>
      <c r="AH397" s="111">
        <v>0</v>
      </c>
      <c r="AI397" s="112">
        <v>0</v>
      </c>
      <c r="AJ397" s="111">
        <v>1</v>
      </c>
      <c r="AK397" s="112">
        <v>33.333333333333336</v>
      </c>
      <c r="AL397" s="111">
        <v>0</v>
      </c>
      <c r="AM397" s="112">
        <v>0</v>
      </c>
      <c r="AN397" s="111">
        <v>2</v>
      </c>
      <c r="AO397" s="112">
        <v>66.66666666666667</v>
      </c>
      <c r="AP397" s="111">
        <v>3</v>
      </c>
    </row>
    <row r="398" spans="1:42" ht="15">
      <c r="A398" s="65" t="s">
        <v>531</v>
      </c>
      <c r="B398" s="65" t="s">
        <v>531</v>
      </c>
      <c r="C398" s="66" t="s">
        <v>4651</v>
      </c>
      <c r="D398" s="67">
        <v>3</v>
      </c>
      <c r="E398" s="68"/>
      <c r="F398" s="69">
        <v>40</v>
      </c>
      <c r="G398" s="66"/>
      <c r="H398" s="70"/>
      <c r="I398" s="71"/>
      <c r="J398" s="71"/>
      <c r="K398" s="35" t="s">
        <v>65</v>
      </c>
      <c r="L398" s="79">
        <v>398</v>
      </c>
      <c r="M398" s="79"/>
      <c r="N398" s="73"/>
      <c r="O398" s="81" t="s">
        <v>845</v>
      </c>
      <c r="P398" s="81" t="s">
        <v>847</v>
      </c>
      <c r="Q398" s="84" t="s">
        <v>1223</v>
      </c>
      <c r="R398" s="81" t="s">
        <v>531</v>
      </c>
      <c r="S398" s="81" t="s">
        <v>1890</v>
      </c>
      <c r="T398" s="86" t="str">
        <f>HYPERLINK("http://www.youtube.com/channel/UCq2bqGge1y2Sm3L4sV3AAvA")</f>
        <v>http://www.youtube.com/channel/UCq2bqGge1y2Sm3L4sV3AAvA</v>
      </c>
      <c r="U398" s="81" t="s">
        <v>2242</v>
      </c>
      <c r="V398" s="81" t="s">
        <v>2324</v>
      </c>
      <c r="W398" s="86" t="str">
        <f>HYPERLINK("https://www.youtube.com/watch?v=Td1itX2lMss")</f>
        <v>https://www.youtube.com/watch?v=Td1itX2lMss</v>
      </c>
      <c r="X398" s="81" t="s">
        <v>2349</v>
      </c>
      <c r="Y398" s="81">
        <v>0</v>
      </c>
      <c r="Z398" s="88">
        <v>44251.09546296296</v>
      </c>
      <c r="AA398" s="88">
        <v>44251.09546296296</v>
      </c>
      <c r="AB398" s="81"/>
      <c r="AC398" s="81"/>
      <c r="AD398" s="84" t="s">
        <v>2390</v>
      </c>
      <c r="AE398" s="82">
        <v>1</v>
      </c>
      <c r="AF398" s="83" t="str">
        <f>REPLACE(INDEX(GroupVertices[Group],MATCH(Edges[[#This Row],[Vertex 1]],GroupVertices[Vertex],0)),1,1,"")</f>
        <v>16</v>
      </c>
      <c r="AG398" s="83" t="str">
        <f>REPLACE(INDEX(GroupVertices[Group],MATCH(Edges[[#This Row],[Vertex 2]],GroupVertices[Vertex],0)),1,1,"")</f>
        <v>16</v>
      </c>
      <c r="AH398" s="111">
        <v>0</v>
      </c>
      <c r="AI398" s="112">
        <v>0</v>
      </c>
      <c r="AJ398" s="111">
        <v>0</v>
      </c>
      <c r="AK398" s="112">
        <v>0</v>
      </c>
      <c r="AL398" s="111">
        <v>0</v>
      </c>
      <c r="AM398" s="112">
        <v>0</v>
      </c>
      <c r="AN398" s="111">
        <v>1</v>
      </c>
      <c r="AO398" s="112">
        <v>100</v>
      </c>
      <c r="AP398" s="111">
        <v>1</v>
      </c>
    </row>
    <row r="399" spans="1:42" ht="15">
      <c r="A399" s="65" t="s">
        <v>531</v>
      </c>
      <c r="B399" s="65" t="s">
        <v>526</v>
      </c>
      <c r="C399" s="66" t="s">
        <v>4651</v>
      </c>
      <c r="D399" s="67">
        <v>3</v>
      </c>
      <c r="E399" s="68"/>
      <c r="F399" s="69">
        <v>40</v>
      </c>
      <c r="G399" s="66"/>
      <c r="H399" s="70"/>
      <c r="I399" s="71"/>
      <c r="J399" s="71"/>
      <c r="K399" s="35" t="s">
        <v>66</v>
      </c>
      <c r="L399" s="79">
        <v>399</v>
      </c>
      <c r="M399" s="79"/>
      <c r="N399" s="73"/>
      <c r="O399" s="81" t="s">
        <v>844</v>
      </c>
      <c r="P399" s="81" t="s">
        <v>199</v>
      </c>
      <c r="Q399" s="84" t="s">
        <v>1224</v>
      </c>
      <c r="R399" s="81" t="s">
        <v>531</v>
      </c>
      <c r="S399" s="81" t="s">
        <v>1890</v>
      </c>
      <c r="T399" s="86" t="str">
        <f>HYPERLINK("http://www.youtube.com/channel/UCq2bqGge1y2Sm3L4sV3AAvA")</f>
        <v>http://www.youtube.com/channel/UCq2bqGge1y2Sm3L4sV3AAvA</v>
      </c>
      <c r="U399" s="81"/>
      <c r="V399" s="81" t="s">
        <v>2324</v>
      </c>
      <c r="W399" s="86" t="str">
        <f>HYPERLINK("https://www.youtube.com/watch?v=Td1itX2lMss")</f>
        <v>https://www.youtube.com/watch?v=Td1itX2lMss</v>
      </c>
      <c r="X399" s="81" t="s">
        <v>2349</v>
      </c>
      <c r="Y399" s="81">
        <v>1</v>
      </c>
      <c r="Z399" s="88">
        <v>44248.42528935185</v>
      </c>
      <c r="AA399" s="88">
        <v>44248.42528935185</v>
      </c>
      <c r="AB399" s="81"/>
      <c r="AC399" s="81"/>
      <c r="AD399" s="84" t="s">
        <v>2390</v>
      </c>
      <c r="AE399" s="82">
        <v>1</v>
      </c>
      <c r="AF399" s="83" t="str">
        <f>REPLACE(INDEX(GroupVertices[Group],MATCH(Edges[[#This Row],[Vertex 1]],GroupVertices[Vertex],0)),1,1,"")</f>
        <v>16</v>
      </c>
      <c r="AG399" s="83" t="str">
        <f>REPLACE(INDEX(GroupVertices[Group],MATCH(Edges[[#This Row],[Vertex 2]],GroupVertices[Vertex],0)),1,1,"")</f>
        <v>16</v>
      </c>
      <c r="AH399" s="111">
        <v>1</v>
      </c>
      <c r="AI399" s="112">
        <v>25</v>
      </c>
      <c r="AJ399" s="111">
        <v>0</v>
      </c>
      <c r="AK399" s="112">
        <v>0</v>
      </c>
      <c r="AL399" s="111">
        <v>0</v>
      </c>
      <c r="AM399" s="112">
        <v>0</v>
      </c>
      <c r="AN399" s="111">
        <v>3</v>
      </c>
      <c r="AO399" s="112">
        <v>75</v>
      </c>
      <c r="AP399" s="111">
        <v>4</v>
      </c>
    </row>
    <row r="400" spans="1:42" ht="15">
      <c r="A400" s="65" t="s">
        <v>532</v>
      </c>
      <c r="B400" s="65" t="s">
        <v>533</v>
      </c>
      <c r="C400" s="66" t="s">
        <v>4651</v>
      </c>
      <c r="D400" s="67">
        <v>3</v>
      </c>
      <c r="E400" s="68"/>
      <c r="F400" s="69">
        <v>40</v>
      </c>
      <c r="G400" s="66"/>
      <c r="H400" s="70"/>
      <c r="I400" s="71"/>
      <c r="J400" s="71"/>
      <c r="K400" s="35" t="s">
        <v>65</v>
      </c>
      <c r="L400" s="79">
        <v>400</v>
      </c>
      <c r="M400" s="79"/>
      <c r="N400" s="73"/>
      <c r="O400" s="81" t="s">
        <v>845</v>
      </c>
      <c r="P400" s="81" t="s">
        <v>847</v>
      </c>
      <c r="Q400" s="84" t="s">
        <v>1225</v>
      </c>
      <c r="R400" s="81" t="s">
        <v>532</v>
      </c>
      <c r="S400" s="81" t="s">
        <v>1891</v>
      </c>
      <c r="T400" s="86" t="str">
        <f>HYPERLINK("http://www.youtube.com/channel/UC9FbVAgmeDXHDDlBlcKu2_w")</f>
        <v>http://www.youtube.com/channel/UC9FbVAgmeDXHDDlBlcKu2_w</v>
      </c>
      <c r="U400" s="81" t="s">
        <v>2243</v>
      </c>
      <c r="V400" s="81" t="s">
        <v>2325</v>
      </c>
      <c r="W400" s="86" t="str">
        <f>HYPERLINK("https://www.youtube.com/watch?v=1NoK5x9eG_k")</f>
        <v>https://www.youtube.com/watch?v=1NoK5x9eG_k</v>
      </c>
      <c r="X400" s="81" t="s">
        <v>2349</v>
      </c>
      <c r="Y400" s="81">
        <v>2</v>
      </c>
      <c r="Z400" s="88">
        <v>44082.76488425926</v>
      </c>
      <c r="AA400" s="88">
        <v>44082.76488425926</v>
      </c>
      <c r="AB400" s="81"/>
      <c r="AC400" s="81"/>
      <c r="AD400" s="84" t="s">
        <v>2390</v>
      </c>
      <c r="AE400" s="82">
        <v>1</v>
      </c>
      <c r="AF400" s="83" t="str">
        <f>REPLACE(INDEX(GroupVertices[Group],MATCH(Edges[[#This Row],[Vertex 1]],GroupVertices[Vertex],0)),1,1,"")</f>
        <v>5</v>
      </c>
      <c r="AG400" s="83" t="str">
        <f>REPLACE(INDEX(GroupVertices[Group],MATCH(Edges[[#This Row],[Vertex 2]],GroupVertices[Vertex],0)),1,1,"")</f>
        <v>5</v>
      </c>
      <c r="AH400" s="111">
        <v>0</v>
      </c>
      <c r="AI400" s="112">
        <v>0</v>
      </c>
      <c r="AJ400" s="111">
        <v>1</v>
      </c>
      <c r="AK400" s="112">
        <v>6.25</v>
      </c>
      <c r="AL400" s="111">
        <v>0</v>
      </c>
      <c r="AM400" s="112">
        <v>0</v>
      </c>
      <c r="AN400" s="111">
        <v>15</v>
      </c>
      <c r="AO400" s="112">
        <v>93.75</v>
      </c>
      <c r="AP400" s="111">
        <v>16</v>
      </c>
    </row>
    <row r="401" spans="1:42" ht="15">
      <c r="A401" s="65" t="s">
        <v>533</v>
      </c>
      <c r="B401" s="65" t="s">
        <v>533</v>
      </c>
      <c r="C401" s="66" t="s">
        <v>4613</v>
      </c>
      <c r="D401" s="67">
        <v>10</v>
      </c>
      <c r="E401" s="68"/>
      <c r="F401" s="69">
        <v>15</v>
      </c>
      <c r="G401" s="66"/>
      <c r="H401" s="70"/>
      <c r="I401" s="71"/>
      <c r="J401" s="71"/>
      <c r="K401" s="35" t="s">
        <v>65</v>
      </c>
      <c r="L401" s="79">
        <v>401</v>
      </c>
      <c r="M401" s="79"/>
      <c r="N401" s="73"/>
      <c r="O401" s="81" t="s">
        <v>845</v>
      </c>
      <c r="P401" s="81" t="s">
        <v>847</v>
      </c>
      <c r="Q401" s="84" t="s">
        <v>1226</v>
      </c>
      <c r="R401" s="81" t="s">
        <v>533</v>
      </c>
      <c r="S401" s="81" t="s">
        <v>1892</v>
      </c>
      <c r="T401" s="86" t="str">
        <f>HYPERLINK("http://www.youtube.com/channel/UCBY7dVxt1Wk9r9SR-EzqsjA")</f>
        <v>http://www.youtube.com/channel/UCBY7dVxt1Wk9r9SR-EzqsjA</v>
      </c>
      <c r="U401" s="81" t="s">
        <v>2243</v>
      </c>
      <c r="V401" s="81" t="s">
        <v>2325</v>
      </c>
      <c r="W401" s="86" t="str">
        <f>HYPERLINK("https://www.youtube.com/watch?v=1NoK5x9eG_k")</f>
        <v>https://www.youtube.com/watch?v=1NoK5x9eG_k</v>
      </c>
      <c r="X401" s="81" t="s">
        <v>2349</v>
      </c>
      <c r="Y401" s="81">
        <v>1</v>
      </c>
      <c r="Z401" s="88">
        <v>44082.79373842593</v>
      </c>
      <c r="AA401" s="88">
        <v>44082.79373842593</v>
      </c>
      <c r="AB401" s="81"/>
      <c r="AC401" s="81"/>
      <c r="AD401" s="84" t="s">
        <v>2390</v>
      </c>
      <c r="AE401" s="82">
        <v>2</v>
      </c>
      <c r="AF401" s="83" t="str">
        <f>REPLACE(INDEX(GroupVertices[Group],MATCH(Edges[[#This Row],[Vertex 1]],GroupVertices[Vertex],0)),1,1,"")</f>
        <v>5</v>
      </c>
      <c r="AG401" s="83" t="str">
        <f>REPLACE(INDEX(GroupVertices[Group],MATCH(Edges[[#This Row],[Vertex 2]],GroupVertices[Vertex],0)),1,1,"")</f>
        <v>5</v>
      </c>
      <c r="AH401" s="111">
        <v>0</v>
      </c>
      <c r="AI401" s="112">
        <v>0</v>
      </c>
      <c r="AJ401" s="111">
        <v>0</v>
      </c>
      <c r="AK401" s="112">
        <v>0</v>
      </c>
      <c r="AL401" s="111">
        <v>0</v>
      </c>
      <c r="AM401" s="112">
        <v>0</v>
      </c>
      <c r="AN401" s="111">
        <v>9</v>
      </c>
      <c r="AO401" s="112">
        <v>100</v>
      </c>
      <c r="AP401" s="111">
        <v>9</v>
      </c>
    </row>
    <row r="402" spans="1:42" ht="15">
      <c r="A402" s="65" t="s">
        <v>534</v>
      </c>
      <c r="B402" s="65" t="s">
        <v>533</v>
      </c>
      <c r="C402" s="66" t="s">
        <v>4651</v>
      </c>
      <c r="D402" s="67">
        <v>3</v>
      </c>
      <c r="E402" s="68"/>
      <c r="F402" s="69">
        <v>40</v>
      </c>
      <c r="G402" s="66"/>
      <c r="H402" s="70"/>
      <c r="I402" s="71"/>
      <c r="J402" s="71"/>
      <c r="K402" s="35" t="s">
        <v>65</v>
      </c>
      <c r="L402" s="79">
        <v>402</v>
      </c>
      <c r="M402" s="79"/>
      <c r="N402" s="73"/>
      <c r="O402" s="81" t="s">
        <v>845</v>
      </c>
      <c r="P402" s="81" t="s">
        <v>847</v>
      </c>
      <c r="Q402" s="84" t="s">
        <v>1227</v>
      </c>
      <c r="R402" s="81" t="s">
        <v>534</v>
      </c>
      <c r="S402" s="81" t="s">
        <v>1893</v>
      </c>
      <c r="T402" s="86" t="str">
        <f>HYPERLINK("http://www.youtube.com/channel/UCqP44doV3yxEI-84YUKmhaQ")</f>
        <v>http://www.youtube.com/channel/UCqP44doV3yxEI-84YUKmhaQ</v>
      </c>
      <c r="U402" s="81" t="s">
        <v>2243</v>
      </c>
      <c r="V402" s="81" t="s">
        <v>2325</v>
      </c>
      <c r="W402" s="86" t="str">
        <f>HYPERLINK("https://www.youtube.com/watch?v=1NoK5x9eG_k")</f>
        <v>https://www.youtube.com/watch?v=1NoK5x9eG_k</v>
      </c>
      <c r="X402" s="81" t="s">
        <v>2349</v>
      </c>
      <c r="Y402" s="81">
        <v>0</v>
      </c>
      <c r="Z402" s="88">
        <v>44083.556666666664</v>
      </c>
      <c r="AA402" s="88">
        <v>44083.556666666664</v>
      </c>
      <c r="AB402" s="81"/>
      <c r="AC402" s="81"/>
      <c r="AD402" s="84" t="s">
        <v>2390</v>
      </c>
      <c r="AE402" s="82">
        <v>1</v>
      </c>
      <c r="AF402" s="83" t="str">
        <f>REPLACE(INDEX(GroupVertices[Group],MATCH(Edges[[#This Row],[Vertex 1]],GroupVertices[Vertex],0)),1,1,"")</f>
        <v>5</v>
      </c>
      <c r="AG402" s="83" t="str">
        <f>REPLACE(INDEX(GroupVertices[Group],MATCH(Edges[[#This Row],[Vertex 2]],GroupVertices[Vertex],0)),1,1,"")</f>
        <v>5</v>
      </c>
      <c r="AH402" s="111">
        <v>0</v>
      </c>
      <c r="AI402" s="112">
        <v>0</v>
      </c>
      <c r="AJ402" s="111">
        <v>1</v>
      </c>
      <c r="AK402" s="112">
        <v>33.333333333333336</v>
      </c>
      <c r="AL402" s="111">
        <v>0</v>
      </c>
      <c r="AM402" s="112">
        <v>0</v>
      </c>
      <c r="AN402" s="111">
        <v>2</v>
      </c>
      <c r="AO402" s="112">
        <v>66.66666666666667</v>
      </c>
      <c r="AP402" s="111">
        <v>3</v>
      </c>
    </row>
    <row r="403" spans="1:42" ht="15">
      <c r="A403" s="65" t="s">
        <v>533</v>
      </c>
      <c r="B403" s="65" t="s">
        <v>533</v>
      </c>
      <c r="C403" s="66" t="s">
        <v>4613</v>
      </c>
      <c r="D403" s="67">
        <v>10</v>
      </c>
      <c r="E403" s="68"/>
      <c r="F403" s="69">
        <v>15</v>
      </c>
      <c r="G403" s="66"/>
      <c r="H403" s="70"/>
      <c r="I403" s="71"/>
      <c r="J403" s="71"/>
      <c r="K403" s="35" t="s">
        <v>65</v>
      </c>
      <c r="L403" s="79">
        <v>403</v>
      </c>
      <c r="M403" s="79"/>
      <c r="N403" s="73"/>
      <c r="O403" s="81" t="s">
        <v>845</v>
      </c>
      <c r="P403" s="81" t="s">
        <v>847</v>
      </c>
      <c r="Q403" s="84" t="s">
        <v>1228</v>
      </c>
      <c r="R403" s="81" t="s">
        <v>533</v>
      </c>
      <c r="S403" s="81" t="s">
        <v>1892</v>
      </c>
      <c r="T403" s="86" t="str">
        <f>HYPERLINK("http://www.youtube.com/channel/UCBY7dVxt1Wk9r9SR-EzqsjA")</f>
        <v>http://www.youtube.com/channel/UCBY7dVxt1Wk9r9SR-EzqsjA</v>
      </c>
      <c r="U403" s="81" t="s">
        <v>2243</v>
      </c>
      <c r="V403" s="81" t="s">
        <v>2325</v>
      </c>
      <c r="W403" s="86" t="str">
        <f>HYPERLINK("https://www.youtube.com/watch?v=1NoK5x9eG_k")</f>
        <v>https://www.youtube.com/watch?v=1NoK5x9eG_k</v>
      </c>
      <c r="X403" s="81" t="s">
        <v>2349</v>
      </c>
      <c r="Y403" s="81">
        <v>0</v>
      </c>
      <c r="Z403" s="88">
        <v>44083.88925925926</v>
      </c>
      <c r="AA403" s="88">
        <v>44083.88925925926</v>
      </c>
      <c r="AB403" s="81"/>
      <c r="AC403" s="81"/>
      <c r="AD403" s="84" t="s">
        <v>2390</v>
      </c>
      <c r="AE403" s="82">
        <v>2</v>
      </c>
      <c r="AF403" s="83" t="str">
        <f>REPLACE(INDEX(GroupVertices[Group],MATCH(Edges[[#This Row],[Vertex 1]],GroupVertices[Vertex],0)),1,1,"")</f>
        <v>5</v>
      </c>
      <c r="AG403" s="83" t="str">
        <f>REPLACE(INDEX(GroupVertices[Group],MATCH(Edges[[#This Row],[Vertex 2]],GroupVertices[Vertex],0)),1,1,"")</f>
        <v>5</v>
      </c>
      <c r="AH403" s="111">
        <v>1</v>
      </c>
      <c r="AI403" s="112">
        <v>12.5</v>
      </c>
      <c r="AJ403" s="111">
        <v>0</v>
      </c>
      <c r="AK403" s="112">
        <v>0</v>
      </c>
      <c r="AL403" s="111">
        <v>0</v>
      </c>
      <c r="AM403" s="112">
        <v>0</v>
      </c>
      <c r="AN403" s="111">
        <v>7</v>
      </c>
      <c r="AO403" s="112">
        <v>87.5</v>
      </c>
      <c r="AP403" s="111">
        <v>8</v>
      </c>
    </row>
    <row r="404" spans="1:42" ht="15">
      <c r="A404" s="65" t="s">
        <v>533</v>
      </c>
      <c r="B404" s="65" t="s">
        <v>841</v>
      </c>
      <c r="C404" s="66" t="s">
        <v>4651</v>
      </c>
      <c r="D404" s="67">
        <v>3</v>
      </c>
      <c r="E404" s="68"/>
      <c r="F404" s="69">
        <v>40</v>
      </c>
      <c r="G404" s="66"/>
      <c r="H404" s="70"/>
      <c r="I404" s="71"/>
      <c r="J404" s="71"/>
      <c r="K404" s="35" t="s">
        <v>65</v>
      </c>
      <c r="L404" s="79">
        <v>404</v>
      </c>
      <c r="M404" s="79"/>
      <c r="N404" s="73"/>
      <c r="O404" s="81" t="s">
        <v>844</v>
      </c>
      <c r="P404" s="81" t="s">
        <v>199</v>
      </c>
      <c r="Q404" s="84" t="s">
        <v>1229</v>
      </c>
      <c r="R404" s="81" t="s">
        <v>533</v>
      </c>
      <c r="S404" s="81" t="s">
        <v>1892</v>
      </c>
      <c r="T404" s="86" t="str">
        <f>HYPERLINK("http://www.youtube.com/channel/UCBY7dVxt1Wk9r9SR-EzqsjA")</f>
        <v>http://www.youtube.com/channel/UCBY7dVxt1Wk9r9SR-EzqsjA</v>
      </c>
      <c r="U404" s="81"/>
      <c r="V404" s="81" t="s">
        <v>2325</v>
      </c>
      <c r="W404" s="86" t="str">
        <f>HYPERLINK("https://www.youtube.com/watch?v=1NoK5x9eG_k")</f>
        <v>https://www.youtube.com/watch?v=1NoK5x9eG_k</v>
      </c>
      <c r="X404" s="81" t="s">
        <v>2349</v>
      </c>
      <c r="Y404" s="81">
        <v>8</v>
      </c>
      <c r="Z404" s="88">
        <v>44082.68783564815</v>
      </c>
      <c r="AA404" s="88">
        <v>44082.68783564815</v>
      </c>
      <c r="AB404" s="81"/>
      <c r="AC404" s="81"/>
      <c r="AD404" s="84" t="s">
        <v>2390</v>
      </c>
      <c r="AE404" s="82">
        <v>1</v>
      </c>
      <c r="AF404" s="83" t="str">
        <f>REPLACE(INDEX(GroupVertices[Group],MATCH(Edges[[#This Row],[Vertex 1]],GroupVertices[Vertex],0)),1,1,"")</f>
        <v>5</v>
      </c>
      <c r="AG404" s="83" t="str">
        <f>REPLACE(INDEX(GroupVertices[Group],MATCH(Edges[[#This Row],[Vertex 2]],GroupVertices[Vertex],0)),1,1,"")</f>
        <v>5</v>
      </c>
      <c r="AH404" s="111">
        <v>0</v>
      </c>
      <c r="AI404" s="112">
        <v>0</v>
      </c>
      <c r="AJ404" s="111">
        <v>0</v>
      </c>
      <c r="AK404" s="112">
        <v>0</v>
      </c>
      <c r="AL404" s="111">
        <v>0</v>
      </c>
      <c r="AM404" s="112">
        <v>0</v>
      </c>
      <c r="AN404" s="111">
        <v>8</v>
      </c>
      <c r="AO404" s="112">
        <v>100</v>
      </c>
      <c r="AP404" s="111">
        <v>8</v>
      </c>
    </row>
    <row r="405" spans="1:42" ht="15">
      <c r="A405" s="65" t="s">
        <v>535</v>
      </c>
      <c r="B405" s="65" t="s">
        <v>841</v>
      </c>
      <c r="C405" s="66" t="s">
        <v>4651</v>
      </c>
      <c r="D405" s="67">
        <v>3</v>
      </c>
      <c r="E405" s="68"/>
      <c r="F405" s="69">
        <v>40</v>
      </c>
      <c r="G405" s="66"/>
      <c r="H405" s="70"/>
      <c r="I405" s="71"/>
      <c r="J405" s="71"/>
      <c r="K405" s="35" t="s">
        <v>65</v>
      </c>
      <c r="L405" s="79">
        <v>405</v>
      </c>
      <c r="M405" s="79"/>
      <c r="N405" s="73"/>
      <c r="O405" s="81" t="s">
        <v>844</v>
      </c>
      <c r="P405" s="81" t="s">
        <v>199</v>
      </c>
      <c r="Q405" s="84" t="s">
        <v>1230</v>
      </c>
      <c r="R405" s="81" t="s">
        <v>535</v>
      </c>
      <c r="S405" s="81" t="s">
        <v>1894</v>
      </c>
      <c r="T405" s="86" t="str">
        <f>HYPERLINK("http://www.youtube.com/channel/UCpzxC6ePRrHfRDhP8rwPfEg")</f>
        <v>http://www.youtube.com/channel/UCpzxC6ePRrHfRDhP8rwPfEg</v>
      </c>
      <c r="U405" s="81"/>
      <c r="V405" s="81" t="s">
        <v>2325</v>
      </c>
      <c r="W405" s="86" t="str">
        <f>HYPERLINK("https://www.youtube.com/watch?v=1NoK5x9eG_k")</f>
        <v>https://www.youtube.com/watch?v=1NoK5x9eG_k</v>
      </c>
      <c r="X405" s="81" t="s">
        <v>2349</v>
      </c>
      <c r="Y405" s="81">
        <v>0</v>
      </c>
      <c r="Z405" s="88">
        <v>44082.72557870371</v>
      </c>
      <c r="AA405" s="88">
        <v>44082.72557870371</v>
      </c>
      <c r="AB405" s="81"/>
      <c r="AC405" s="81"/>
      <c r="AD405" s="84" t="s">
        <v>2390</v>
      </c>
      <c r="AE405" s="82">
        <v>1</v>
      </c>
      <c r="AF405" s="83" t="str">
        <f>REPLACE(INDEX(GroupVertices[Group],MATCH(Edges[[#This Row],[Vertex 1]],GroupVertices[Vertex],0)),1,1,"")</f>
        <v>5</v>
      </c>
      <c r="AG405" s="83" t="str">
        <f>REPLACE(INDEX(GroupVertices[Group],MATCH(Edges[[#This Row],[Vertex 2]],GroupVertices[Vertex],0)),1,1,"")</f>
        <v>5</v>
      </c>
      <c r="AH405" s="111">
        <v>0</v>
      </c>
      <c r="AI405" s="112">
        <v>0</v>
      </c>
      <c r="AJ405" s="111">
        <v>1</v>
      </c>
      <c r="AK405" s="112">
        <v>1.8181818181818181</v>
      </c>
      <c r="AL405" s="111">
        <v>0</v>
      </c>
      <c r="AM405" s="112">
        <v>0</v>
      </c>
      <c r="AN405" s="111">
        <v>54</v>
      </c>
      <c r="AO405" s="112">
        <v>98.18181818181819</v>
      </c>
      <c r="AP405" s="111">
        <v>55</v>
      </c>
    </row>
    <row r="406" spans="1:42" ht="15">
      <c r="A406" s="65" t="s">
        <v>536</v>
      </c>
      <c r="B406" s="65" t="s">
        <v>841</v>
      </c>
      <c r="C406" s="66" t="s">
        <v>4651</v>
      </c>
      <c r="D406" s="67">
        <v>3</v>
      </c>
      <c r="E406" s="68"/>
      <c r="F406" s="69">
        <v>40</v>
      </c>
      <c r="G406" s="66"/>
      <c r="H406" s="70"/>
      <c r="I406" s="71"/>
      <c r="J406" s="71"/>
      <c r="K406" s="35" t="s">
        <v>65</v>
      </c>
      <c r="L406" s="79">
        <v>406</v>
      </c>
      <c r="M406" s="79"/>
      <c r="N406" s="73"/>
      <c r="O406" s="81" t="s">
        <v>844</v>
      </c>
      <c r="P406" s="81" t="s">
        <v>199</v>
      </c>
      <c r="Q406" s="84" t="s">
        <v>1231</v>
      </c>
      <c r="R406" s="81" t="s">
        <v>536</v>
      </c>
      <c r="S406" s="81" t="s">
        <v>1895</v>
      </c>
      <c r="T406" s="86" t="str">
        <f>HYPERLINK("http://www.youtube.com/channel/UC0VdA1pckhfXuM31e3szFrw")</f>
        <v>http://www.youtube.com/channel/UC0VdA1pckhfXuM31e3szFrw</v>
      </c>
      <c r="U406" s="81"/>
      <c r="V406" s="81" t="s">
        <v>2325</v>
      </c>
      <c r="W406" s="86" t="str">
        <f>HYPERLINK("https://www.youtube.com/watch?v=1NoK5x9eG_k")</f>
        <v>https://www.youtube.com/watch?v=1NoK5x9eG_k</v>
      </c>
      <c r="X406" s="81" t="s">
        <v>2349</v>
      </c>
      <c r="Y406" s="81">
        <v>0</v>
      </c>
      <c r="Z406" s="88">
        <v>44082.744988425926</v>
      </c>
      <c r="AA406" s="88">
        <v>44082.744988425926</v>
      </c>
      <c r="AB406" s="81"/>
      <c r="AC406" s="81"/>
      <c r="AD406" s="84" t="s">
        <v>2390</v>
      </c>
      <c r="AE406" s="82">
        <v>1</v>
      </c>
      <c r="AF406" s="83" t="str">
        <f>REPLACE(INDEX(GroupVertices[Group],MATCH(Edges[[#This Row],[Vertex 1]],GroupVertices[Vertex],0)),1,1,"")</f>
        <v>5</v>
      </c>
      <c r="AG406" s="83" t="str">
        <f>REPLACE(INDEX(GroupVertices[Group],MATCH(Edges[[#This Row],[Vertex 2]],GroupVertices[Vertex],0)),1,1,"")</f>
        <v>5</v>
      </c>
      <c r="AH406" s="111">
        <v>0</v>
      </c>
      <c r="AI406" s="112">
        <v>0</v>
      </c>
      <c r="AJ406" s="111">
        <v>2</v>
      </c>
      <c r="AK406" s="112">
        <v>50</v>
      </c>
      <c r="AL406" s="111">
        <v>0</v>
      </c>
      <c r="AM406" s="112">
        <v>0</v>
      </c>
      <c r="AN406" s="111">
        <v>2</v>
      </c>
      <c r="AO406" s="112">
        <v>50</v>
      </c>
      <c r="AP406" s="111">
        <v>4</v>
      </c>
    </row>
    <row r="407" spans="1:42" ht="15">
      <c r="A407" s="65" t="s">
        <v>537</v>
      </c>
      <c r="B407" s="65" t="s">
        <v>841</v>
      </c>
      <c r="C407" s="66" t="s">
        <v>4651</v>
      </c>
      <c r="D407" s="67">
        <v>3</v>
      </c>
      <c r="E407" s="68"/>
      <c r="F407" s="69">
        <v>40</v>
      </c>
      <c r="G407" s="66"/>
      <c r="H407" s="70"/>
      <c r="I407" s="71"/>
      <c r="J407" s="71"/>
      <c r="K407" s="35" t="s">
        <v>65</v>
      </c>
      <c r="L407" s="79">
        <v>407</v>
      </c>
      <c r="M407" s="79"/>
      <c r="N407" s="73"/>
      <c r="O407" s="81" t="s">
        <v>844</v>
      </c>
      <c r="P407" s="81" t="s">
        <v>199</v>
      </c>
      <c r="Q407" s="84" t="s">
        <v>1232</v>
      </c>
      <c r="R407" s="81" t="s">
        <v>537</v>
      </c>
      <c r="S407" s="81" t="s">
        <v>1896</v>
      </c>
      <c r="T407" s="86" t="str">
        <f>HYPERLINK("http://www.youtube.com/channel/UCZ67Yx8fKQNh54kpgsU_asg")</f>
        <v>http://www.youtube.com/channel/UCZ67Yx8fKQNh54kpgsU_asg</v>
      </c>
      <c r="U407" s="81"/>
      <c r="V407" s="81" t="s">
        <v>2325</v>
      </c>
      <c r="W407" s="86" t="str">
        <f>HYPERLINK("https://www.youtube.com/watch?v=1NoK5x9eG_k")</f>
        <v>https://www.youtube.com/watch?v=1NoK5x9eG_k</v>
      </c>
      <c r="X407" s="81" t="s">
        <v>2349</v>
      </c>
      <c r="Y407" s="81">
        <v>1</v>
      </c>
      <c r="Z407" s="88">
        <v>44082.826006944444</v>
      </c>
      <c r="AA407" s="88">
        <v>44082.826006944444</v>
      </c>
      <c r="AB407" s="81"/>
      <c r="AC407" s="81"/>
      <c r="AD407" s="84" t="s">
        <v>2390</v>
      </c>
      <c r="AE407" s="82">
        <v>1</v>
      </c>
      <c r="AF407" s="83" t="str">
        <f>REPLACE(INDEX(GroupVertices[Group],MATCH(Edges[[#This Row],[Vertex 1]],GroupVertices[Vertex],0)),1,1,"")</f>
        <v>5</v>
      </c>
      <c r="AG407" s="83" t="str">
        <f>REPLACE(INDEX(GroupVertices[Group],MATCH(Edges[[#This Row],[Vertex 2]],GroupVertices[Vertex],0)),1,1,"")</f>
        <v>5</v>
      </c>
      <c r="AH407" s="111">
        <v>2</v>
      </c>
      <c r="AI407" s="112">
        <v>11.764705882352942</v>
      </c>
      <c r="AJ407" s="111">
        <v>0</v>
      </c>
      <c r="AK407" s="112">
        <v>0</v>
      </c>
      <c r="AL407" s="111">
        <v>0</v>
      </c>
      <c r="AM407" s="112">
        <v>0</v>
      </c>
      <c r="AN407" s="111">
        <v>15</v>
      </c>
      <c r="AO407" s="112">
        <v>88.23529411764706</v>
      </c>
      <c r="AP407" s="111">
        <v>17</v>
      </c>
    </row>
    <row r="408" spans="1:42" ht="15">
      <c r="A408" s="65" t="s">
        <v>538</v>
      </c>
      <c r="B408" s="65" t="s">
        <v>841</v>
      </c>
      <c r="C408" s="66" t="s">
        <v>4651</v>
      </c>
      <c r="D408" s="67">
        <v>3</v>
      </c>
      <c r="E408" s="68"/>
      <c r="F408" s="69">
        <v>40</v>
      </c>
      <c r="G408" s="66"/>
      <c r="H408" s="70"/>
      <c r="I408" s="71"/>
      <c r="J408" s="71"/>
      <c r="K408" s="35" t="s">
        <v>65</v>
      </c>
      <c r="L408" s="79">
        <v>408</v>
      </c>
      <c r="M408" s="79"/>
      <c r="N408" s="73"/>
      <c r="O408" s="81" t="s">
        <v>844</v>
      </c>
      <c r="P408" s="81" t="s">
        <v>199</v>
      </c>
      <c r="Q408" s="84" t="s">
        <v>1233</v>
      </c>
      <c r="R408" s="81" t="s">
        <v>538</v>
      </c>
      <c r="S408" s="81" t="s">
        <v>1897</v>
      </c>
      <c r="T408" s="86" t="str">
        <f>HYPERLINK("http://www.youtube.com/channel/UCUtwb0Qr-St_h-OX1pL_iQQ")</f>
        <v>http://www.youtube.com/channel/UCUtwb0Qr-St_h-OX1pL_iQQ</v>
      </c>
      <c r="U408" s="81"/>
      <c r="V408" s="81" t="s">
        <v>2325</v>
      </c>
      <c r="W408" s="86" t="str">
        <f>HYPERLINK("https://www.youtube.com/watch?v=1NoK5x9eG_k")</f>
        <v>https://www.youtube.com/watch?v=1NoK5x9eG_k</v>
      </c>
      <c r="X408" s="81" t="s">
        <v>2349</v>
      </c>
      <c r="Y408" s="81">
        <v>1</v>
      </c>
      <c r="Z408" s="88">
        <v>44082.95185185185</v>
      </c>
      <c r="AA408" s="88">
        <v>44082.95185185185</v>
      </c>
      <c r="AB408" s="81"/>
      <c r="AC408" s="81"/>
      <c r="AD408" s="84" t="s">
        <v>2390</v>
      </c>
      <c r="AE408" s="82">
        <v>1</v>
      </c>
      <c r="AF408" s="83" t="str">
        <f>REPLACE(INDEX(GroupVertices[Group],MATCH(Edges[[#This Row],[Vertex 1]],GroupVertices[Vertex],0)),1,1,"")</f>
        <v>5</v>
      </c>
      <c r="AG408" s="83" t="str">
        <f>REPLACE(INDEX(GroupVertices[Group],MATCH(Edges[[#This Row],[Vertex 2]],GroupVertices[Vertex],0)),1,1,"")</f>
        <v>5</v>
      </c>
      <c r="AH408" s="111">
        <v>0</v>
      </c>
      <c r="AI408" s="112">
        <v>0</v>
      </c>
      <c r="AJ408" s="111">
        <v>0</v>
      </c>
      <c r="AK408" s="112">
        <v>0</v>
      </c>
      <c r="AL408" s="111">
        <v>0</v>
      </c>
      <c r="AM408" s="112">
        <v>0</v>
      </c>
      <c r="AN408" s="111">
        <v>9</v>
      </c>
      <c r="AO408" s="112">
        <v>100</v>
      </c>
      <c r="AP408" s="111">
        <v>9</v>
      </c>
    </row>
    <row r="409" spans="1:42" ht="15">
      <c r="A409" s="65" t="s">
        <v>539</v>
      </c>
      <c r="B409" s="65" t="s">
        <v>841</v>
      </c>
      <c r="C409" s="66" t="s">
        <v>4613</v>
      </c>
      <c r="D409" s="67">
        <v>10</v>
      </c>
      <c r="E409" s="68"/>
      <c r="F409" s="69">
        <v>15</v>
      </c>
      <c r="G409" s="66"/>
      <c r="H409" s="70"/>
      <c r="I409" s="71"/>
      <c r="J409" s="71"/>
      <c r="K409" s="35" t="s">
        <v>65</v>
      </c>
      <c r="L409" s="79">
        <v>409</v>
      </c>
      <c r="M409" s="79"/>
      <c r="N409" s="73"/>
      <c r="O409" s="81" t="s">
        <v>844</v>
      </c>
      <c r="P409" s="81" t="s">
        <v>199</v>
      </c>
      <c r="Q409" s="84" t="s">
        <v>1234</v>
      </c>
      <c r="R409" s="81" t="s">
        <v>539</v>
      </c>
      <c r="S409" s="81" t="s">
        <v>1898</v>
      </c>
      <c r="T409" s="86" t="str">
        <f>HYPERLINK("http://www.youtube.com/channel/UCPeYFNsWAt25nCX-o5oa4ug")</f>
        <v>http://www.youtube.com/channel/UCPeYFNsWAt25nCX-o5oa4ug</v>
      </c>
      <c r="U409" s="81"/>
      <c r="V409" s="81" t="s">
        <v>2315</v>
      </c>
      <c r="W409" s="86" t="str">
        <f>HYPERLINK("https://www.youtube.com/watch?v=qoyPQNU9ypc")</f>
        <v>https://www.youtube.com/watch?v=qoyPQNU9ypc</v>
      </c>
      <c r="X409" s="81" t="s">
        <v>2349</v>
      </c>
      <c r="Y409" s="81">
        <v>0</v>
      </c>
      <c r="Z409" s="88">
        <v>43752.77980324074</v>
      </c>
      <c r="AA409" s="88">
        <v>43752.77980324074</v>
      </c>
      <c r="AB409" s="81"/>
      <c r="AC409" s="81"/>
      <c r="AD409" s="84" t="s">
        <v>2390</v>
      </c>
      <c r="AE409" s="82">
        <v>2</v>
      </c>
      <c r="AF409" s="83" t="str">
        <f>REPLACE(INDEX(GroupVertices[Group],MATCH(Edges[[#This Row],[Vertex 1]],GroupVertices[Vertex],0)),1,1,"")</f>
        <v>5</v>
      </c>
      <c r="AG409" s="83" t="str">
        <f>REPLACE(INDEX(GroupVertices[Group],MATCH(Edges[[#This Row],[Vertex 2]],GroupVertices[Vertex],0)),1,1,"")</f>
        <v>5</v>
      </c>
      <c r="AH409" s="111">
        <v>1</v>
      </c>
      <c r="AI409" s="112">
        <v>16.666666666666668</v>
      </c>
      <c r="AJ409" s="111">
        <v>0</v>
      </c>
      <c r="AK409" s="112">
        <v>0</v>
      </c>
      <c r="AL409" s="111">
        <v>0</v>
      </c>
      <c r="AM409" s="112">
        <v>0</v>
      </c>
      <c r="AN409" s="111">
        <v>5</v>
      </c>
      <c r="AO409" s="112">
        <v>83.33333333333333</v>
      </c>
      <c r="AP409" s="111">
        <v>6</v>
      </c>
    </row>
    <row r="410" spans="1:42" ht="15">
      <c r="A410" s="65" t="s">
        <v>539</v>
      </c>
      <c r="B410" s="65" t="s">
        <v>841</v>
      </c>
      <c r="C410" s="66" t="s">
        <v>4613</v>
      </c>
      <c r="D410" s="67">
        <v>10</v>
      </c>
      <c r="E410" s="68"/>
      <c r="F410" s="69">
        <v>15</v>
      </c>
      <c r="G410" s="66"/>
      <c r="H410" s="70"/>
      <c r="I410" s="71"/>
      <c r="J410" s="71"/>
      <c r="K410" s="35" t="s">
        <v>65</v>
      </c>
      <c r="L410" s="79">
        <v>410</v>
      </c>
      <c r="M410" s="79"/>
      <c r="N410" s="73"/>
      <c r="O410" s="81" t="s">
        <v>844</v>
      </c>
      <c r="P410" s="81" t="s">
        <v>199</v>
      </c>
      <c r="Q410" s="84" t="s">
        <v>1234</v>
      </c>
      <c r="R410" s="81" t="s">
        <v>539</v>
      </c>
      <c r="S410" s="81" t="s">
        <v>1898</v>
      </c>
      <c r="T410" s="86" t="str">
        <f>HYPERLINK("http://www.youtube.com/channel/UCPeYFNsWAt25nCX-o5oa4ug")</f>
        <v>http://www.youtube.com/channel/UCPeYFNsWAt25nCX-o5oa4ug</v>
      </c>
      <c r="U410" s="81"/>
      <c r="V410" s="81" t="s">
        <v>2325</v>
      </c>
      <c r="W410" s="86" t="str">
        <f>HYPERLINK("https://www.youtube.com/watch?v=1NoK5x9eG_k")</f>
        <v>https://www.youtube.com/watch?v=1NoK5x9eG_k</v>
      </c>
      <c r="X410" s="81" t="s">
        <v>2349</v>
      </c>
      <c r="Y410" s="81">
        <v>1</v>
      </c>
      <c r="Z410" s="88">
        <v>44083.027337962965</v>
      </c>
      <c r="AA410" s="88">
        <v>44083.027337962965</v>
      </c>
      <c r="AB410" s="81"/>
      <c r="AC410" s="81"/>
      <c r="AD410" s="84" t="s">
        <v>2390</v>
      </c>
      <c r="AE410" s="82">
        <v>2</v>
      </c>
      <c r="AF410" s="83" t="str">
        <f>REPLACE(INDEX(GroupVertices[Group],MATCH(Edges[[#This Row],[Vertex 1]],GroupVertices[Vertex],0)),1,1,"")</f>
        <v>5</v>
      </c>
      <c r="AG410" s="83" t="str">
        <f>REPLACE(INDEX(GroupVertices[Group],MATCH(Edges[[#This Row],[Vertex 2]],GroupVertices[Vertex],0)),1,1,"")</f>
        <v>5</v>
      </c>
      <c r="AH410" s="111">
        <v>1</v>
      </c>
      <c r="AI410" s="112">
        <v>16.666666666666668</v>
      </c>
      <c r="AJ410" s="111">
        <v>0</v>
      </c>
      <c r="AK410" s="112">
        <v>0</v>
      </c>
      <c r="AL410" s="111">
        <v>0</v>
      </c>
      <c r="AM410" s="112">
        <v>0</v>
      </c>
      <c r="AN410" s="111">
        <v>5</v>
      </c>
      <c r="AO410" s="112">
        <v>83.33333333333333</v>
      </c>
      <c r="AP410" s="111">
        <v>6</v>
      </c>
    </row>
    <row r="411" spans="1:42" ht="15">
      <c r="A411" s="65" t="s">
        <v>540</v>
      </c>
      <c r="B411" s="65" t="s">
        <v>841</v>
      </c>
      <c r="C411" s="66" t="s">
        <v>4651</v>
      </c>
      <c r="D411" s="67">
        <v>3</v>
      </c>
      <c r="E411" s="68"/>
      <c r="F411" s="69">
        <v>40</v>
      </c>
      <c r="G411" s="66"/>
      <c r="H411" s="70"/>
      <c r="I411" s="71"/>
      <c r="J411" s="71"/>
      <c r="K411" s="35" t="s">
        <v>65</v>
      </c>
      <c r="L411" s="79">
        <v>411</v>
      </c>
      <c r="M411" s="79"/>
      <c r="N411" s="73"/>
      <c r="O411" s="81" t="s">
        <v>844</v>
      </c>
      <c r="P411" s="81" t="s">
        <v>199</v>
      </c>
      <c r="Q411" s="84" t="s">
        <v>1235</v>
      </c>
      <c r="R411" s="81" t="s">
        <v>540</v>
      </c>
      <c r="S411" s="81" t="s">
        <v>1899</v>
      </c>
      <c r="T411" s="86" t="str">
        <f>HYPERLINK("http://www.youtube.com/channel/UCBUk5buOGR9HCieq9IA37Jg")</f>
        <v>http://www.youtube.com/channel/UCBUk5buOGR9HCieq9IA37Jg</v>
      </c>
      <c r="U411" s="81"/>
      <c r="V411" s="81" t="s">
        <v>2325</v>
      </c>
      <c r="W411" s="86" t="str">
        <f>HYPERLINK("https://www.youtube.com/watch?v=1NoK5x9eG_k")</f>
        <v>https://www.youtube.com/watch?v=1NoK5x9eG_k</v>
      </c>
      <c r="X411" s="81" t="s">
        <v>2349</v>
      </c>
      <c r="Y411" s="81">
        <v>0</v>
      </c>
      <c r="Z411" s="88">
        <v>44083.25231481482</v>
      </c>
      <c r="AA411" s="88">
        <v>44083.25231481482</v>
      </c>
      <c r="AB411" s="81"/>
      <c r="AC411" s="81"/>
      <c r="AD411" s="84" t="s">
        <v>2390</v>
      </c>
      <c r="AE411" s="82">
        <v>1</v>
      </c>
      <c r="AF411" s="83" t="str">
        <f>REPLACE(INDEX(GroupVertices[Group],MATCH(Edges[[#This Row],[Vertex 1]],GroupVertices[Vertex],0)),1,1,"")</f>
        <v>5</v>
      </c>
      <c r="AG411" s="83" t="str">
        <f>REPLACE(INDEX(GroupVertices[Group],MATCH(Edges[[#This Row],[Vertex 2]],GroupVertices[Vertex],0)),1,1,"")</f>
        <v>5</v>
      </c>
      <c r="AH411" s="111">
        <v>8</v>
      </c>
      <c r="AI411" s="112">
        <v>5.882352941176471</v>
      </c>
      <c r="AJ411" s="111">
        <v>5</v>
      </c>
      <c r="AK411" s="112">
        <v>3.676470588235294</v>
      </c>
      <c r="AL411" s="111">
        <v>0</v>
      </c>
      <c r="AM411" s="112">
        <v>0</v>
      </c>
      <c r="AN411" s="111">
        <v>123</v>
      </c>
      <c r="AO411" s="112">
        <v>90.44117647058823</v>
      </c>
      <c r="AP411" s="111">
        <v>136</v>
      </c>
    </row>
    <row r="412" spans="1:42" ht="15">
      <c r="A412" s="65" t="s">
        <v>534</v>
      </c>
      <c r="B412" s="65" t="s">
        <v>841</v>
      </c>
      <c r="C412" s="66" t="s">
        <v>4613</v>
      </c>
      <c r="D412" s="67">
        <v>10</v>
      </c>
      <c r="E412" s="68"/>
      <c r="F412" s="69">
        <v>15</v>
      </c>
      <c r="G412" s="66"/>
      <c r="H412" s="70"/>
      <c r="I412" s="71"/>
      <c r="J412" s="71"/>
      <c r="K412" s="35" t="s">
        <v>65</v>
      </c>
      <c r="L412" s="79">
        <v>412</v>
      </c>
      <c r="M412" s="79"/>
      <c r="N412" s="73"/>
      <c r="O412" s="81" t="s">
        <v>844</v>
      </c>
      <c r="P412" s="81" t="s">
        <v>199</v>
      </c>
      <c r="Q412" s="84" t="s">
        <v>1236</v>
      </c>
      <c r="R412" s="81" t="s">
        <v>534</v>
      </c>
      <c r="S412" s="81" t="s">
        <v>1893</v>
      </c>
      <c r="T412" s="86" t="str">
        <f>HYPERLINK("http://www.youtube.com/channel/UCqP44doV3yxEI-84YUKmhaQ")</f>
        <v>http://www.youtube.com/channel/UCqP44doV3yxEI-84YUKmhaQ</v>
      </c>
      <c r="U412" s="81"/>
      <c r="V412" s="81" t="s">
        <v>2325</v>
      </c>
      <c r="W412" s="86" t="str">
        <f>HYPERLINK("https://www.youtube.com/watch?v=1NoK5x9eG_k")</f>
        <v>https://www.youtube.com/watch?v=1NoK5x9eG_k</v>
      </c>
      <c r="X412" s="81" t="s">
        <v>2349</v>
      </c>
      <c r="Y412" s="81">
        <v>1</v>
      </c>
      <c r="Z412" s="88">
        <v>44082.74733796297</v>
      </c>
      <c r="AA412" s="88">
        <v>44082.74733796297</v>
      </c>
      <c r="AB412" s="81"/>
      <c r="AC412" s="81"/>
      <c r="AD412" s="84" t="s">
        <v>2390</v>
      </c>
      <c r="AE412" s="82">
        <v>2</v>
      </c>
      <c r="AF412" s="83" t="str">
        <f>REPLACE(INDEX(GroupVertices[Group],MATCH(Edges[[#This Row],[Vertex 1]],GroupVertices[Vertex],0)),1,1,"")</f>
        <v>5</v>
      </c>
      <c r="AG412" s="83" t="str">
        <f>REPLACE(INDEX(GroupVertices[Group],MATCH(Edges[[#This Row],[Vertex 2]],GroupVertices[Vertex],0)),1,1,"")</f>
        <v>5</v>
      </c>
      <c r="AH412" s="111">
        <v>0</v>
      </c>
      <c r="AI412" s="112">
        <v>0</v>
      </c>
      <c r="AJ412" s="111">
        <v>0</v>
      </c>
      <c r="AK412" s="112">
        <v>0</v>
      </c>
      <c r="AL412" s="111">
        <v>0</v>
      </c>
      <c r="AM412" s="112">
        <v>0</v>
      </c>
      <c r="AN412" s="111">
        <v>0</v>
      </c>
      <c r="AO412" s="112">
        <v>0</v>
      </c>
      <c r="AP412" s="111">
        <v>0</v>
      </c>
    </row>
    <row r="413" spans="1:42" ht="15">
      <c r="A413" s="65" t="s">
        <v>534</v>
      </c>
      <c r="B413" s="65" t="s">
        <v>841</v>
      </c>
      <c r="C413" s="66" t="s">
        <v>4613</v>
      </c>
      <c r="D413" s="67">
        <v>10</v>
      </c>
      <c r="E413" s="68"/>
      <c r="F413" s="69">
        <v>15</v>
      </c>
      <c r="G413" s="66"/>
      <c r="H413" s="70"/>
      <c r="I413" s="71"/>
      <c r="J413" s="71"/>
      <c r="K413" s="35" t="s">
        <v>65</v>
      </c>
      <c r="L413" s="79">
        <v>413</v>
      </c>
      <c r="M413" s="79"/>
      <c r="N413" s="73"/>
      <c r="O413" s="81" t="s">
        <v>844</v>
      </c>
      <c r="P413" s="81" t="s">
        <v>199</v>
      </c>
      <c r="Q413" s="84" t="s">
        <v>1237</v>
      </c>
      <c r="R413" s="81" t="s">
        <v>534</v>
      </c>
      <c r="S413" s="81" t="s">
        <v>1893</v>
      </c>
      <c r="T413" s="86" t="str">
        <f>HYPERLINK("http://www.youtube.com/channel/UCqP44doV3yxEI-84YUKmhaQ")</f>
        <v>http://www.youtube.com/channel/UCqP44doV3yxEI-84YUKmhaQ</v>
      </c>
      <c r="U413" s="81"/>
      <c r="V413" s="81" t="s">
        <v>2325</v>
      </c>
      <c r="W413" s="86" t="str">
        <f>HYPERLINK("https://www.youtube.com/watch?v=1NoK5x9eG_k")</f>
        <v>https://www.youtube.com/watch?v=1NoK5x9eG_k</v>
      </c>
      <c r="X413" s="81" t="s">
        <v>2349</v>
      </c>
      <c r="Y413" s="81">
        <v>0</v>
      </c>
      <c r="Z413" s="88">
        <v>44083.556076388886</v>
      </c>
      <c r="AA413" s="88">
        <v>44083.556076388886</v>
      </c>
      <c r="AB413" s="81"/>
      <c r="AC413" s="81"/>
      <c r="AD413" s="84" t="s">
        <v>2390</v>
      </c>
      <c r="AE413" s="82">
        <v>2</v>
      </c>
      <c r="AF413" s="83" t="str">
        <f>REPLACE(INDEX(GroupVertices[Group],MATCH(Edges[[#This Row],[Vertex 1]],GroupVertices[Vertex],0)),1,1,"")</f>
        <v>5</v>
      </c>
      <c r="AG413" s="83" t="str">
        <f>REPLACE(INDEX(GroupVertices[Group],MATCH(Edges[[#This Row],[Vertex 2]],GroupVertices[Vertex],0)),1,1,"")</f>
        <v>5</v>
      </c>
      <c r="AH413" s="111">
        <v>1</v>
      </c>
      <c r="AI413" s="112">
        <v>0.3048780487804878</v>
      </c>
      <c r="AJ413" s="111">
        <v>19</v>
      </c>
      <c r="AK413" s="112">
        <v>5.7926829268292686</v>
      </c>
      <c r="AL413" s="111">
        <v>0</v>
      </c>
      <c r="AM413" s="112">
        <v>0</v>
      </c>
      <c r="AN413" s="111">
        <v>308</v>
      </c>
      <c r="AO413" s="112">
        <v>93.90243902439025</v>
      </c>
      <c r="AP413" s="111">
        <v>328</v>
      </c>
    </row>
    <row r="414" spans="1:42" ht="15">
      <c r="A414" s="65" t="s">
        <v>541</v>
      </c>
      <c r="B414" s="65" t="s">
        <v>841</v>
      </c>
      <c r="C414" s="66" t="s">
        <v>4651</v>
      </c>
      <c r="D414" s="67">
        <v>3</v>
      </c>
      <c r="E414" s="68"/>
      <c r="F414" s="69">
        <v>40</v>
      </c>
      <c r="G414" s="66"/>
      <c r="H414" s="70"/>
      <c r="I414" s="71"/>
      <c r="J414" s="71"/>
      <c r="K414" s="35" t="s">
        <v>65</v>
      </c>
      <c r="L414" s="79">
        <v>414</v>
      </c>
      <c r="M414" s="79"/>
      <c r="N414" s="73"/>
      <c r="O414" s="81" t="s">
        <v>844</v>
      </c>
      <c r="P414" s="81" t="s">
        <v>199</v>
      </c>
      <c r="Q414" s="84" t="s">
        <v>1238</v>
      </c>
      <c r="R414" s="81" t="s">
        <v>541</v>
      </c>
      <c r="S414" s="81" t="s">
        <v>1900</v>
      </c>
      <c r="T414" s="86" t="str">
        <f>HYPERLINK("http://www.youtube.com/channel/UCZ0FGT_t-KwGJyk9eeegamw")</f>
        <v>http://www.youtube.com/channel/UCZ0FGT_t-KwGJyk9eeegamw</v>
      </c>
      <c r="U414" s="81"/>
      <c r="V414" s="81" t="s">
        <v>2325</v>
      </c>
      <c r="W414" s="86" t="str">
        <f>HYPERLINK("https://www.youtube.com/watch?v=1NoK5x9eG_k")</f>
        <v>https://www.youtube.com/watch?v=1NoK5x9eG_k</v>
      </c>
      <c r="X414" s="81" t="s">
        <v>2349</v>
      </c>
      <c r="Y414" s="81">
        <v>0</v>
      </c>
      <c r="Z414" s="88">
        <v>44084.643796296295</v>
      </c>
      <c r="AA414" s="88">
        <v>44084.643796296295</v>
      </c>
      <c r="AB414" s="81"/>
      <c r="AC414" s="81"/>
      <c r="AD414" s="84" t="s">
        <v>2390</v>
      </c>
      <c r="AE414" s="82">
        <v>1</v>
      </c>
      <c r="AF414" s="83" t="str">
        <f>REPLACE(INDEX(GroupVertices[Group],MATCH(Edges[[#This Row],[Vertex 1]],GroupVertices[Vertex],0)),1,1,"")</f>
        <v>5</v>
      </c>
      <c r="AG414" s="83" t="str">
        <f>REPLACE(INDEX(GroupVertices[Group],MATCH(Edges[[#This Row],[Vertex 2]],GroupVertices[Vertex],0)),1,1,"")</f>
        <v>5</v>
      </c>
      <c r="AH414" s="111">
        <v>0</v>
      </c>
      <c r="AI414" s="112">
        <v>0</v>
      </c>
      <c r="AJ414" s="111">
        <v>0</v>
      </c>
      <c r="AK414" s="112">
        <v>0</v>
      </c>
      <c r="AL414" s="111">
        <v>0</v>
      </c>
      <c r="AM414" s="112">
        <v>0</v>
      </c>
      <c r="AN414" s="111">
        <v>8</v>
      </c>
      <c r="AO414" s="112">
        <v>100</v>
      </c>
      <c r="AP414" s="111">
        <v>8</v>
      </c>
    </row>
    <row r="415" spans="1:42" ht="15">
      <c r="A415" s="65" t="s">
        <v>542</v>
      </c>
      <c r="B415" s="65" t="s">
        <v>543</v>
      </c>
      <c r="C415" s="66" t="s">
        <v>4613</v>
      </c>
      <c r="D415" s="67">
        <v>10</v>
      </c>
      <c r="E415" s="68"/>
      <c r="F415" s="69">
        <v>15</v>
      </c>
      <c r="G415" s="66"/>
      <c r="H415" s="70"/>
      <c r="I415" s="71"/>
      <c r="J415" s="71"/>
      <c r="K415" s="35" t="s">
        <v>66</v>
      </c>
      <c r="L415" s="79">
        <v>415</v>
      </c>
      <c r="M415" s="79"/>
      <c r="N415" s="73"/>
      <c r="O415" s="81" t="s">
        <v>845</v>
      </c>
      <c r="P415" s="81" t="s">
        <v>847</v>
      </c>
      <c r="Q415" s="84" t="s">
        <v>1239</v>
      </c>
      <c r="R415" s="81" t="s">
        <v>542</v>
      </c>
      <c r="S415" s="81" t="s">
        <v>1901</v>
      </c>
      <c r="T415" s="86" t="str">
        <f>HYPERLINK("http://www.youtube.com/channel/UCig0KhrB5NClMvX9QrbXcrw")</f>
        <v>http://www.youtube.com/channel/UCig0KhrB5NClMvX9QrbXcrw</v>
      </c>
      <c r="U415" s="81" t="s">
        <v>2244</v>
      </c>
      <c r="V415" s="81" t="s">
        <v>2326</v>
      </c>
      <c r="W415" s="86" t="str">
        <f>HYPERLINK("https://www.youtube.com/watch?v=pfKPJasaDSY")</f>
        <v>https://www.youtube.com/watch?v=pfKPJasaDSY</v>
      </c>
      <c r="X415" s="81" t="s">
        <v>2349</v>
      </c>
      <c r="Y415" s="81">
        <v>3</v>
      </c>
      <c r="Z415" s="88">
        <v>42054.73983796296</v>
      </c>
      <c r="AA415" s="88">
        <v>42054.73983796296</v>
      </c>
      <c r="AB415" s="81"/>
      <c r="AC415" s="81"/>
      <c r="AD415" s="84" t="s">
        <v>2390</v>
      </c>
      <c r="AE415" s="82">
        <v>2</v>
      </c>
      <c r="AF415" s="83" t="str">
        <f>REPLACE(INDEX(GroupVertices[Group],MATCH(Edges[[#This Row],[Vertex 1]],GroupVertices[Vertex],0)),1,1,"")</f>
        <v>15</v>
      </c>
      <c r="AG415" s="83" t="str">
        <f>REPLACE(INDEX(GroupVertices[Group],MATCH(Edges[[#This Row],[Vertex 2]],GroupVertices[Vertex],0)),1,1,"")</f>
        <v>15</v>
      </c>
      <c r="AH415" s="111">
        <v>1</v>
      </c>
      <c r="AI415" s="112">
        <v>5.555555555555555</v>
      </c>
      <c r="AJ415" s="111">
        <v>0</v>
      </c>
      <c r="AK415" s="112">
        <v>0</v>
      </c>
      <c r="AL415" s="111">
        <v>0</v>
      </c>
      <c r="AM415" s="112">
        <v>0</v>
      </c>
      <c r="AN415" s="111">
        <v>17</v>
      </c>
      <c r="AO415" s="112">
        <v>94.44444444444444</v>
      </c>
      <c r="AP415" s="111">
        <v>18</v>
      </c>
    </row>
    <row r="416" spans="1:42" ht="15">
      <c r="A416" s="65" t="s">
        <v>543</v>
      </c>
      <c r="B416" s="65" t="s">
        <v>542</v>
      </c>
      <c r="C416" s="66" t="s">
        <v>4613</v>
      </c>
      <c r="D416" s="67">
        <v>10</v>
      </c>
      <c r="E416" s="68"/>
      <c r="F416" s="69">
        <v>15</v>
      </c>
      <c r="G416" s="66"/>
      <c r="H416" s="70"/>
      <c r="I416" s="71"/>
      <c r="J416" s="71"/>
      <c r="K416" s="35" t="s">
        <v>66</v>
      </c>
      <c r="L416" s="79">
        <v>416</v>
      </c>
      <c r="M416" s="79"/>
      <c r="N416" s="73"/>
      <c r="O416" s="81" t="s">
        <v>844</v>
      </c>
      <c r="P416" s="81" t="s">
        <v>199</v>
      </c>
      <c r="Q416" s="84" t="s">
        <v>1240</v>
      </c>
      <c r="R416" s="81" t="s">
        <v>543</v>
      </c>
      <c r="S416" s="81" t="s">
        <v>1902</v>
      </c>
      <c r="T416" s="86" t="str">
        <f>HYPERLINK("http://www.youtube.com/channel/UC7i1o6d7tVtn2I004e0a2Pg")</f>
        <v>http://www.youtube.com/channel/UC7i1o6d7tVtn2I004e0a2Pg</v>
      </c>
      <c r="U416" s="81"/>
      <c r="V416" s="81" t="s">
        <v>2326</v>
      </c>
      <c r="W416" s="86" t="str">
        <f>HYPERLINK("https://www.youtube.com/watch?v=pfKPJasaDSY")</f>
        <v>https://www.youtube.com/watch?v=pfKPJasaDSY</v>
      </c>
      <c r="X416" s="81" t="s">
        <v>2349</v>
      </c>
      <c r="Y416" s="81">
        <v>5</v>
      </c>
      <c r="Z416" s="88">
        <v>42054.603634259256</v>
      </c>
      <c r="AA416" s="88">
        <v>42054.603634259256</v>
      </c>
      <c r="AB416" s="81"/>
      <c r="AC416" s="81"/>
      <c r="AD416" s="84" t="s">
        <v>2390</v>
      </c>
      <c r="AE416" s="82">
        <v>2</v>
      </c>
      <c r="AF416" s="83" t="str">
        <f>REPLACE(INDEX(GroupVertices[Group],MATCH(Edges[[#This Row],[Vertex 1]],GroupVertices[Vertex],0)),1,1,"")</f>
        <v>15</v>
      </c>
      <c r="AG416" s="83" t="str">
        <f>REPLACE(INDEX(GroupVertices[Group],MATCH(Edges[[#This Row],[Vertex 2]],GroupVertices[Vertex],0)),1,1,"")</f>
        <v>15</v>
      </c>
      <c r="AH416" s="111">
        <v>7</v>
      </c>
      <c r="AI416" s="112">
        <v>7.777777777777778</v>
      </c>
      <c r="AJ416" s="111">
        <v>3</v>
      </c>
      <c r="AK416" s="112">
        <v>3.3333333333333335</v>
      </c>
      <c r="AL416" s="111">
        <v>0</v>
      </c>
      <c r="AM416" s="112">
        <v>0</v>
      </c>
      <c r="AN416" s="111">
        <v>80</v>
      </c>
      <c r="AO416" s="112">
        <v>88.88888888888889</v>
      </c>
      <c r="AP416" s="111">
        <v>90</v>
      </c>
    </row>
    <row r="417" spans="1:42" ht="15">
      <c r="A417" s="65" t="s">
        <v>542</v>
      </c>
      <c r="B417" s="65" t="s">
        <v>543</v>
      </c>
      <c r="C417" s="66" t="s">
        <v>4613</v>
      </c>
      <c r="D417" s="67">
        <v>10</v>
      </c>
      <c r="E417" s="68"/>
      <c r="F417" s="69">
        <v>15</v>
      </c>
      <c r="G417" s="66"/>
      <c r="H417" s="70"/>
      <c r="I417" s="71"/>
      <c r="J417" s="71"/>
      <c r="K417" s="35" t="s">
        <v>66</v>
      </c>
      <c r="L417" s="79">
        <v>417</v>
      </c>
      <c r="M417" s="79"/>
      <c r="N417" s="73"/>
      <c r="O417" s="81" t="s">
        <v>845</v>
      </c>
      <c r="P417" s="81" t="s">
        <v>847</v>
      </c>
      <c r="Q417" s="84" t="s">
        <v>1241</v>
      </c>
      <c r="R417" s="81" t="s">
        <v>542</v>
      </c>
      <c r="S417" s="81" t="s">
        <v>1901</v>
      </c>
      <c r="T417" s="86" t="str">
        <f>HYPERLINK("http://www.youtube.com/channel/UCig0KhrB5NClMvX9QrbXcrw")</f>
        <v>http://www.youtube.com/channel/UCig0KhrB5NClMvX9QrbXcrw</v>
      </c>
      <c r="U417" s="81" t="s">
        <v>2245</v>
      </c>
      <c r="V417" s="81" t="s">
        <v>2326</v>
      </c>
      <c r="W417" s="86" t="str">
        <f>HYPERLINK("https://www.youtube.com/watch?v=pfKPJasaDSY")</f>
        <v>https://www.youtube.com/watch?v=pfKPJasaDSY</v>
      </c>
      <c r="X417" s="81" t="s">
        <v>2349</v>
      </c>
      <c r="Y417" s="81">
        <v>0</v>
      </c>
      <c r="Z417" s="88">
        <v>42169.551932870374</v>
      </c>
      <c r="AA417" s="88">
        <v>42169.551932870374</v>
      </c>
      <c r="AB417" s="81"/>
      <c r="AC417" s="81"/>
      <c r="AD417" s="84" t="s">
        <v>2390</v>
      </c>
      <c r="AE417" s="82">
        <v>2</v>
      </c>
      <c r="AF417" s="83" t="str">
        <f>REPLACE(INDEX(GroupVertices[Group],MATCH(Edges[[#This Row],[Vertex 1]],GroupVertices[Vertex],0)),1,1,"")</f>
        <v>15</v>
      </c>
      <c r="AG417" s="83" t="str">
        <f>REPLACE(INDEX(GroupVertices[Group],MATCH(Edges[[#This Row],[Vertex 2]],GroupVertices[Vertex],0)),1,1,"")</f>
        <v>15</v>
      </c>
      <c r="AH417" s="111">
        <v>2</v>
      </c>
      <c r="AI417" s="112">
        <v>16.666666666666668</v>
      </c>
      <c r="AJ417" s="111">
        <v>0</v>
      </c>
      <c r="AK417" s="112">
        <v>0</v>
      </c>
      <c r="AL417" s="111">
        <v>0</v>
      </c>
      <c r="AM417" s="112">
        <v>0</v>
      </c>
      <c r="AN417" s="111">
        <v>10</v>
      </c>
      <c r="AO417" s="112">
        <v>83.33333333333333</v>
      </c>
      <c r="AP417" s="111">
        <v>12</v>
      </c>
    </row>
    <row r="418" spans="1:42" ht="15">
      <c r="A418" s="65" t="s">
        <v>543</v>
      </c>
      <c r="B418" s="65" t="s">
        <v>542</v>
      </c>
      <c r="C418" s="66" t="s">
        <v>4613</v>
      </c>
      <c r="D418" s="67">
        <v>10</v>
      </c>
      <c r="E418" s="68"/>
      <c r="F418" s="69">
        <v>15</v>
      </c>
      <c r="G418" s="66"/>
      <c r="H418" s="70"/>
      <c r="I418" s="71"/>
      <c r="J418" s="71"/>
      <c r="K418" s="35" t="s">
        <v>66</v>
      </c>
      <c r="L418" s="79">
        <v>418</v>
      </c>
      <c r="M418" s="79"/>
      <c r="N418" s="73"/>
      <c r="O418" s="81" t="s">
        <v>844</v>
      </c>
      <c r="P418" s="81" t="s">
        <v>199</v>
      </c>
      <c r="Q418" s="84" t="s">
        <v>1242</v>
      </c>
      <c r="R418" s="81" t="s">
        <v>543</v>
      </c>
      <c r="S418" s="81" t="s">
        <v>1902</v>
      </c>
      <c r="T418" s="86" t="str">
        <f>HYPERLINK("http://www.youtube.com/channel/UC7i1o6d7tVtn2I004e0a2Pg")</f>
        <v>http://www.youtube.com/channel/UC7i1o6d7tVtn2I004e0a2Pg</v>
      </c>
      <c r="U418" s="81"/>
      <c r="V418" s="81" t="s">
        <v>2326</v>
      </c>
      <c r="W418" s="86" t="str">
        <f>HYPERLINK("https://www.youtube.com/watch?v=pfKPJasaDSY")</f>
        <v>https://www.youtube.com/watch?v=pfKPJasaDSY</v>
      </c>
      <c r="X418" s="81" t="s">
        <v>2349</v>
      </c>
      <c r="Y418" s="81">
        <v>1</v>
      </c>
      <c r="Z418" s="88">
        <v>42055.62662037037</v>
      </c>
      <c r="AA418" s="88">
        <v>42055.62662037037</v>
      </c>
      <c r="AB418" s="81"/>
      <c r="AC418" s="81"/>
      <c r="AD418" s="84" t="s">
        <v>2390</v>
      </c>
      <c r="AE418" s="82">
        <v>2</v>
      </c>
      <c r="AF418" s="83" t="str">
        <f>REPLACE(INDEX(GroupVertices[Group],MATCH(Edges[[#This Row],[Vertex 1]],GroupVertices[Vertex],0)),1,1,"")</f>
        <v>15</v>
      </c>
      <c r="AG418" s="83" t="str">
        <f>REPLACE(INDEX(GroupVertices[Group],MATCH(Edges[[#This Row],[Vertex 2]],GroupVertices[Vertex],0)),1,1,"")</f>
        <v>15</v>
      </c>
      <c r="AH418" s="111">
        <v>0</v>
      </c>
      <c r="AI418" s="112">
        <v>0</v>
      </c>
      <c r="AJ418" s="111">
        <v>0</v>
      </c>
      <c r="AK418" s="112">
        <v>0</v>
      </c>
      <c r="AL418" s="111">
        <v>0</v>
      </c>
      <c r="AM418" s="112">
        <v>0</v>
      </c>
      <c r="AN418" s="111">
        <v>22</v>
      </c>
      <c r="AO418" s="112">
        <v>100</v>
      </c>
      <c r="AP418" s="111">
        <v>22</v>
      </c>
    </row>
    <row r="419" spans="1:42" ht="15">
      <c r="A419" s="65" t="s">
        <v>542</v>
      </c>
      <c r="B419" s="65" t="s">
        <v>544</v>
      </c>
      <c r="C419" s="66" t="s">
        <v>4651</v>
      </c>
      <c r="D419" s="67">
        <v>3</v>
      </c>
      <c r="E419" s="68"/>
      <c r="F419" s="69">
        <v>40</v>
      </c>
      <c r="G419" s="66"/>
      <c r="H419" s="70"/>
      <c r="I419" s="71"/>
      <c r="J419" s="71"/>
      <c r="K419" s="35" t="s">
        <v>66</v>
      </c>
      <c r="L419" s="79">
        <v>419</v>
      </c>
      <c r="M419" s="79"/>
      <c r="N419" s="73"/>
      <c r="O419" s="81" t="s">
        <v>845</v>
      </c>
      <c r="P419" s="81" t="s">
        <v>847</v>
      </c>
      <c r="Q419" s="84" t="s">
        <v>1243</v>
      </c>
      <c r="R419" s="81" t="s">
        <v>542</v>
      </c>
      <c r="S419" s="81" t="s">
        <v>1901</v>
      </c>
      <c r="T419" s="86" t="str">
        <f>HYPERLINK("http://www.youtube.com/channel/UCig0KhrB5NClMvX9QrbXcrw")</f>
        <v>http://www.youtube.com/channel/UCig0KhrB5NClMvX9QrbXcrw</v>
      </c>
      <c r="U419" s="81" t="s">
        <v>2246</v>
      </c>
      <c r="V419" s="81" t="s">
        <v>2326</v>
      </c>
      <c r="W419" s="86" t="str">
        <f>HYPERLINK("https://www.youtube.com/watch?v=pfKPJasaDSY")</f>
        <v>https://www.youtube.com/watch?v=pfKPJasaDSY</v>
      </c>
      <c r="X419" s="81" t="s">
        <v>2349</v>
      </c>
      <c r="Y419" s="81">
        <v>0</v>
      </c>
      <c r="Z419" s="88">
        <v>42057.62024305556</v>
      </c>
      <c r="AA419" s="88">
        <v>42057.62024305556</v>
      </c>
      <c r="AB419" s="81"/>
      <c r="AC419" s="81"/>
      <c r="AD419" s="84" t="s">
        <v>2390</v>
      </c>
      <c r="AE419" s="82">
        <v>1</v>
      </c>
      <c r="AF419" s="83" t="str">
        <f>REPLACE(INDEX(GroupVertices[Group],MATCH(Edges[[#This Row],[Vertex 1]],GroupVertices[Vertex],0)),1,1,"")</f>
        <v>15</v>
      </c>
      <c r="AG419" s="83" t="str">
        <f>REPLACE(INDEX(GroupVertices[Group],MATCH(Edges[[#This Row],[Vertex 2]],GroupVertices[Vertex],0)),1,1,"")</f>
        <v>15</v>
      </c>
      <c r="AH419" s="111">
        <v>0</v>
      </c>
      <c r="AI419" s="112">
        <v>0</v>
      </c>
      <c r="AJ419" s="111">
        <v>0</v>
      </c>
      <c r="AK419" s="112">
        <v>0</v>
      </c>
      <c r="AL419" s="111">
        <v>0</v>
      </c>
      <c r="AM419" s="112">
        <v>0</v>
      </c>
      <c r="AN419" s="111">
        <v>12</v>
      </c>
      <c r="AO419" s="112">
        <v>100</v>
      </c>
      <c r="AP419" s="111">
        <v>12</v>
      </c>
    </row>
    <row r="420" spans="1:42" ht="15">
      <c r="A420" s="65" t="s">
        <v>544</v>
      </c>
      <c r="B420" s="65" t="s">
        <v>542</v>
      </c>
      <c r="C420" s="66" t="s">
        <v>4651</v>
      </c>
      <c r="D420" s="67">
        <v>3</v>
      </c>
      <c r="E420" s="68"/>
      <c r="F420" s="69">
        <v>40</v>
      </c>
      <c r="G420" s="66"/>
      <c r="H420" s="70"/>
      <c r="I420" s="71"/>
      <c r="J420" s="71"/>
      <c r="K420" s="35" t="s">
        <v>66</v>
      </c>
      <c r="L420" s="79">
        <v>420</v>
      </c>
      <c r="M420" s="79"/>
      <c r="N420" s="73"/>
      <c r="O420" s="81" t="s">
        <v>844</v>
      </c>
      <c r="P420" s="81" t="s">
        <v>199</v>
      </c>
      <c r="Q420" s="84" t="s">
        <v>1244</v>
      </c>
      <c r="R420" s="81" t="s">
        <v>544</v>
      </c>
      <c r="S420" s="81" t="s">
        <v>1903</v>
      </c>
      <c r="T420" s="86" t="str">
        <f>HYPERLINK("http://www.youtube.com/channel/UCd9YqD9yL_muyGcFjiJvDbw")</f>
        <v>http://www.youtube.com/channel/UCd9YqD9yL_muyGcFjiJvDbw</v>
      </c>
      <c r="U420" s="81"/>
      <c r="V420" s="81" t="s">
        <v>2326</v>
      </c>
      <c r="W420" s="86" t="str">
        <f>HYPERLINK("https://www.youtube.com/watch?v=pfKPJasaDSY")</f>
        <v>https://www.youtube.com/watch?v=pfKPJasaDSY</v>
      </c>
      <c r="X420" s="81" t="s">
        <v>2349</v>
      </c>
      <c r="Y420" s="81">
        <v>1</v>
      </c>
      <c r="Z420" s="88">
        <v>42057.17824074074</v>
      </c>
      <c r="AA420" s="88">
        <v>42057.17824074074</v>
      </c>
      <c r="AB420" s="81"/>
      <c r="AC420" s="81"/>
      <c r="AD420" s="84" t="s">
        <v>2390</v>
      </c>
      <c r="AE420" s="82">
        <v>1</v>
      </c>
      <c r="AF420" s="83" t="str">
        <f>REPLACE(INDEX(GroupVertices[Group],MATCH(Edges[[#This Row],[Vertex 1]],GroupVertices[Vertex],0)),1,1,"")</f>
        <v>15</v>
      </c>
      <c r="AG420" s="83" t="str">
        <f>REPLACE(INDEX(GroupVertices[Group],MATCH(Edges[[#This Row],[Vertex 2]],GroupVertices[Vertex],0)),1,1,"")</f>
        <v>15</v>
      </c>
      <c r="AH420" s="111">
        <v>1</v>
      </c>
      <c r="AI420" s="112">
        <v>8.333333333333334</v>
      </c>
      <c r="AJ420" s="111">
        <v>0</v>
      </c>
      <c r="AK420" s="112">
        <v>0</v>
      </c>
      <c r="AL420" s="111">
        <v>0</v>
      </c>
      <c r="AM420" s="112">
        <v>0</v>
      </c>
      <c r="AN420" s="111">
        <v>11</v>
      </c>
      <c r="AO420" s="112">
        <v>91.66666666666667</v>
      </c>
      <c r="AP420" s="111">
        <v>12</v>
      </c>
    </row>
    <row r="421" spans="1:42" ht="15">
      <c r="A421" s="65" t="s">
        <v>542</v>
      </c>
      <c r="B421" s="65" t="s">
        <v>545</v>
      </c>
      <c r="C421" s="66" t="s">
        <v>4651</v>
      </c>
      <c r="D421" s="67">
        <v>3</v>
      </c>
      <c r="E421" s="68"/>
      <c r="F421" s="69">
        <v>40</v>
      </c>
      <c r="G421" s="66"/>
      <c r="H421" s="70"/>
      <c r="I421" s="71"/>
      <c r="J421" s="71"/>
      <c r="K421" s="35" t="s">
        <v>66</v>
      </c>
      <c r="L421" s="79">
        <v>421</v>
      </c>
      <c r="M421" s="79"/>
      <c r="N421" s="73"/>
      <c r="O421" s="81" t="s">
        <v>845</v>
      </c>
      <c r="P421" s="81" t="s">
        <v>847</v>
      </c>
      <c r="Q421" s="84" t="s">
        <v>1245</v>
      </c>
      <c r="R421" s="81" t="s">
        <v>542</v>
      </c>
      <c r="S421" s="81" t="s">
        <v>1901</v>
      </c>
      <c r="T421" s="86" t="str">
        <f>HYPERLINK("http://www.youtube.com/channel/UCig0KhrB5NClMvX9QrbXcrw")</f>
        <v>http://www.youtube.com/channel/UCig0KhrB5NClMvX9QrbXcrw</v>
      </c>
      <c r="U421" s="81" t="s">
        <v>2247</v>
      </c>
      <c r="V421" s="81" t="s">
        <v>2326</v>
      </c>
      <c r="W421" s="86" t="str">
        <f>HYPERLINK("https://www.youtube.com/watch?v=pfKPJasaDSY")</f>
        <v>https://www.youtube.com/watch?v=pfKPJasaDSY</v>
      </c>
      <c r="X421" s="81" t="s">
        <v>2349</v>
      </c>
      <c r="Y421" s="81">
        <v>0</v>
      </c>
      <c r="Z421" s="88">
        <v>42169.55304398148</v>
      </c>
      <c r="AA421" s="88">
        <v>42169.55304398148</v>
      </c>
      <c r="AB421" s="81"/>
      <c r="AC421" s="81"/>
      <c r="AD421" s="84" t="s">
        <v>2390</v>
      </c>
      <c r="AE421" s="82">
        <v>1</v>
      </c>
      <c r="AF421" s="83" t="str">
        <f>REPLACE(INDEX(GroupVertices[Group],MATCH(Edges[[#This Row],[Vertex 1]],GroupVertices[Vertex],0)),1,1,"")</f>
        <v>15</v>
      </c>
      <c r="AG421" s="83" t="str">
        <f>REPLACE(INDEX(GroupVertices[Group],MATCH(Edges[[#This Row],[Vertex 2]],GroupVertices[Vertex],0)),1,1,"")</f>
        <v>15</v>
      </c>
      <c r="AH421" s="111">
        <v>2</v>
      </c>
      <c r="AI421" s="112">
        <v>7.407407407407407</v>
      </c>
      <c r="AJ421" s="111">
        <v>0</v>
      </c>
      <c r="AK421" s="112">
        <v>0</v>
      </c>
      <c r="AL421" s="111">
        <v>0</v>
      </c>
      <c r="AM421" s="112">
        <v>0</v>
      </c>
      <c r="AN421" s="111">
        <v>25</v>
      </c>
      <c r="AO421" s="112">
        <v>92.5925925925926</v>
      </c>
      <c r="AP421" s="111">
        <v>27</v>
      </c>
    </row>
    <row r="422" spans="1:42" ht="15">
      <c r="A422" s="65" t="s">
        <v>545</v>
      </c>
      <c r="B422" s="65" t="s">
        <v>542</v>
      </c>
      <c r="C422" s="66" t="s">
        <v>4651</v>
      </c>
      <c r="D422" s="67">
        <v>3</v>
      </c>
      <c r="E422" s="68"/>
      <c r="F422" s="69">
        <v>40</v>
      </c>
      <c r="G422" s="66"/>
      <c r="H422" s="70"/>
      <c r="I422" s="71"/>
      <c r="J422" s="71"/>
      <c r="K422" s="35" t="s">
        <v>66</v>
      </c>
      <c r="L422" s="79">
        <v>422</v>
      </c>
      <c r="M422" s="79"/>
      <c r="N422" s="73"/>
      <c r="O422" s="81" t="s">
        <v>844</v>
      </c>
      <c r="P422" s="81" t="s">
        <v>199</v>
      </c>
      <c r="Q422" s="84" t="s">
        <v>1246</v>
      </c>
      <c r="R422" s="81" t="s">
        <v>545</v>
      </c>
      <c r="S422" s="81" t="s">
        <v>1904</v>
      </c>
      <c r="T422" s="86" t="str">
        <f>HYPERLINK("http://www.youtube.com/channel/UCf3n0HOm04_pmgj8PKCo6oA")</f>
        <v>http://www.youtube.com/channel/UCf3n0HOm04_pmgj8PKCo6oA</v>
      </c>
      <c r="U422" s="81"/>
      <c r="V422" s="81" t="s">
        <v>2326</v>
      </c>
      <c r="W422" s="86" t="str">
        <f>HYPERLINK("https://www.youtube.com/watch?v=pfKPJasaDSY")</f>
        <v>https://www.youtube.com/watch?v=pfKPJasaDSY</v>
      </c>
      <c r="X422" s="81" t="s">
        <v>2349</v>
      </c>
      <c r="Y422" s="81">
        <v>1</v>
      </c>
      <c r="Z422" s="88">
        <v>42169.47577546296</v>
      </c>
      <c r="AA422" s="88">
        <v>42169.47577546296</v>
      </c>
      <c r="AB422" s="81"/>
      <c r="AC422" s="81"/>
      <c r="AD422" s="84" t="s">
        <v>2390</v>
      </c>
      <c r="AE422" s="82">
        <v>1</v>
      </c>
      <c r="AF422" s="83" t="str">
        <f>REPLACE(INDEX(GroupVertices[Group],MATCH(Edges[[#This Row],[Vertex 1]],GroupVertices[Vertex],0)),1,1,"")</f>
        <v>15</v>
      </c>
      <c r="AG422" s="83" t="str">
        <f>REPLACE(INDEX(GroupVertices[Group],MATCH(Edges[[#This Row],[Vertex 2]],GroupVertices[Vertex],0)),1,1,"")</f>
        <v>15</v>
      </c>
      <c r="AH422" s="111">
        <v>2</v>
      </c>
      <c r="AI422" s="112">
        <v>1.9047619047619047</v>
      </c>
      <c r="AJ422" s="111">
        <v>1</v>
      </c>
      <c r="AK422" s="112">
        <v>0.9523809523809523</v>
      </c>
      <c r="AL422" s="111">
        <v>0</v>
      </c>
      <c r="AM422" s="112">
        <v>0</v>
      </c>
      <c r="AN422" s="111">
        <v>102</v>
      </c>
      <c r="AO422" s="112">
        <v>97.14285714285714</v>
      </c>
      <c r="AP422" s="111">
        <v>105</v>
      </c>
    </row>
    <row r="423" spans="1:42" ht="15">
      <c r="A423" s="65" t="s">
        <v>542</v>
      </c>
      <c r="B423" s="65" t="s">
        <v>546</v>
      </c>
      <c r="C423" s="66" t="s">
        <v>4651</v>
      </c>
      <c r="D423" s="67">
        <v>3</v>
      </c>
      <c r="E423" s="68"/>
      <c r="F423" s="69">
        <v>40</v>
      </c>
      <c r="G423" s="66"/>
      <c r="H423" s="70"/>
      <c r="I423" s="71"/>
      <c r="J423" s="71"/>
      <c r="K423" s="35" t="s">
        <v>66</v>
      </c>
      <c r="L423" s="79">
        <v>423</v>
      </c>
      <c r="M423" s="79"/>
      <c r="N423" s="73"/>
      <c r="O423" s="81" t="s">
        <v>845</v>
      </c>
      <c r="P423" s="81" t="s">
        <v>847</v>
      </c>
      <c r="Q423" s="84" t="s">
        <v>1247</v>
      </c>
      <c r="R423" s="81" t="s">
        <v>542</v>
      </c>
      <c r="S423" s="81" t="s">
        <v>1901</v>
      </c>
      <c r="T423" s="86" t="str">
        <f>HYPERLINK("http://www.youtube.com/channel/UCig0KhrB5NClMvX9QrbXcrw")</f>
        <v>http://www.youtube.com/channel/UCig0KhrB5NClMvX9QrbXcrw</v>
      </c>
      <c r="U423" s="81" t="s">
        <v>2248</v>
      </c>
      <c r="V423" s="81" t="s">
        <v>2326</v>
      </c>
      <c r="W423" s="86" t="str">
        <f>HYPERLINK("https://www.youtube.com/watch?v=pfKPJasaDSY")</f>
        <v>https://www.youtube.com/watch?v=pfKPJasaDSY</v>
      </c>
      <c r="X423" s="81" t="s">
        <v>2349</v>
      </c>
      <c r="Y423" s="81">
        <v>0</v>
      </c>
      <c r="Z423" s="88">
        <v>42318.75943287037</v>
      </c>
      <c r="AA423" s="88">
        <v>42318.75943287037</v>
      </c>
      <c r="AB423" s="81"/>
      <c r="AC423" s="81"/>
      <c r="AD423" s="84" t="s">
        <v>2390</v>
      </c>
      <c r="AE423" s="82">
        <v>1</v>
      </c>
      <c r="AF423" s="83" t="str">
        <f>REPLACE(INDEX(GroupVertices[Group],MATCH(Edges[[#This Row],[Vertex 1]],GroupVertices[Vertex],0)),1,1,"")</f>
        <v>15</v>
      </c>
      <c r="AG423" s="83" t="str">
        <f>REPLACE(INDEX(GroupVertices[Group],MATCH(Edges[[#This Row],[Vertex 2]],GroupVertices[Vertex],0)),1,1,"")</f>
        <v>15</v>
      </c>
      <c r="AH423" s="111">
        <v>1</v>
      </c>
      <c r="AI423" s="112">
        <v>3.5714285714285716</v>
      </c>
      <c r="AJ423" s="111">
        <v>0</v>
      </c>
      <c r="AK423" s="112">
        <v>0</v>
      </c>
      <c r="AL423" s="111">
        <v>0</v>
      </c>
      <c r="AM423" s="112">
        <v>0</v>
      </c>
      <c r="AN423" s="111">
        <v>27</v>
      </c>
      <c r="AO423" s="112">
        <v>96.42857142857143</v>
      </c>
      <c r="AP423" s="111">
        <v>28</v>
      </c>
    </row>
    <row r="424" spans="1:42" ht="15">
      <c r="A424" s="65" t="s">
        <v>546</v>
      </c>
      <c r="B424" s="65" t="s">
        <v>542</v>
      </c>
      <c r="C424" s="66" t="s">
        <v>4651</v>
      </c>
      <c r="D424" s="67">
        <v>3</v>
      </c>
      <c r="E424" s="68"/>
      <c r="F424" s="69">
        <v>40</v>
      </c>
      <c r="G424" s="66"/>
      <c r="H424" s="70"/>
      <c r="I424" s="71"/>
      <c r="J424" s="71"/>
      <c r="K424" s="35" t="s">
        <v>66</v>
      </c>
      <c r="L424" s="79">
        <v>424</v>
      </c>
      <c r="M424" s="79"/>
      <c r="N424" s="73"/>
      <c r="O424" s="81" t="s">
        <v>844</v>
      </c>
      <c r="P424" s="81" t="s">
        <v>199</v>
      </c>
      <c r="Q424" s="84" t="s">
        <v>1248</v>
      </c>
      <c r="R424" s="81" t="s">
        <v>546</v>
      </c>
      <c r="S424" s="81" t="s">
        <v>1905</v>
      </c>
      <c r="T424" s="86" t="str">
        <f>HYPERLINK("http://www.youtube.com/channel/UCspOgcY19gaQ0LVK2SOsHMw")</f>
        <v>http://www.youtube.com/channel/UCspOgcY19gaQ0LVK2SOsHMw</v>
      </c>
      <c r="U424" s="81"/>
      <c r="V424" s="81" t="s">
        <v>2326</v>
      </c>
      <c r="W424" s="86" t="str">
        <f>HYPERLINK("https://www.youtube.com/watch?v=pfKPJasaDSY")</f>
        <v>https://www.youtube.com/watch?v=pfKPJasaDSY</v>
      </c>
      <c r="X424" s="81" t="s">
        <v>2349</v>
      </c>
      <c r="Y424" s="81">
        <v>1</v>
      </c>
      <c r="Z424" s="88">
        <v>42306.24917824074</v>
      </c>
      <c r="AA424" s="88">
        <v>42306.24917824074</v>
      </c>
      <c r="AB424" s="81"/>
      <c r="AC424" s="81"/>
      <c r="AD424" s="84" t="s">
        <v>2390</v>
      </c>
      <c r="AE424" s="82">
        <v>1</v>
      </c>
      <c r="AF424" s="83" t="str">
        <f>REPLACE(INDEX(GroupVertices[Group],MATCH(Edges[[#This Row],[Vertex 1]],GroupVertices[Vertex],0)),1,1,"")</f>
        <v>15</v>
      </c>
      <c r="AG424" s="83" t="str">
        <f>REPLACE(INDEX(GroupVertices[Group],MATCH(Edges[[#This Row],[Vertex 2]],GroupVertices[Vertex],0)),1,1,"")</f>
        <v>15</v>
      </c>
      <c r="AH424" s="111">
        <v>1</v>
      </c>
      <c r="AI424" s="112">
        <v>0.7633587786259542</v>
      </c>
      <c r="AJ424" s="111">
        <v>4</v>
      </c>
      <c r="AK424" s="112">
        <v>3.053435114503817</v>
      </c>
      <c r="AL424" s="111">
        <v>0</v>
      </c>
      <c r="AM424" s="112">
        <v>0</v>
      </c>
      <c r="AN424" s="111">
        <v>126</v>
      </c>
      <c r="AO424" s="112">
        <v>96.18320610687023</v>
      </c>
      <c r="AP424" s="111">
        <v>131</v>
      </c>
    </row>
    <row r="425" spans="1:42" ht="15">
      <c r="A425" s="65" t="s">
        <v>542</v>
      </c>
      <c r="B425" s="65" t="s">
        <v>547</v>
      </c>
      <c r="C425" s="66" t="s">
        <v>4651</v>
      </c>
      <c r="D425" s="67">
        <v>3</v>
      </c>
      <c r="E425" s="68"/>
      <c r="F425" s="69">
        <v>40</v>
      </c>
      <c r="G425" s="66"/>
      <c r="H425" s="70"/>
      <c r="I425" s="71"/>
      <c r="J425" s="71"/>
      <c r="K425" s="35" t="s">
        <v>66</v>
      </c>
      <c r="L425" s="79">
        <v>425</v>
      </c>
      <c r="M425" s="79"/>
      <c r="N425" s="73"/>
      <c r="O425" s="81" t="s">
        <v>845</v>
      </c>
      <c r="P425" s="81" t="s">
        <v>847</v>
      </c>
      <c r="Q425" s="84" t="s">
        <v>1249</v>
      </c>
      <c r="R425" s="81" t="s">
        <v>542</v>
      </c>
      <c r="S425" s="81" t="s">
        <v>1901</v>
      </c>
      <c r="T425" s="86" t="str">
        <f>HYPERLINK("http://www.youtube.com/channel/UCig0KhrB5NClMvX9QrbXcrw")</f>
        <v>http://www.youtube.com/channel/UCig0KhrB5NClMvX9QrbXcrw</v>
      </c>
      <c r="U425" s="81" t="s">
        <v>2249</v>
      </c>
      <c r="V425" s="81" t="s">
        <v>2326</v>
      </c>
      <c r="W425" s="86" t="str">
        <f>HYPERLINK("https://www.youtube.com/watch?v=pfKPJasaDSY")</f>
        <v>https://www.youtube.com/watch?v=pfKPJasaDSY</v>
      </c>
      <c r="X425" s="81" t="s">
        <v>2349</v>
      </c>
      <c r="Y425" s="81">
        <v>0</v>
      </c>
      <c r="Z425" s="88">
        <v>43277.44163194444</v>
      </c>
      <c r="AA425" s="88">
        <v>43277.44163194444</v>
      </c>
      <c r="AB425" s="81"/>
      <c r="AC425" s="81"/>
      <c r="AD425" s="84" t="s">
        <v>2390</v>
      </c>
      <c r="AE425" s="82">
        <v>1</v>
      </c>
      <c r="AF425" s="83" t="str">
        <f>REPLACE(INDEX(GroupVertices[Group],MATCH(Edges[[#This Row],[Vertex 1]],GroupVertices[Vertex],0)),1,1,"")</f>
        <v>15</v>
      </c>
      <c r="AG425" s="83" t="str">
        <f>REPLACE(INDEX(GroupVertices[Group],MATCH(Edges[[#This Row],[Vertex 2]],GroupVertices[Vertex],0)),1,1,"")</f>
        <v>15</v>
      </c>
      <c r="AH425" s="111">
        <v>4</v>
      </c>
      <c r="AI425" s="112">
        <v>18.181818181818183</v>
      </c>
      <c r="AJ425" s="111">
        <v>0</v>
      </c>
      <c r="AK425" s="112">
        <v>0</v>
      </c>
      <c r="AL425" s="111">
        <v>0</v>
      </c>
      <c r="AM425" s="112">
        <v>0</v>
      </c>
      <c r="AN425" s="111">
        <v>18</v>
      </c>
      <c r="AO425" s="112">
        <v>81.81818181818181</v>
      </c>
      <c r="AP425" s="111">
        <v>22</v>
      </c>
    </row>
    <row r="426" spans="1:42" ht="15">
      <c r="A426" s="65" t="s">
        <v>547</v>
      </c>
      <c r="B426" s="65" t="s">
        <v>547</v>
      </c>
      <c r="C426" s="66" t="s">
        <v>4651</v>
      </c>
      <c r="D426" s="67">
        <v>3</v>
      </c>
      <c r="E426" s="68"/>
      <c r="F426" s="69">
        <v>40</v>
      </c>
      <c r="G426" s="66"/>
      <c r="H426" s="70"/>
      <c r="I426" s="71"/>
      <c r="J426" s="71"/>
      <c r="K426" s="35" t="s">
        <v>65</v>
      </c>
      <c r="L426" s="79">
        <v>426</v>
      </c>
      <c r="M426" s="79"/>
      <c r="N426" s="73"/>
      <c r="O426" s="81" t="s">
        <v>845</v>
      </c>
      <c r="P426" s="81" t="s">
        <v>847</v>
      </c>
      <c r="Q426" s="84" t="s">
        <v>1250</v>
      </c>
      <c r="R426" s="81" t="s">
        <v>547</v>
      </c>
      <c r="S426" s="81" t="s">
        <v>1906</v>
      </c>
      <c r="T426" s="86" t="str">
        <f>HYPERLINK("http://www.youtube.com/channel/UCilVHLxNKoC98Vke9PZIZxA")</f>
        <v>http://www.youtube.com/channel/UCilVHLxNKoC98Vke9PZIZxA</v>
      </c>
      <c r="U426" s="81" t="s">
        <v>2249</v>
      </c>
      <c r="V426" s="81" t="s">
        <v>2326</v>
      </c>
      <c r="W426" s="86" t="str">
        <f>HYPERLINK("https://www.youtube.com/watch?v=pfKPJasaDSY")</f>
        <v>https://www.youtube.com/watch?v=pfKPJasaDSY</v>
      </c>
      <c r="X426" s="81" t="s">
        <v>2349</v>
      </c>
      <c r="Y426" s="81">
        <v>0</v>
      </c>
      <c r="Z426" s="88">
        <v>43277.66222222222</v>
      </c>
      <c r="AA426" s="88">
        <v>43277.66222222222</v>
      </c>
      <c r="AB426" s="81"/>
      <c r="AC426" s="81"/>
      <c r="AD426" s="84" t="s">
        <v>2390</v>
      </c>
      <c r="AE426" s="82">
        <v>1</v>
      </c>
      <c r="AF426" s="83" t="str">
        <f>REPLACE(INDEX(GroupVertices[Group],MATCH(Edges[[#This Row],[Vertex 1]],GroupVertices[Vertex],0)),1,1,"")</f>
        <v>15</v>
      </c>
      <c r="AG426" s="83" t="str">
        <f>REPLACE(INDEX(GroupVertices[Group],MATCH(Edges[[#This Row],[Vertex 2]],GroupVertices[Vertex],0)),1,1,"")</f>
        <v>15</v>
      </c>
      <c r="AH426" s="111">
        <v>0</v>
      </c>
      <c r="AI426" s="112">
        <v>0</v>
      </c>
      <c r="AJ426" s="111">
        <v>0</v>
      </c>
      <c r="AK426" s="112">
        <v>0</v>
      </c>
      <c r="AL426" s="111">
        <v>0</v>
      </c>
      <c r="AM426" s="112">
        <v>0</v>
      </c>
      <c r="AN426" s="111">
        <v>1</v>
      </c>
      <c r="AO426" s="112">
        <v>100</v>
      </c>
      <c r="AP426" s="111">
        <v>1</v>
      </c>
    </row>
    <row r="427" spans="1:42" ht="15">
      <c r="A427" s="65" t="s">
        <v>547</v>
      </c>
      <c r="B427" s="65" t="s">
        <v>542</v>
      </c>
      <c r="C427" s="66" t="s">
        <v>4651</v>
      </c>
      <c r="D427" s="67">
        <v>3</v>
      </c>
      <c r="E427" s="68"/>
      <c r="F427" s="69">
        <v>40</v>
      </c>
      <c r="G427" s="66"/>
      <c r="H427" s="70"/>
      <c r="I427" s="71"/>
      <c r="J427" s="71"/>
      <c r="K427" s="35" t="s">
        <v>66</v>
      </c>
      <c r="L427" s="79">
        <v>427</v>
      </c>
      <c r="M427" s="79"/>
      <c r="N427" s="73"/>
      <c r="O427" s="81" t="s">
        <v>844</v>
      </c>
      <c r="P427" s="81" t="s">
        <v>199</v>
      </c>
      <c r="Q427" s="84" t="s">
        <v>1251</v>
      </c>
      <c r="R427" s="81" t="s">
        <v>547</v>
      </c>
      <c r="S427" s="81" t="s">
        <v>1906</v>
      </c>
      <c r="T427" s="86" t="str">
        <f>HYPERLINK("http://www.youtube.com/channel/UCilVHLxNKoC98Vke9PZIZxA")</f>
        <v>http://www.youtube.com/channel/UCilVHLxNKoC98Vke9PZIZxA</v>
      </c>
      <c r="U427" s="81"/>
      <c r="V427" s="81" t="s">
        <v>2326</v>
      </c>
      <c r="W427" s="86" t="str">
        <f>HYPERLINK("https://www.youtube.com/watch?v=pfKPJasaDSY")</f>
        <v>https://www.youtube.com/watch?v=pfKPJasaDSY</v>
      </c>
      <c r="X427" s="81" t="s">
        <v>2349</v>
      </c>
      <c r="Y427" s="81">
        <v>0</v>
      </c>
      <c r="Z427" s="88">
        <v>43273.21623842593</v>
      </c>
      <c r="AA427" s="88">
        <v>43273.21623842593</v>
      </c>
      <c r="AB427" s="81"/>
      <c r="AC427" s="81"/>
      <c r="AD427" s="84" t="s">
        <v>2390</v>
      </c>
      <c r="AE427" s="82">
        <v>1</v>
      </c>
      <c r="AF427" s="83" t="str">
        <f>REPLACE(INDEX(GroupVertices[Group],MATCH(Edges[[#This Row],[Vertex 1]],GroupVertices[Vertex],0)),1,1,"")</f>
        <v>15</v>
      </c>
      <c r="AG427" s="83" t="str">
        <f>REPLACE(INDEX(GroupVertices[Group],MATCH(Edges[[#This Row],[Vertex 2]],GroupVertices[Vertex],0)),1,1,"")</f>
        <v>15</v>
      </c>
      <c r="AH427" s="111">
        <v>0</v>
      </c>
      <c r="AI427" s="112">
        <v>0</v>
      </c>
      <c r="AJ427" s="111">
        <v>0</v>
      </c>
      <c r="AK427" s="112">
        <v>0</v>
      </c>
      <c r="AL427" s="111">
        <v>0</v>
      </c>
      <c r="AM427" s="112">
        <v>0</v>
      </c>
      <c r="AN427" s="111">
        <v>16</v>
      </c>
      <c r="AO427" s="112">
        <v>100</v>
      </c>
      <c r="AP427" s="111">
        <v>16</v>
      </c>
    </row>
    <row r="428" spans="1:42" ht="15">
      <c r="A428" s="65" t="s">
        <v>548</v>
      </c>
      <c r="B428" s="65" t="s">
        <v>553</v>
      </c>
      <c r="C428" s="66" t="s">
        <v>4651</v>
      </c>
      <c r="D428" s="67">
        <v>3</v>
      </c>
      <c r="E428" s="68"/>
      <c r="F428" s="69">
        <v>40</v>
      </c>
      <c r="G428" s="66"/>
      <c r="H428" s="70"/>
      <c r="I428" s="71"/>
      <c r="J428" s="71"/>
      <c r="K428" s="35" t="s">
        <v>65</v>
      </c>
      <c r="L428" s="79">
        <v>428</v>
      </c>
      <c r="M428" s="79"/>
      <c r="N428" s="73"/>
      <c r="O428" s="81" t="s">
        <v>844</v>
      </c>
      <c r="P428" s="81" t="s">
        <v>199</v>
      </c>
      <c r="Q428" s="84" t="s">
        <v>1252</v>
      </c>
      <c r="R428" s="81" t="s">
        <v>548</v>
      </c>
      <c r="S428" s="81" t="s">
        <v>1907</v>
      </c>
      <c r="T428" s="86" t="str">
        <f>HYPERLINK("http://www.youtube.com/channel/UCguC9iBJti3CgOP95wGmQnw")</f>
        <v>http://www.youtube.com/channel/UCguC9iBJti3CgOP95wGmQnw</v>
      </c>
      <c r="U428" s="81"/>
      <c r="V428" s="81" t="s">
        <v>2327</v>
      </c>
      <c r="W428" s="86" t="str">
        <f>HYPERLINK("https://www.youtube.com/watch?v=H6DrSG_KQjo")</f>
        <v>https://www.youtube.com/watch?v=H6DrSG_KQjo</v>
      </c>
      <c r="X428" s="81" t="s">
        <v>2349</v>
      </c>
      <c r="Y428" s="81">
        <v>4</v>
      </c>
      <c r="Z428" s="88">
        <v>42996.92451388889</v>
      </c>
      <c r="AA428" s="88">
        <v>42996.92451388889</v>
      </c>
      <c r="AB428" s="81"/>
      <c r="AC428" s="81"/>
      <c r="AD428" s="84" t="s">
        <v>2390</v>
      </c>
      <c r="AE428" s="82">
        <v>1</v>
      </c>
      <c r="AF428" s="83" t="str">
        <f>REPLACE(INDEX(GroupVertices[Group],MATCH(Edges[[#This Row],[Vertex 1]],GroupVertices[Vertex],0)),1,1,"")</f>
        <v>1</v>
      </c>
      <c r="AG428" s="83" t="str">
        <f>REPLACE(INDEX(GroupVertices[Group],MATCH(Edges[[#This Row],[Vertex 2]],GroupVertices[Vertex],0)),1,1,"")</f>
        <v>1</v>
      </c>
      <c r="AH428" s="111">
        <v>2</v>
      </c>
      <c r="AI428" s="112">
        <v>22.22222222222222</v>
      </c>
      <c r="AJ428" s="111">
        <v>0</v>
      </c>
      <c r="AK428" s="112">
        <v>0</v>
      </c>
      <c r="AL428" s="111">
        <v>0</v>
      </c>
      <c r="AM428" s="112">
        <v>0</v>
      </c>
      <c r="AN428" s="111">
        <v>7</v>
      </c>
      <c r="AO428" s="112">
        <v>77.77777777777777</v>
      </c>
      <c r="AP428" s="111">
        <v>9</v>
      </c>
    </row>
    <row r="429" spans="1:42" ht="15">
      <c r="A429" s="65" t="s">
        <v>549</v>
      </c>
      <c r="B429" s="65" t="s">
        <v>553</v>
      </c>
      <c r="C429" s="66" t="s">
        <v>4651</v>
      </c>
      <c r="D429" s="67">
        <v>3</v>
      </c>
      <c r="E429" s="68"/>
      <c r="F429" s="69">
        <v>40</v>
      </c>
      <c r="G429" s="66"/>
      <c r="H429" s="70"/>
      <c r="I429" s="71"/>
      <c r="J429" s="71"/>
      <c r="K429" s="35" t="s">
        <v>65</v>
      </c>
      <c r="L429" s="79">
        <v>429</v>
      </c>
      <c r="M429" s="79"/>
      <c r="N429" s="73"/>
      <c r="O429" s="81" t="s">
        <v>844</v>
      </c>
      <c r="P429" s="81" t="s">
        <v>199</v>
      </c>
      <c r="Q429" s="84" t="s">
        <v>1253</v>
      </c>
      <c r="R429" s="81" t="s">
        <v>549</v>
      </c>
      <c r="S429" s="81" t="s">
        <v>1908</v>
      </c>
      <c r="T429" s="86" t="str">
        <f>HYPERLINK("http://www.youtube.com/channel/UCIY-WKG4zBHG59bNY3vt27g")</f>
        <v>http://www.youtube.com/channel/UCIY-WKG4zBHG59bNY3vt27g</v>
      </c>
      <c r="U429" s="81"/>
      <c r="V429" s="81" t="s">
        <v>2327</v>
      </c>
      <c r="W429" s="86" t="str">
        <f>HYPERLINK("https://www.youtube.com/watch?v=H6DrSG_KQjo")</f>
        <v>https://www.youtube.com/watch?v=H6DrSG_KQjo</v>
      </c>
      <c r="X429" s="81" t="s">
        <v>2349</v>
      </c>
      <c r="Y429" s="81">
        <v>0</v>
      </c>
      <c r="Z429" s="88">
        <v>42999.72375</v>
      </c>
      <c r="AA429" s="88">
        <v>42999.72375</v>
      </c>
      <c r="AB429" s="81"/>
      <c r="AC429" s="81"/>
      <c r="AD429" s="84" t="s">
        <v>2390</v>
      </c>
      <c r="AE429" s="82">
        <v>1</v>
      </c>
      <c r="AF429" s="83" t="str">
        <f>REPLACE(INDEX(GroupVertices[Group],MATCH(Edges[[#This Row],[Vertex 1]],GroupVertices[Vertex],0)),1,1,"")</f>
        <v>1</v>
      </c>
      <c r="AG429" s="83" t="str">
        <f>REPLACE(INDEX(GroupVertices[Group],MATCH(Edges[[#This Row],[Vertex 2]],GroupVertices[Vertex],0)),1,1,"")</f>
        <v>1</v>
      </c>
      <c r="AH429" s="111">
        <v>0</v>
      </c>
      <c r="AI429" s="112">
        <v>0</v>
      </c>
      <c r="AJ429" s="111">
        <v>0</v>
      </c>
      <c r="AK429" s="112">
        <v>0</v>
      </c>
      <c r="AL429" s="111">
        <v>0</v>
      </c>
      <c r="AM429" s="112">
        <v>0</v>
      </c>
      <c r="AN429" s="111">
        <v>1</v>
      </c>
      <c r="AO429" s="112">
        <v>100</v>
      </c>
      <c r="AP429" s="111">
        <v>1</v>
      </c>
    </row>
    <row r="430" spans="1:42" ht="15">
      <c r="A430" s="65" t="s">
        <v>550</v>
      </c>
      <c r="B430" s="65" t="s">
        <v>551</v>
      </c>
      <c r="C430" s="66" t="s">
        <v>4651</v>
      </c>
      <c r="D430" s="67">
        <v>3</v>
      </c>
      <c r="E430" s="68"/>
      <c r="F430" s="69">
        <v>40</v>
      </c>
      <c r="G430" s="66"/>
      <c r="H430" s="70"/>
      <c r="I430" s="71"/>
      <c r="J430" s="71"/>
      <c r="K430" s="35" t="s">
        <v>65</v>
      </c>
      <c r="L430" s="79">
        <v>430</v>
      </c>
      <c r="M430" s="79"/>
      <c r="N430" s="73"/>
      <c r="O430" s="81" t="s">
        <v>845</v>
      </c>
      <c r="P430" s="81" t="s">
        <v>847</v>
      </c>
      <c r="Q430" s="84" t="s">
        <v>1254</v>
      </c>
      <c r="R430" s="81" t="s">
        <v>550</v>
      </c>
      <c r="S430" s="81" t="s">
        <v>1909</v>
      </c>
      <c r="T430" s="86" t="str">
        <f>HYPERLINK("http://www.youtube.com/channel/UCeHjXb2gbbNp8UVz6tv8lgg")</f>
        <v>http://www.youtube.com/channel/UCeHjXb2gbbNp8UVz6tv8lgg</v>
      </c>
      <c r="U430" s="81" t="s">
        <v>2250</v>
      </c>
      <c r="V430" s="81" t="s">
        <v>2327</v>
      </c>
      <c r="W430" s="86" t="str">
        <f>HYPERLINK("https://www.youtube.com/watch?v=H6DrSG_KQjo")</f>
        <v>https://www.youtube.com/watch?v=H6DrSG_KQjo</v>
      </c>
      <c r="X430" s="81" t="s">
        <v>2349</v>
      </c>
      <c r="Y430" s="81">
        <v>3</v>
      </c>
      <c r="Z430" s="88">
        <v>43188.043703703705</v>
      </c>
      <c r="AA430" s="88">
        <v>43188.043703703705</v>
      </c>
      <c r="AB430" s="81"/>
      <c r="AC430" s="81"/>
      <c r="AD430" s="84" t="s">
        <v>2390</v>
      </c>
      <c r="AE430" s="82">
        <v>1</v>
      </c>
      <c r="AF430" s="83" t="str">
        <f>REPLACE(INDEX(GroupVertices[Group],MATCH(Edges[[#This Row],[Vertex 1]],GroupVertices[Vertex],0)),1,1,"")</f>
        <v>1</v>
      </c>
      <c r="AG430" s="83" t="str">
        <f>REPLACE(INDEX(GroupVertices[Group],MATCH(Edges[[#This Row],[Vertex 2]],GroupVertices[Vertex],0)),1,1,"")</f>
        <v>1</v>
      </c>
      <c r="AH430" s="111">
        <v>2</v>
      </c>
      <c r="AI430" s="112">
        <v>22.22222222222222</v>
      </c>
      <c r="AJ430" s="111">
        <v>0</v>
      </c>
      <c r="AK430" s="112">
        <v>0</v>
      </c>
      <c r="AL430" s="111">
        <v>0</v>
      </c>
      <c r="AM430" s="112">
        <v>0</v>
      </c>
      <c r="AN430" s="111">
        <v>7</v>
      </c>
      <c r="AO430" s="112">
        <v>77.77777777777777</v>
      </c>
      <c r="AP430" s="111">
        <v>9</v>
      </c>
    </row>
    <row r="431" spans="1:42" ht="15">
      <c r="A431" s="65" t="s">
        <v>551</v>
      </c>
      <c r="B431" s="65" t="s">
        <v>553</v>
      </c>
      <c r="C431" s="66" t="s">
        <v>4651</v>
      </c>
      <c r="D431" s="67">
        <v>3</v>
      </c>
      <c r="E431" s="68"/>
      <c r="F431" s="69">
        <v>40</v>
      </c>
      <c r="G431" s="66"/>
      <c r="H431" s="70"/>
      <c r="I431" s="71"/>
      <c r="J431" s="71"/>
      <c r="K431" s="35" t="s">
        <v>65</v>
      </c>
      <c r="L431" s="79">
        <v>431</v>
      </c>
      <c r="M431" s="79"/>
      <c r="N431" s="73"/>
      <c r="O431" s="81" t="s">
        <v>844</v>
      </c>
      <c r="P431" s="81" t="s">
        <v>199</v>
      </c>
      <c r="Q431" s="84" t="s">
        <v>1255</v>
      </c>
      <c r="R431" s="81" t="s">
        <v>551</v>
      </c>
      <c r="S431" s="81" t="s">
        <v>1910</v>
      </c>
      <c r="T431" s="86" t="str">
        <f>HYPERLINK("http://www.youtube.com/channel/UCUPcct3wU_fPe5Jz4z9aKBg")</f>
        <v>http://www.youtube.com/channel/UCUPcct3wU_fPe5Jz4z9aKBg</v>
      </c>
      <c r="U431" s="81"/>
      <c r="V431" s="81" t="s">
        <v>2327</v>
      </c>
      <c r="W431" s="86" t="str">
        <f>HYPERLINK("https://www.youtube.com/watch?v=H6DrSG_KQjo")</f>
        <v>https://www.youtube.com/watch?v=H6DrSG_KQjo</v>
      </c>
      <c r="X431" s="81" t="s">
        <v>2349</v>
      </c>
      <c r="Y431" s="81">
        <v>1</v>
      </c>
      <c r="Z431" s="88">
        <v>43002.07287037037</v>
      </c>
      <c r="AA431" s="88">
        <v>43002.07287037037</v>
      </c>
      <c r="AB431" s="81"/>
      <c r="AC431" s="81"/>
      <c r="AD431" s="84" t="s">
        <v>2390</v>
      </c>
      <c r="AE431" s="82">
        <v>1</v>
      </c>
      <c r="AF431" s="83" t="str">
        <f>REPLACE(INDEX(GroupVertices[Group],MATCH(Edges[[#This Row],[Vertex 1]],GroupVertices[Vertex],0)),1,1,"")</f>
        <v>1</v>
      </c>
      <c r="AG431" s="83" t="str">
        <f>REPLACE(INDEX(GroupVertices[Group],MATCH(Edges[[#This Row],[Vertex 2]],GroupVertices[Vertex],0)),1,1,"")</f>
        <v>1</v>
      </c>
      <c r="AH431" s="111">
        <v>0</v>
      </c>
      <c r="AI431" s="112">
        <v>0</v>
      </c>
      <c r="AJ431" s="111">
        <v>0</v>
      </c>
      <c r="AK431" s="112">
        <v>0</v>
      </c>
      <c r="AL431" s="111">
        <v>0</v>
      </c>
      <c r="AM431" s="112">
        <v>0</v>
      </c>
      <c r="AN431" s="111">
        <v>12</v>
      </c>
      <c r="AO431" s="112">
        <v>100</v>
      </c>
      <c r="AP431" s="111">
        <v>12</v>
      </c>
    </row>
    <row r="432" spans="1:42" ht="15">
      <c r="A432" s="65" t="s">
        <v>552</v>
      </c>
      <c r="B432" s="65" t="s">
        <v>554</v>
      </c>
      <c r="C432" s="66" t="s">
        <v>4651</v>
      </c>
      <c r="D432" s="67">
        <v>3</v>
      </c>
      <c r="E432" s="68"/>
      <c r="F432" s="69">
        <v>40</v>
      </c>
      <c r="G432" s="66"/>
      <c r="H432" s="70"/>
      <c r="I432" s="71"/>
      <c r="J432" s="71"/>
      <c r="K432" s="35" t="s">
        <v>65</v>
      </c>
      <c r="L432" s="79">
        <v>432</v>
      </c>
      <c r="M432" s="79"/>
      <c r="N432" s="73"/>
      <c r="O432" s="81" t="s">
        <v>845</v>
      </c>
      <c r="P432" s="81" t="s">
        <v>847</v>
      </c>
      <c r="Q432" s="84" t="s">
        <v>1256</v>
      </c>
      <c r="R432" s="81" t="s">
        <v>552</v>
      </c>
      <c r="S432" s="81" t="s">
        <v>1911</v>
      </c>
      <c r="T432" s="86" t="str">
        <f>HYPERLINK("http://www.youtube.com/channel/UCjhTwB83OdNFIX5Z68V5mGg")</f>
        <v>http://www.youtube.com/channel/UCjhTwB83OdNFIX5Z68V5mGg</v>
      </c>
      <c r="U432" s="81" t="s">
        <v>2251</v>
      </c>
      <c r="V432" s="81" t="s">
        <v>2327</v>
      </c>
      <c r="W432" s="86" t="str">
        <f>HYPERLINK("https://www.youtube.com/watch?v=H6DrSG_KQjo")</f>
        <v>https://www.youtube.com/watch?v=H6DrSG_KQjo</v>
      </c>
      <c r="X432" s="81" t="s">
        <v>2349</v>
      </c>
      <c r="Y432" s="81">
        <v>3</v>
      </c>
      <c r="Z432" s="88">
        <v>43431.71726851852</v>
      </c>
      <c r="AA432" s="88">
        <v>43431.71726851852</v>
      </c>
      <c r="AB432" s="81"/>
      <c r="AC432" s="81"/>
      <c r="AD432" s="84" t="s">
        <v>2390</v>
      </c>
      <c r="AE432" s="82">
        <v>1</v>
      </c>
      <c r="AF432" s="83" t="str">
        <f>REPLACE(INDEX(GroupVertices[Group],MATCH(Edges[[#This Row],[Vertex 1]],GroupVertices[Vertex],0)),1,1,"")</f>
        <v>1</v>
      </c>
      <c r="AG432" s="83" t="str">
        <f>REPLACE(INDEX(GroupVertices[Group],MATCH(Edges[[#This Row],[Vertex 2]],GroupVertices[Vertex],0)),1,1,"")</f>
        <v>1</v>
      </c>
      <c r="AH432" s="111">
        <v>1</v>
      </c>
      <c r="AI432" s="112">
        <v>12.5</v>
      </c>
      <c r="AJ432" s="111">
        <v>0</v>
      </c>
      <c r="AK432" s="112">
        <v>0</v>
      </c>
      <c r="AL432" s="111">
        <v>0</v>
      </c>
      <c r="AM432" s="112">
        <v>0</v>
      </c>
      <c r="AN432" s="111">
        <v>7</v>
      </c>
      <c r="AO432" s="112">
        <v>87.5</v>
      </c>
      <c r="AP432" s="111">
        <v>8</v>
      </c>
    </row>
    <row r="433" spans="1:42" ht="15">
      <c r="A433" s="65" t="s">
        <v>553</v>
      </c>
      <c r="B433" s="65" t="s">
        <v>554</v>
      </c>
      <c r="C433" s="66" t="s">
        <v>4651</v>
      </c>
      <c r="D433" s="67">
        <v>3</v>
      </c>
      <c r="E433" s="68"/>
      <c r="F433" s="69">
        <v>40</v>
      </c>
      <c r="G433" s="66"/>
      <c r="H433" s="70"/>
      <c r="I433" s="71"/>
      <c r="J433" s="71"/>
      <c r="K433" s="35" t="s">
        <v>66</v>
      </c>
      <c r="L433" s="79">
        <v>433</v>
      </c>
      <c r="M433" s="79"/>
      <c r="N433" s="73"/>
      <c r="O433" s="81" t="s">
        <v>845</v>
      </c>
      <c r="P433" s="81" t="s">
        <v>847</v>
      </c>
      <c r="Q433" s="84" t="s">
        <v>1257</v>
      </c>
      <c r="R433" s="81" t="s">
        <v>553</v>
      </c>
      <c r="S433" s="81" t="s">
        <v>1912</v>
      </c>
      <c r="T433" s="86" t="str">
        <f>HYPERLINK("http://www.youtube.com/channel/UCqbOeHaAUXw9Il7sBVG3_bw")</f>
        <v>http://www.youtube.com/channel/UCqbOeHaAUXw9Il7sBVG3_bw</v>
      </c>
      <c r="U433" s="81" t="s">
        <v>2251</v>
      </c>
      <c r="V433" s="81" t="s">
        <v>2327</v>
      </c>
      <c r="W433" s="86" t="str">
        <f>HYPERLINK("https://www.youtube.com/watch?v=H6DrSG_KQjo")</f>
        <v>https://www.youtube.com/watch?v=H6DrSG_KQjo</v>
      </c>
      <c r="X433" s="81" t="s">
        <v>2349</v>
      </c>
      <c r="Y433" s="81">
        <v>9</v>
      </c>
      <c r="Z433" s="88">
        <v>43006.890856481485</v>
      </c>
      <c r="AA433" s="88">
        <v>43006.890856481485</v>
      </c>
      <c r="AB433" s="81"/>
      <c r="AC433" s="81"/>
      <c r="AD433" s="84" t="s">
        <v>2390</v>
      </c>
      <c r="AE433" s="82">
        <v>1</v>
      </c>
      <c r="AF433" s="83" t="str">
        <f>REPLACE(INDEX(GroupVertices[Group],MATCH(Edges[[#This Row],[Vertex 1]],GroupVertices[Vertex],0)),1,1,"")</f>
        <v>1</v>
      </c>
      <c r="AG433" s="83" t="str">
        <f>REPLACE(INDEX(GroupVertices[Group],MATCH(Edges[[#This Row],[Vertex 2]],GroupVertices[Vertex],0)),1,1,"")</f>
        <v>1</v>
      </c>
      <c r="AH433" s="111">
        <v>0</v>
      </c>
      <c r="AI433" s="112">
        <v>0</v>
      </c>
      <c r="AJ433" s="111">
        <v>0</v>
      </c>
      <c r="AK433" s="112">
        <v>0</v>
      </c>
      <c r="AL433" s="111">
        <v>0</v>
      </c>
      <c r="AM433" s="112">
        <v>0</v>
      </c>
      <c r="AN433" s="111">
        <v>10</v>
      </c>
      <c r="AO433" s="112">
        <v>100</v>
      </c>
      <c r="AP433" s="111">
        <v>10</v>
      </c>
    </row>
    <row r="434" spans="1:42" ht="15">
      <c r="A434" s="65" t="s">
        <v>554</v>
      </c>
      <c r="B434" s="65" t="s">
        <v>554</v>
      </c>
      <c r="C434" s="66" t="s">
        <v>4651</v>
      </c>
      <c r="D434" s="67">
        <v>3</v>
      </c>
      <c r="E434" s="68"/>
      <c r="F434" s="69">
        <v>40</v>
      </c>
      <c r="G434" s="66"/>
      <c r="H434" s="70"/>
      <c r="I434" s="71"/>
      <c r="J434" s="71"/>
      <c r="K434" s="35" t="s">
        <v>65</v>
      </c>
      <c r="L434" s="79">
        <v>434</v>
      </c>
      <c r="M434" s="79"/>
      <c r="N434" s="73"/>
      <c r="O434" s="81" t="s">
        <v>845</v>
      </c>
      <c r="P434" s="81" t="s">
        <v>847</v>
      </c>
      <c r="Q434" s="84" t="s">
        <v>1258</v>
      </c>
      <c r="R434" s="81" t="s">
        <v>554</v>
      </c>
      <c r="S434" s="81" t="s">
        <v>1913</v>
      </c>
      <c r="T434" s="86" t="str">
        <f>HYPERLINK("http://www.youtube.com/channel/UCyeyCkuIHgXnMCiLXWOBc0w")</f>
        <v>http://www.youtube.com/channel/UCyeyCkuIHgXnMCiLXWOBc0w</v>
      </c>
      <c r="U434" s="81" t="s">
        <v>2251</v>
      </c>
      <c r="V434" s="81" t="s">
        <v>2327</v>
      </c>
      <c r="W434" s="86" t="str">
        <f>HYPERLINK("https://www.youtube.com/watch?v=H6DrSG_KQjo")</f>
        <v>https://www.youtube.com/watch?v=H6DrSG_KQjo</v>
      </c>
      <c r="X434" s="81" t="s">
        <v>2349</v>
      </c>
      <c r="Y434" s="81">
        <v>3</v>
      </c>
      <c r="Z434" s="88">
        <v>43032.84233796296</v>
      </c>
      <c r="AA434" s="88">
        <v>43032.84233796296</v>
      </c>
      <c r="AB434" s="81"/>
      <c r="AC434" s="81"/>
      <c r="AD434" s="84" t="s">
        <v>2390</v>
      </c>
      <c r="AE434" s="82">
        <v>1</v>
      </c>
      <c r="AF434" s="83" t="str">
        <f>REPLACE(INDEX(GroupVertices[Group],MATCH(Edges[[#This Row],[Vertex 1]],GroupVertices[Vertex],0)),1,1,"")</f>
        <v>1</v>
      </c>
      <c r="AG434" s="83" t="str">
        <f>REPLACE(INDEX(GroupVertices[Group],MATCH(Edges[[#This Row],[Vertex 2]],GroupVertices[Vertex],0)),1,1,"")</f>
        <v>1</v>
      </c>
      <c r="AH434" s="111">
        <v>0</v>
      </c>
      <c r="AI434" s="112">
        <v>0</v>
      </c>
      <c r="AJ434" s="111">
        <v>0</v>
      </c>
      <c r="AK434" s="112">
        <v>0</v>
      </c>
      <c r="AL434" s="111">
        <v>0</v>
      </c>
      <c r="AM434" s="112">
        <v>0</v>
      </c>
      <c r="AN434" s="111">
        <v>23</v>
      </c>
      <c r="AO434" s="112">
        <v>100</v>
      </c>
      <c r="AP434" s="111">
        <v>23</v>
      </c>
    </row>
    <row r="435" spans="1:42" ht="15">
      <c r="A435" s="65" t="s">
        <v>554</v>
      </c>
      <c r="B435" s="65" t="s">
        <v>553</v>
      </c>
      <c r="C435" s="66" t="s">
        <v>4651</v>
      </c>
      <c r="D435" s="67">
        <v>3</v>
      </c>
      <c r="E435" s="68"/>
      <c r="F435" s="69">
        <v>40</v>
      </c>
      <c r="G435" s="66"/>
      <c r="H435" s="70"/>
      <c r="I435" s="71"/>
      <c r="J435" s="71"/>
      <c r="K435" s="35" t="s">
        <v>66</v>
      </c>
      <c r="L435" s="79">
        <v>435</v>
      </c>
      <c r="M435" s="79"/>
      <c r="N435" s="73"/>
      <c r="O435" s="81" t="s">
        <v>844</v>
      </c>
      <c r="P435" s="81" t="s">
        <v>199</v>
      </c>
      <c r="Q435" s="84" t="s">
        <v>1259</v>
      </c>
      <c r="R435" s="81" t="s">
        <v>554</v>
      </c>
      <c r="S435" s="81" t="s">
        <v>1913</v>
      </c>
      <c r="T435" s="86" t="str">
        <f>HYPERLINK("http://www.youtube.com/channel/UCyeyCkuIHgXnMCiLXWOBc0w")</f>
        <v>http://www.youtube.com/channel/UCyeyCkuIHgXnMCiLXWOBc0w</v>
      </c>
      <c r="U435" s="81"/>
      <c r="V435" s="81" t="s">
        <v>2327</v>
      </c>
      <c r="W435" s="86" t="str">
        <f>HYPERLINK("https://www.youtube.com/watch?v=H6DrSG_KQjo")</f>
        <v>https://www.youtube.com/watch?v=H6DrSG_KQjo</v>
      </c>
      <c r="X435" s="81" t="s">
        <v>2349</v>
      </c>
      <c r="Y435" s="81">
        <v>15</v>
      </c>
      <c r="Z435" s="88">
        <v>43006.888761574075</v>
      </c>
      <c r="AA435" s="88">
        <v>43006.888761574075</v>
      </c>
      <c r="AB435" s="81"/>
      <c r="AC435" s="81"/>
      <c r="AD435" s="84" t="s">
        <v>2390</v>
      </c>
      <c r="AE435" s="82">
        <v>1</v>
      </c>
      <c r="AF435" s="83" t="str">
        <f>REPLACE(INDEX(GroupVertices[Group],MATCH(Edges[[#This Row],[Vertex 1]],GroupVertices[Vertex],0)),1,1,"")</f>
        <v>1</v>
      </c>
      <c r="AG435" s="83" t="str">
        <f>REPLACE(INDEX(GroupVertices[Group],MATCH(Edges[[#This Row],[Vertex 2]],GroupVertices[Vertex],0)),1,1,"")</f>
        <v>1</v>
      </c>
      <c r="AH435" s="111">
        <v>0</v>
      </c>
      <c r="AI435" s="112">
        <v>0</v>
      </c>
      <c r="AJ435" s="111">
        <v>0</v>
      </c>
      <c r="AK435" s="112">
        <v>0</v>
      </c>
      <c r="AL435" s="111">
        <v>0</v>
      </c>
      <c r="AM435" s="112">
        <v>0</v>
      </c>
      <c r="AN435" s="111">
        <v>26</v>
      </c>
      <c r="AO435" s="112">
        <v>100</v>
      </c>
      <c r="AP435" s="111">
        <v>26</v>
      </c>
    </row>
    <row r="436" spans="1:42" ht="15">
      <c r="A436" s="65" t="s">
        <v>555</v>
      </c>
      <c r="B436" s="65" t="s">
        <v>556</v>
      </c>
      <c r="C436" s="66" t="s">
        <v>4651</v>
      </c>
      <c r="D436" s="67">
        <v>3</v>
      </c>
      <c r="E436" s="68"/>
      <c r="F436" s="69">
        <v>40</v>
      </c>
      <c r="G436" s="66"/>
      <c r="H436" s="70"/>
      <c r="I436" s="71"/>
      <c r="J436" s="71"/>
      <c r="K436" s="35" t="s">
        <v>65</v>
      </c>
      <c r="L436" s="79">
        <v>436</v>
      </c>
      <c r="M436" s="79"/>
      <c r="N436" s="73"/>
      <c r="O436" s="81" t="s">
        <v>845</v>
      </c>
      <c r="P436" s="81" t="s">
        <v>847</v>
      </c>
      <c r="Q436" s="84" t="s">
        <v>1260</v>
      </c>
      <c r="R436" s="81" t="s">
        <v>555</v>
      </c>
      <c r="S436" s="81" t="s">
        <v>1914</v>
      </c>
      <c r="T436" s="86" t="str">
        <f>HYPERLINK("http://www.youtube.com/channel/UCapct-0qZHnpMSiPBD8EQHA")</f>
        <v>http://www.youtube.com/channel/UCapct-0qZHnpMSiPBD8EQHA</v>
      </c>
      <c r="U436" s="81" t="s">
        <v>2252</v>
      </c>
      <c r="V436" s="81" t="s">
        <v>2327</v>
      </c>
      <c r="W436" s="86" t="str">
        <f>HYPERLINK("https://www.youtube.com/watch?v=H6DrSG_KQjo")</f>
        <v>https://www.youtube.com/watch?v=H6DrSG_KQjo</v>
      </c>
      <c r="X436" s="81" t="s">
        <v>2349</v>
      </c>
      <c r="Y436" s="81">
        <v>33</v>
      </c>
      <c r="Z436" s="88">
        <v>43388.88366898148</v>
      </c>
      <c r="AA436" s="88">
        <v>43388.88366898148</v>
      </c>
      <c r="AB436" s="81"/>
      <c r="AC436" s="81"/>
      <c r="AD436" s="84" t="s">
        <v>2390</v>
      </c>
      <c r="AE436" s="82">
        <v>1</v>
      </c>
      <c r="AF436" s="83" t="str">
        <f>REPLACE(INDEX(GroupVertices[Group],MATCH(Edges[[#This Row],[Vertex 1]],GroupVertices[Vertex],0)),1,1,"")</f>
        <v>1</v>
      </c>
      <c r="AG436" s="83" t="str">
        <f>REPLACE(INDEX(GroupVertices[Group],MATCH(Edges[[#This Row],[Vertex 2]],GroupVertices[Vertex],0)),1,1,"")</f>
        <v>1</v>
      </c>
      <c r="AH436" s="111">
        <v>0</v>
      </c>
      <c r="AI436" s="112">
        <v>0</v>
      </c>
      <c r="AJ436" s="111">
        <v>0</v>
      </c>
      <c r="AK436" s="112">
        <v>0</v>
      </c>
      <c r="AL436" s="111">
        <v>0</v>
      </c>
      <c r="AM436" s="112">
        <v>0</v>
      </c>
      <c r="AN436" s="111">
        <v>2</v>
      </c>
      <c r="AO436" s="112">
        <v>100</v>
      </c>
      <c r="AP436" s="111">
        <v>2</v>
      </c>
    </row>
    <row r="437" spans="1:42" ht="15">
      <c r="A437" s="65" t="s">
        <v>556</v>
      </c>
      <c r="B437" s="65" t="s">
        <v>556</v>
      </c>
      <c r="C437" s="66" t="s">
        <v>4613</v>
      </c>
      <c r="D437" s="67">
        <v>10</v>
      </c>
      <c r="E437" s="68"/>
      <c r="F437" s="69">
        <v>15</v>
      </c>
      <c r="G437" s="66"/>
      <c r="H437" s="70"/>
      <c r="I437" s="71"/>
      <c r="J437" s="71"/>
      <c r="K437" s="35" t="s">
        <v>65</v>
      </c>
      <c r="L437" s="79">
        <v>437</v>
      </c>
      <c r="M437" s="79"/>
      <c r="N437" s="73"/>
      <c r="O437" s="81" t="s">
        <v>845</v>
      </c>
      <c r="P437" s="81" t="s">
        <v>847</v>
      </c>
      <c r="Q437" s="84" t="s">
        <v>1261</v>
      </c>
      <c r="R437" s="81" t="s">
        <v>556</v>
      </c>
      <c r="S437" s="81" t="s">
        <v>1915</v>
      </c>
      <c r="T437" s="86" t="str">
        <f>HYPERLINK("http://www.youtube.com/channel/UCQznmXyQd8I9VMzc-4UISQA")</f>
        <v>http://www.youtube.com/channel/UCQznmXyQd8I9VMzc-4UISQA</v>
      </c>
      <c r="U437" s="81" t="s">
        <v>2252</v>
      </c>
      <c r="V437" s="81" t="s">
        <v>2327</v>
      </c>
      <c r="W437" s="86" t="str">
        <f>HYPERLINK("https://www.youtube.com/watch?v=H6DrSG_KQjo")</f>
        <v>https://www.youtube.com/watch?v=H6DrSG_KQjo</v>
      </c>
      <c r="X437" s="81" t="s">
        <v>2349</v>
      </c>
      <c r="Y437" s="81">
        <v>3</v>
      </c>
      <c r="Z437" s="88">
        <v>43194.761296296296</v>
      </c>
      <c r="AA437" s="88">
        <v>43194.761296296296</v>
      </c>
      <c r="AB437" s="81"/>
      <c r="AC437" s="81"/>
      <c r="AD437" s="84" t="s">
        <v>2390</v>
      </c>
      <c r="AE437" s="82">
        <v>2</v>
      </c>
      <c r="AF437" s="83" t="str">
        <f>REPLACE(INDEX(GroupVertices[Group],MATCH(Edges[[#This Row],[Vertex 1]],GroupVertices[Vertex],0)),1,1,"")</f>
        <v>1</v>
      </c>
      <c r="AG437" s="83" t="str">
        <f>REPLACE(INDEX(GroupVertices[Group],MATCH(Edges[[#This Row],[Vertex 2]],GroupVertices[Vertex],0)),1,1,"")</f>
        <v>1</v>
      </c>
      <c r="AH437" s="111">
        <v>0</v>
      </c>
      <c r="AI437" s="112">
        <v>0</v>
      </c>
      <c r="AJ437" s="111">
        <v>0</v>
      </c>
      <c r="AK437" s="112">
        <v>0</v>
      </c>
      <c r="AL437" s="111">
        <v>0</v>
      </c>
      <c r="AM437" s="112">
        <v>0</v>
      </c>
      <c r="AN437" s="111">
        <v>4</v>
      </c>
      <c r="AO437" s="112">
        <v>100</v>
      </c>
      <c r="AP437" s="111">
        <v>4</v>
      </c>
    </row>
    <row r="438" spans="1:42" ht="15">
      <c r="A438" s="65" t="s">
        <v>556</v>
      </c>
      <c r="B438" s="65" t="s">
        <v>556</v>
      </c>
      <c r="C438" s="66" t="s">
        <v>4613</v>
      </c>
      <c r="D438" s="67">
        <v>10</v>
      </c>
      <c r="E438" s="68"/>
      <c r="F438" s="69">
        <v>15</v>
      </c>
      <c r="G438" s="66"/>
      <c r="H438" s="70"/>
      <c r="I438" s="71"/>
      <c r="J438" s="71"/>
      <c r="K438" s="35" t="s">
        <v>65</v>
      </c>
      <c r="L438" s="79">
        <v>438</v>
      </c>
      <c r="M438" s="79"/>
      <c r="N438" s="73"/>
      <c r="O438" s="81" t="s">
        <v>845</v>
      </c>
      <c r="P438" s="81" t="s">
        <v>847</v>
      </c>
      <c r="Q438" s="84" t="s">
        <v>1262</v>
      </c>
      <c r="R438" s="81" t="s">
        <v>556</v>
      </c>
      <c r="S438" s="81" t="s">
        <v>1915</v>
      </c>
      <c r="T438" s="86" t="str">
        <f>HYPERLINK("http://www.youtube.com/channel/UCQznmXyQd8I9VMzc-4UISQA")</f>
        <v>http://www.youtube.com/channel/UCQznmXyQd8I9VMzc-4UISQA</v>
      </c>
      <c r="U438" s="81" t="s">
        <v>2252</v>
      </c>
      <c r="V438" s="81" t="s">
        <v>2327</v>
      </c>
      <c r="W438" s="86" t="str">
        <f>HYPERLINK("https://www.youtube.com/watch?v=H6DrSG_KQjo")</f>
        <v>https://www.youtube.com/watch?v=H6DrSG_KQjo</v>
      </c>
      <c r="X438" s="81" t="s">
        <v>2349</v>
      </c>
      <c r="Y438" s="81">
        <v>0</v>
      </c>
      <c r="Z438" s="88">
        <v>43194.761469907404</v>
      </c>
      <c r="AA438" s="88">
        <v>43194.761469907404</v>
      </c>
      <c r="AB438" s="81"/>
      <c r="AC438" s="81"/>
      <c r="AD438" s="84" t="s">
        <v>2390</v>
      </c>
      <c r="AE438" s="82">
        <v>2</v>
      </c>
      <c r="AF438" s="83" t="str">
        <f>REPLACE(INDEX(GroupVertices[Group],MATCH(Edges[[#This Row],[Vertex 1]],GroupVertices[Vertex],0)),1,1,"")</f>
        <v>1</v>
      </c>
      <c r="AG438" s="83" t="str">
        <f>REPLACE(INDEX(GroupVertices[Group],MATCH(Edges[[#This Row],[Vertex 2]],GroupVertices[Vertex],0)),1,1,"")</f>
        <v>1</v>
      </c>
      <c r="AH438" s="111">
        <v>1</v>
      </c>
      <c r="AI438" s="112">
        <v>20</v>
      </c>
      <c r="AJ438" s="111">
        <v>0</v>
      </c>
      <c r="AK438" s="112">
        <v>0</v>
      </c>
      <c r="AL438" s="111">
        <v>0</v>
      </c>
      <c r="AM438" s="112">
        <v>0</v>
      </c>
      <c r="AN438" s="111">
        <v>4</v>
      </c>
      <c r="AO438" s="112">
        <v>80</v>
      </c>
      <c r="AP438" s="111">
        <v>5</v>
      </c>
    </row>
    <row r="439" spans="1:42" ht="15">
      <c r="A439" s="65" t="s">
        <v>556</v>
      </c>
      <c r="B439" s="65" t="s">
        <v>553</v>
      </c>
      <c r="C439" s="66" t="s">
        <v>4651</v>
      </c>
      <c r="D439" s="67">
        <v>3</v>
      </c>
      <c r="E439" s="68"/>
      <c r="F439" s="69">
        <v>40</v>
      </c>
      <c r="G439" s="66"/>
      <c r="H439" s="70"/>
      <c r="I439" s="71"/>
      <c r="J439" s="71"/>
      <c r="K439" s="35" t="s">
        <v>65</v>
      </c>
      <c r="L439" s="79">
        <v>439</v>
      </c>
      <c r="M439" s="79"/>
      <c r="N439" s="73"/>
      <c r="O439" s="81" t="s">
        <v>844</v>
      </c>
      <c r="P439" s="81" t="s">
        <v>199</v>
      </c>
      <c r="Q439" s="84" t="s">
        <v>1263</v>
      </c>
      <c r="R439" s="81" t="s">
        <v>556</v>
      </c>
      <c r="S439" s="81" t="s">
        <v>1915</v>
      </c>
      <c r="T439" s="86" t="str">
        <f>HYPERLINK("http://www.youtube.com/channel/UCQznmXyQd8I9VMzc-4UISQA")</f>
        <v>http://www.youtube.com/channel/UCQznmXyQd8I9VMzc-4UISQA</v>
      </c>
      <c r="U439" s="81"/>
      <c r="V439" s="81" t="s">
        <v>2327</v>
      </c>
      <c r="W439" s="86" t="str">
        <f>HYPERLINK("https://www.youtube.com/watch?v=H6DrSG_KQjo")</f>
        <v>https://www.youtube.com/watch?v=H6DrSG_KQjo</v>
      </c>
      <c r="X439" s="81" t="s">
        <v>2349</v>
      </c>
      <c r="Y439" s="81">
        <v>4</v>
      </c>
      <c r="Z439" s="88">
        <v>43194.76112268519</v>
      </c>
      <c r="AA439" s="88">
        <v>43194.76112268519</v>
      </c>
      <c r="AB439" s="81" t="s">
        <v>2370</v>
      </c>
      <c r="AC439" s="81" t="s">
        <v>2379</v>
      </c>
      <c r="AD439" s="84" t="s">
        <v>2390</v>
      </c>
      <c r="AE439" s="82">
        <v>1</v>
      </c>
      <c r="AF439" s="83" t="str">
        <f>REPLACE(INDEX(GroupVertices[Group],MATCH(Edges[[#This Row],[Vertex 1]],GroupVertices[Vertex],0)),1,1,"")</f>
        <v>1</v>
      </c>
      <c r="AG439" s="83" t="str">
        <f>REPLACE(INDEX(GroupVertices[Group],MATCH(Edges[[#This Row],[Vertex 2]],GroupVertices[Vertex],0)),1,1,"")</f>
        <v>1</v>
      </c>
      <c r="AH439" s="111">
        <v>0</v>
      </c>
      <c r="AI439" s="112">
        <v>0</v>
      </c>
      <c r="AJ439" s="111">
        <v>0</v>
      </c>
      <c r="AK439" s="112">
        <v>0</v>
      </c>
      <c r="AL439" s="111">
        <v>0</v>
      </c>
      <c r="AM439" s="112">
        <v>0</v>
      </c>
      <c r="AN439" s="111">
        <v>21</v>
      </c>
      <c r="AO439" s="112">
        <v>100</v>
      </c>
      <c r="AP439" s="111">
        <v>21</v>
      </c>
    </row>
    <row r="440" spans="1:42" ht="15">
      <c r="A440" s="65" t="s">
        <v>557</v>
      </c>
      <c r="B440" s="65" t="s">
        <v>553</v>
      </c>
      <c r="C440" s="66" t="s">
        <v>4651</v>
      </c>
      <c r="D440" s="67">
        <v>3</v>
      </c>
      <c r="E440" s="68"/>
      <c r="F440" s="69">
        <v>40</v>
      </c>
      <c r="G440" s="66"/>
      <c r="H440" s="70"/>
      <c r="I440" s="71"/>
      <c r="J440" s="71"/>
      <c r="K440" s="35" t="s">
        <v>65</v>
      </c>
      <c r="L440" s="79">
        <v>440</v>
      </c>
      <c r="M440" s="79"/>
      <c r="N440" s="73"/>
      <c r="O440" s="81" t="s">
        <v>844</v>
      </c>
      <c r="P440" s="81" t="s">
        <v>199</v>
      </c>
      <c r="Q440" s="84" t="s">
        <v>1264</v>
      </c>
      <c r="R440" s="81" t="s">
        <v>557</v>
      </c>
      <c r="S440" s="81" t="s">
        <v>1916</v>
      </c>
      <c r="T440" s="86" t="str">
        <f>HYPERLINK("http://www.youtube.com/channel/UCb1BOZo8RLQpHmPIHT2F1Xw")</f>
        <v>http://www.youtube.com/channel/UCb1BOZo8RLQpHmPIHT2F1Xw</v>
      </c>
      <c r="U440" s="81"/>
      <c r="V440" s="81" t="s">
        <v>2327</v>
      </c>
      <c r="W440" s="86" t="str">
        <f>HYPERLINK("https://www.youtube.com/watch?v=H6DrSG_KQjo")</f>
        <v>https://www.youtube.com/watch?v=H6DrSG_KQjo</v>
      </c>
      <c r="X440" s="81" t="s">
        <v>2349</v>
      </c>
      <c r="Y440" s="81">
        <v>1</v>
      </c>
      <c r="Z440" s="88">
        <v>43234.955671296295</v>
      </c>
      <c r="AA440" s="88">
        <v>43234.955671296295</v>
      </c>
      <c r="AB440" s="81"/>
      <c r="AC440" s="81"/>
      <c r="AD440" s="84" t="s">
        <v>2390</v>
      </c>
      <c r="AE440" s="82">
        <v>1</v>
      </c>
      <c r="AF440" s="83" t="str">
        <f>REPLACE(INDEX(GroupVertices[Group],MATCH(Edges[[#This Row],[Vertex 1]],GroupVertices[Vertex],0)),1,1,"")</f>
        <v>1</v>
      </c>
      <c r="AG440" s="83" t="str">
        <f>REPLACE(INDEX(GroupVertices[Group],MATCH(Edges[[#This Row],[Vertex 2]],GroupVertices[Vertex],0)),1,1,"")</f>
        <v>1</v>
      </c>
      <c r="AH440" s="111">
        <v>0</v>
      </c>
      <c r="AI440" s="112">
        <v>0</v>
      </c>
      <c r="AJ440" s="111">
        <v>0</v>
      </c>
      <c r="AK440" s="112">
        <v>0</v>
      </c>
      <c r="AL440" s="111">
        <v>0</v>
      </c>
      <c r="AM440" s="112">
        <v>0</v>
      </c>
      <c r="AN440" s="111">
        <v>4</v>
      </c>
      <c r="AO440" s="112">
        <v>100</v>
      </c>
      <c r="AP440" s="111">
        <v>4</v>
      </c>
    </row>
    <row r="441" spans="1:42" ht="15">
      <c r="A441" s="65" t="s">
        <v>558</v>
      </c>
      <c r="B441" s="65" t="s">
        <v>553</v>
      </c>
      <c r="C441" s="66" t="s">
        <v>4651</v>
      </c>
      <c r="D441" s="67">
        <v>3</v>
      </c>
      <c r="E441" s="68"/>
      <c r="F441" s="69">
        <v>40</v>
      </c>
      <c r="G441" s="66"/>
      <c r="H441" s="70"/>
      <c r="I441" s="71"/>
      <c r="J441" s="71"/>
      <c r="K441" s="35" t="s">
        <v>65</v>
      </c>
      <c r="L441" s="79">
        <v>441</v>
      </c>
      <c r="M441" s="79"/>
      <c r="N441" s="73"/>
      <c r="O441" s="81" t="s">
        <v>844</v>
      </c>
      <c r="P441" s="81" t="s">
        <v>199</v>
      </c>
      <c r="Q441" s="84" t="s">
        <v>1265</v>
      </c>
      <c r="R441" s="81" t="s">
        <v>558</v>
      </c>
      <c r="S441" s="81" t="s">
        <v>1917</v>
      </c>
      <c r="T441" s="86" t="str">
        <f>HYPERLINK("http://www.youtube.com/channel/UCDMC7Sr5zY92l060olkC9tg")</f>
        <v>http://www.youtube.com/channel/UCDMC7Sr5zY92l060olkC9tg</v>
      </c>
      <c r="U441" s="81"/>
      <c r="V441" s="81" t="s">
        <v>2327</v>
      </c>
      <c r="W441" s="86" t="str">
        <f>HYPERLINK("https://www.youtube.com/watch?v=H6DrSG_KQjo")</f>
        <v>https://www.youtube.com/watch?v=H6DrSG_KQjo</v>
      </c>
      <c r="X441" s="81" t="s">
        <v>2349</v>
      </c>
      <c r="Y441" s="81">
        <v>0</v>
      </c>
      <c r="Z441" s="88">
        <v>43370.00653935185</v>
      </c>
      <c r="AA441" s="88">
        <v>43370.00653935185</v>
      </c>
      <c r="AB441" s="81"/>
      <c r="AC441" s="81"/>
      <c r="AD441" s="84" t="s">
        <v>2390</v>
      </c>
      <c r="AE441" s="82">
        <v>1</v>
      </c>
      <c r="AF441" s="83" t="str">
        <f>REPLACE(INDEX(GroupVertices[Group],MATCH(Edges[[#This Row],[Vertex 1]],GroupVertices[Vertex],0)),1,1,"")</f>
        <v>1</v>
      </c>
      <c r="AG441" s="83" t="str">
        <f>REPLACE(INDEX(GroupVertices[Group],MATCH(Edges[[#This Row],[Vertex 2]],GroupVertices[Vertex],0)),1,1,"")</f>
        <v>1</v>
      </c>
      <c r="AH441" s="111">
        <v>0</v>
      </c>
      <c r="AI441" s="112">
        <v>0</v>
      </c>
      <c r="AJ441" s="111">
        <v>0</v>
      </c>
      <c r="AK441" s="112">
        <v>0</v>
      </c>
      <c r="AL441" s="111">
        <v>0</v>
      </c>
      <c r="AM441" s="112">
        <v>0</v>
      </c>
      <c r="AN441" s="111">
        <v>7</v>
      </c>
      <c r="AO441" s="112">
        <v>100</v>
      </c>
      <c r="AP441" s="111">
        <v>7</v>
      </c>
    </row>
    <row r="442" spans="1:42" ht="15">
      <c r="A442" s="65" t="s">
        <v>559</v>
      </c>
      <c r="B442" s="65" t="s">
        <v>553</v>
      </c>
      <c r="C442" s="66" t="s">
        <v>4651</v>
      </c>
      <c r="D442" s="67">
        <v>3</v>
      </c>
      <c r="E442" s="68"/>
      <c r="F442" s="69">
        <v>40</v>
      </c>
      <c r="G442" s="66"/>
      <c r="H442" s="70"/>
      <c r="I442" s="71"/>
      <c r="J442" s="71"/>
      <c r="K442" s="35" t="s">
        <v>65</v>
      </c>
      <c r="L442" s="79">
        <v>442</v>
      </c>
      <c r="M442" s="79"/>
      <c r="N442" s="73"/>
      <c r="O442" s="81" t="s">
        <v>844</v>
      </c>
      <c r="P442" s="81" t="s">
        <v>199</v>
      </c>
      <c r="Q442" s="84" t="s">
        <v>1266</v>
      </c>
      <c r="R442" s="81" t="s">
        <v>559</v>
      </c>
      <c r="S442" s="81" t="s">
        <v>1918</v>
      </c>
      <c r="T442" s="86" t="str">
        <f>HYPERLINK("http://www.youtube.com/channel/UC7mO_O8XR-C-86AGtSGj_Gg")</f>
        <v>http://www.youtube.com/channel/UC7mO_O8XR-C-86AGtSGj_Gg</v>
      </c>
      <c r="U442" s="81"/>
      <c r="V442" s="81" t="s">
        <v>2327</v>
      </c>
      <c r="W442" s="86" t="str">
        <f>HYPERLINK("https://www.youtube.com/watch?v=H6DrSG_KQjo")</f>
        <v>https://www.youtube.com/watch?v=H6DrSG_KQjo</v>
      </c>
      <c r="X442" s="81" t="s">
        <v>2349</v>
      </c>
      <c r="Y442" s="81">
        <v>53</v>
      </c>
      <c r="Z442" s="88">
        <v>43492.78134259259</v>
      </c>
      <c r="AA442" s="88">
        <v>43492.78134259259</v>
      </c>
      <c r="AB442" s="81"/>
      <c r="AC442" s="81"/>
      <c r="AD442" s="84" t="s">
        <v>2390</v>
      </c>
      <c r="AE442" s="82">
        <v>1</v>
      </c>
      <c r="AF442" s="83" t="str">
        <f>REPLACE(INDEX(GroupVertices[Group],MATCH(Edges[[#This Row],[Vertex 1]],GroupVertices[Vertex],0)),1,1,"")</f>
        <v>1</v>
      </c>
      <c r="AG442" s="83" t="str">
        <f>REPLACE(INDEX(GroupVertices[Group],MATCH(Edges[[#This Row],[Vertex 2]],GroupVertices[Vertex],0)),1,1,"")</f>
        <v>1</v>
      </c>
      <c r="AH442" s="111">
        <v>1</v>
      </c>
      <c r="AI442" s="112">
        <v>16.666666666666668</v>
      </c>
      <c r="AJ442" s="111">
        <v>0</v>
      </c>
      <c r="AK442" s="112">
        <v>0</v>
      </c>
      <c r="AL442" s="111">
        <v>0</v>
      </c>
      <c r="AM442" s="112">
        <v>0</v>
      </c>
      <c r="AN442" s="111">
        <v>5</v>
      </c>
      <c r="AO442" s="112">
        <v>83.33333333333333</v>
      </c>
      <c r="AP442" s="111">
        <v>6</v>
      </c>
    </row>
    <row r="443" spans="1:42" ht="15">
      <c r="A443" s="65" t="s">
        <v>560</v>
      </c>
      <c r="B443" s="65" t="s">
        <v>553</v>
      </c>
      <c r="C443" s="66" t="s">
        <v>4651</v>
      </c>
      <c r="D443" s="67">
        <v>3</v>
      </c>
      <c r="E443" s="68"/>
      <c r="F443" s="69">
        <v>40</v>
      </c>
      <c r="G443" s="66"/>
      <c r="H443" s="70"/>
      <c r="I443" s="71"/>
      <c r="J443" s="71"/>
      <c r="K443" s="35" t="s">
        <v>65</v>
      </c>
      <c r="L443" s="79">
        <v>443</v>
      </c>
      <c r="M443" s="79"/>
      <c r="N443" s="73"/>
      <c r="O443" s="81" t="s">
        <v>844</v>
      </c>
      <c r="P443" s="81" t="s">
        <v>199</v>
      </c>
      <c r="Q443" s="84" t="s">
        <v>1267</v>
      </c>
      <c r="R443" s="81" t="s">
        <v>560</v>
      </c>
      <c r="S443" s="81" t="s">
        <v>1919</v>
      </c>
      <c r="T443" s="86" t="str">
        <f>HYPERLINK("http://www.youtube.com/channel/UCfLjyRgLFvB_zaQtDY4e-zg")</f>
        <v>http://www.youtube.com/channel/UCfLjyRgLFvB_zaQtDY4e-zg</v>
      </c>
      <c r="U443" s="81"/>
      <c r="V443" s="81" t="s">
        <v>2327</v>
      </c>
      <c r="W443" s="86" t="str">
        <f>HYPERLINK("https://www.youtube.com/watch?v=H6DrSG_KQjo")</f>
        <v>https://www.youtube.com/watch?v=H6DrSG_KQjo</v>
      </c>
      <c r="X443" s="81" t="s">
        <v>2349</v>
      </c>
      <c r="Y443" s="81">
        <v>6</v>
      </c>
      <c r="Z443" s="88">
        <v>43505.8428587963</v>
      </c>
      <c r="AA443" s="88">
        <v>43505.8428587963</v>
      </c>
      <c r="AB443" s="81"/>
      <c r="AC443" s="81"/>
      <c r="AD443" s="84" t="s">
        <v>2390</v>
      </c>
      <c r="AE443" s="82">
        <v>1</v>
      </c>
      <c r="AF443" s="83" t="str">
        <f>REPLACE(INDEX(GroupVertices[Group],MATCH(Edges[[#This Row],[Vertex 1]],GroupVertices[Vertex],0)),1,1,"")</f>
        <v>1</v>
      </c>
      <c r="AG443" s="83" t="str">
        <f>REPLACE(INDEX(GroupVertices[Group],MATCH(Edges[[#This Row],[Vertex 2]],GroupVertices[Vertex],0)),1,1,"")</f>
        <v>1</v>
      </c>
      <c r="AH443" s="111">
        <v>1</v>
      </c>
      <c r="AI443" s="112">
        <v>6.25</v>
      </c>
      <c r="AJ443" s="111">
        <v>0</v>
      </c>
      <c r="AK443" s="112">
        <v>0</v>
      </c>
      <c r="AL443" s="111">
        <v>0</v>
      </c>
      <c r="AM443" s="112">
        <v>0</v>
      </c>
      <c r="AN443" s="111">
        <v>15</v>
      </c>
      <c r="AO443" s="112">
        <v>93.75</v>
      </c>
      <c r="AP443" s="111">
        <v>16</v>
      </c>
    </row>
    <row r="444" spans="1:42" ht="15">
      <c r="A444" s="65" t="s">
        <v>561</v>
      </c>
      <c r="B444" s="65" t="s">
        <v>562</v>
      </c>
      <c r="C444" s="66" t="s">
        <v>4651</v>
      </c>
      <c r="D444" s="67">
        <v>3</v>
      </c>
      <c r="E444" s="68"/>
      <c r="F444" s="69">
        <v>40</v>
      </c>
      <c r="G444" s="66"/>
      <c r="H444" s="70"/>
      <c r="I444" s="71"/>
      <c r="J444" s="71"/>
      <c r="K444" s="35" t="s">
        <v>65</v>
      </c>
      <c r="L444" s="79">
        <v>444</v>
      </c>
      <c r="M444" s="79"/>
      <c r="N444" s="73"/>
      <c r="O444" s="81" t="s">
        <v>845</v>
      </c>
      <c r="P444" s="81" t="s">
        <v>847</v>
      </c>
      <c r="Q444" s="84" t="s">
        <v>1268</v>
      </c>
      <c r="R444" s="81" t="s">
        <v>561</v>
      </c>
      <c r="S444" s="81" t="s">
        <v>1920</v>
      </c>
      <c r="T444" s="86" t="str">
        <f>HYPERLINK("http://www.youtube.com/channel/UCL2LP9dATw558s3V6q3JkYw")</f>
        <v>http://www.youtube.com/channel/UCL2LP9dATw558s3V6q3JkYw</v>
      </c>
      <c r="U444" s="81" t="s">
        <v>2253</v>
      </c>
      <c r="V444" s="81" t="s">
        <v>2327</v>
      </c>
      <c r="W444" s="86" t="str">
        <f>HYPERLINK("https://www.youtube.com/watch?v=H6DrSG_KQjo")</f>
        <v>https://www.youtube.com/watch?v=H6DrSG_KQjo</v>
      </c>
      <c r="X444" s="81" t="s">
        <v>2349</v>
      </c>
      <c r="Y444" s="81">
        <v>0</v>
      </c>
      <c r="Z444" s="88">
        <v>43893.00601851852</v>
      </c>
      <c r="AA444" s="88">
        <v>43893.00601851852</v>
      </c>
      <c r="AB444" s="81"/>
      <c r="AC444" s="81"/>
      <c r="AD444" s="84" t="s">
        <v>2390</v>
      </c>
      <c r="AE444" s="82">
        <v>1</v>
      </c>
      <c r="AF444" s="83" t="str">
        <f>REPLACE(INDEX(GroupVertices[Group],MATCH(Edges[[#This Row],[Vertex 1]],GroupVertices[Vertex],0)),1,1,"")</f>
        <v>1</v>
      </c>
      <c r="AG444" s="83" t="str">
        <f>REPLACE(INDEX(GroupVertices[Group],MATCH(Edges[[#This Row],[Vertex 2]],GroupVertices[Vertex],0)),1,1,"")</f>
        <v>1</v>
      </c>
      <c r="AH444" s="111">
        <v>0</v>
      </c>
      <c r="AI444" s="112">
        <v>0</v>
      </c>
      <c r="AJ444" s="111">
        <v>0</v>
      </c>
      <c r="AK444" s="112">
        <v>0</v>
      </c>
      <c r="AL444" s="111">
        <v>0</v>
      </c>
      <c r="AM444" s="112">
        <v>0</v>
      </c>
      <c r="AN444" s="111">
        <v>5</v>
      </c>
      <c r="AO444" s="112">
        <v>100</v>
      </c>
      <c r="AP444" s="111">
        <v>5</v>
      </c>
    </row>
    <row r="445" spans="1:42" ht="15">
      <c r="A445" s="65" t="s">
        <v>562</v>
      </c>
      <c r="B445" s="65" t="s">
        <v>553</v>
      </c>
      <c r="C445" s="66" t="s">
        <v>4651</v>
      </c>
      <c r="D445" s="67">
        <v>3</v>
      </c>
      <c r="E445" s="68"/>
      <c r="F445" s="69">
        <v>40</v>
      </c>
      <c r="G445" s="66"/>
      <c r="H445" s="70"/>
      <c r="I445" s="71"/>
      <c r="J445" s="71"/>
      <c r="K445" s="35" t="s">
        <v>65</v>
      </c>
      <c r="L445" s="79">
        <v>445</v>
      </c>
      <c r="M445" s="79"/>
      <c r="N445" s="73"/>
      <c r="O445" s="81" t="s">
        <v>844</v>
      </c>
      <c r="P445" s="81" t="s">
        <v>199</v>
      </c>
      <c r="Q445" s="84" t="s">
        <v>1269</v>
      </c>
      <c r="R445" s="81" t="s">
        <v>562</v>
      </c>
      <c r="S445" s="81" t="s">
        <v>1921</v>
      </c>
      <c r="T445" s="86" t="str">
        <f>HYPERLINK("http://www.youtube.com/channel/UCmtf4_4EAkoBep4SXTVFZMg")</f>
        <v>http://www.youtube.com/channel/UCmtf4_4EAkoBep4SXTVFZMg</v>
      </c>
      <c r="U445" s="81"/>
      <c r="V445" s="81" t="s">
        <v>2327</v>
      </c>
      <c r="W445" s="86" t="str">
        <f>HYPERLINK("https://www.youtube.com/watch?v=H6DrSG_KQjo")</f>
        <v>https://www.youtube.com/watch?v=H6DrSG_KQjo</v>
      </c>
      <c r="X445" s="81" t="s">
        <v>2349</v>
      </c>
      <c r="Y445" s="81">
        <v>1</v>
      </c>
      <c r="Z445" s="88">
        <v>43565.52836805556</v>
      </c>
      <c r="AA445" s="88">
        <v>43565.52836805556</v>
      </c>
      <c r="AB445" s="81"/>
      <c r="AC445" s="81"/>
      <c r="AD445" s="84" t="s">
        <v>2390</v>
      </c>
      <c r="AE445" s="82">
        <v>1</v>
      </c>
      <c r="AF445" s="83" t="str">
        <f>REPLACE(INDEX(GroupVertices[Group],MATCH(Edges[[#This Row],[Vertex 1]],GroupVertices[Vertex],0)),1,1,"")</f>
        <v>1</v>
      </c>
      <c r="AG445" s="83" t="str">
        <f>REPLACE(INDEX(GroupVertices[Group],MATCH(Edges[[#This Row],[Vertex 2]],GroupVertices[Vertex],0)),1,1,"")</f>
        <v>1</v>
      </c>
      <c r="AH445" s="111">
        <v>0</v>
      </c>
      <c r="AI445" s="112">
        <v>0</v>
      </c>
      <c r="AJ445" s="111">
        <v>1</v>
      </c>
      <c r="AK445" s="112">
        <v>3.3333333333333335</v>
      </c>
      <c r="AL445" s="111">
        <v>0</v>
      </c>
      <c r="AM445" s="112">
        <v>0</v>
      </c>
      <c r="AN445" s="111">
        <v>29</v>
      </c>
      <c r="AO445" s="112">
        <v>96.66666666666667</v>
      </c>
      <c r="AP445" s="111">
        <v>30</v>
      </c>
    </row>
    <row r="446" spans="1:42" ht="15">
      <c r="A446" s="65" t="s">
        <v>553</v>
      </c>
      <c r="B446" s="65" t="s">
        <v>563</v>
      </c>
      <c r="C446" s="66" t="s">
        <v>4651</v>
      </c>
      <c r="D446" s="67">
        <v>3</v>
      </c>
      <c r="E446" s="68"/>
      <c r="F446" s="69">
        <v>40</v>
      </c>
      <c r="G446" s="66"/>
      <c r="H446" s="70"/>
      <c r="I446" s="71"/>
      <c r="J446" s="71"/>
      <c r="K446" s="35" t="s">
        <v>66</v>
      </c>
      <c r="L446" s="79">
        <v>446</v>
      </c>
      <c r="M446" s="79"/>
      <c r="N446" s="73"/>
      <c r="O446" s="81" t="s">
        <v>845</v>
      </c>
      <c r="P446" s="81" t="s">
        <v>847</v>
      </c>
      <c r="Q446" s="84" t="s">
        <v>1270</v>
      </c>
      <c r="R446" s="81" t="s">
        <v>553</v>
      </c>
      <c r="S446" s="81" t="s">
        <v>1912</v>
      </c>
      <c r="T446" s="86" t="str">
        <f>HYPERLINK("http://www.youtube.com/channel/UCqbOeHaAUXw9Il7sBVG3_bw")</f>
        <v>http://www.youtube.com/channel/UCqbOeHaAUXw9Il7sBVG3_bw</v>
      </c>
      <c r="U446" s="81" t="s">
        <v>2254</v>
      </c>
      <c r="V446" s="81" t="s">
        <v>2327</v>
      </c>
      <c r="W446" s="86" t="str">
        <f>HYPERLINK("https://www.youtube.com/watch?v=H6DrSG_KQjo")</f>
        <v>https://www.youtube.com/watch?v=H6DrSG_KQjo</v>
      </c>
      <c r="X446" s="81" t="s">
        <v>2349</v>
      </c>
      <c r="Y446" s="81">
        <v>5</v>
      </c>
      <c r="Z446" s="88">
        <v>43569.74104166667</v>
      </c>
      <c r="AA446" s="88">
        <v>43569.74104166667</v>
      </c>
      <c r="AB446" s="81"/>
      <c r="AC446" s="81"/>
      <c r="AD446" s="84" t="s">
        <v>2390</v>
      </c>
      <c r="AE446" s="82">
        <v>1</v>
      </c>
      <c r="AF446" s="83" t="str">
        <f>REPLACE(INDEX(GroupVertices[Group],MATCH(Edges[[#This Row],[Vertex 1]],GroupVertices[Vertex],0)),1,1,"")</f>
        <v>1</v>
      </c>
      <c r="AG446" s="83" t="str">
        <f>REPLACE(INDEX(GroupVertices[Group],MATCH(Edges[[#This Row],[Vertex 2]],GroupVertices[Vertex],0)),1,1,"")</f>
        <v>1</v>
      </c>
      <c r="AH446" s="111">
        <v>0</v>
      </c>
      <c r="AI446" s="112">
        <v>0</v>
      </c>
      <c r="AJ446" s="111">
        <v>0</v>
      </c>
      <c r="AK446" s="112">
        <v>0</v>
      </c>
      <c r="AL446" s="111">
        <v>0</v>
      </c>
      <c r="AM446" s="112">
        <v>0</v>
      </c>
      <c r="AN446" s="111">
        <v>10</v>
      </c>
      <c r="AO446" s="112">
        <v>100</v>
      </c>
      <c r="AP446" s="111">
        <v>10</v>
      </c>
    </row>
    <row r="447" spans="1:42" ht="15">
      <c r="A447" s="65" t="s">
        <v>563</v>
      </c>
      <c r="B447" s="65" t="s">
        <v>553</v>
      </c>
      <c r="C447" s="66" t="s">
        <v>4651</v>
      </c>
      <c r="D447" s="67">
        <v>3</v>
      </c>
      <c r="E447" s="68"/>
      <c r="F447" s="69">
        <v>40</v>
      </c>
      <c r="G447" s="66"/>
      <c r="H447" s="70"/>
      <c r="I447" s="71"/>
      <c r="J447" s="71"/>
      <c r="K447" s="35" t="s">
        <v>66</v>
      </c>
      <c r="L447" s="79">
        <v>447</v>
      </c>
      <c r="M447" s="79"/>
      <c r="N447" s="73"/>
      <c r="O447" s="81" t="s">
        <v>844</v>
      </c>
      <c r="P447" s="81" t="s">
        <v>199</v>
      </c>
      <c r="Q447" s="84" t="s">
        <v>1271</v>
      </c>
      <c r="R447" s="81" t="s">
        <v>563</v>
      </c>
      <c r="S447" s="81" t="s">
        <v>1922</v>
      </c>
      <c r="T447" s="86" t="str">
        <f>HYPERLINK("http://www.youtube.com/channel/UCzmwAs1EMN_EGzNw_cklJkQ")</f>
        <v>http://www.youtube.com/channel/UCzmwAs1EMN_EGzNw_cklJkQ</v>
      </c>
      <c r="U447" s="81"/>
      <c r="V447" s="81" t="s">
        <v>2327</v>
      </c>
      <c r="W447" s="86" t="str">
        <f>HYPERLINK("https://www.youtube.com/watch?v=H6DrSG_KQjo")</f>
        <v>https://www.youtube.com/watch?v=H6DrSG_KQjo</v>
      </c>
      <c r="X447" s="81" t="s">
        <v>2349</v>
      </c>
      <c r="Y447" s="81">
        <v>0</v>
      </c>
      <c r="Z447" s="88">
        <v>43569.55998842593</v>
      </c>
      <c r="AA447" s="88">
        <v>43569.55998842593</v>
      </c>
      <c r="AB447" s="81"/>
      <c r="AC447" s="81"/>
      <c r="AD447" s="84" t="s">
        <v>2390</v>
      </c>
      <c r="AE447" s="82">
        <v>1</v>
      </c>
      <c r="AF447" s="83" t="str">
        <f>REPLACE(INDEX(GroupVertices[Group],MATCH(Edges[[#This Row],[Vertex 1]],GroupVertices[Vertex],0)),1,1,"")</f>
        <v>1</v>
      </c>
      <c r="AG447" s="83" t="str">
        <f>REPLACE(INDEX(GroupVertices[Group],MATCH(Edges[[#This Row],[Vertex 2]],GroupVertices[Vertex],0)),1,1,"")</f>
        <v>1</v>
      </c>
      <c r="AH447" s="111">
        <v>0</v>
      </c>
      <c r="AI447" s="112">
        <v>0</v>
      </c>
      <c r="AJ447" s="111">
        <v>1</v>
      </c>
      <c r="AK447" s="112">
        <v>5.882352941176471</v>
      </c>
      <c r="AL447" s="111">
        <v>0</v>
      </c>
      <c r="AM447" s="112">
        <v>0</v>
      </c>
      <c r="AN447" s="111">
        <v>16</v>
      </c>
      <c r="AO447" s="112">
        <v>94.11764705882354</v>
      </c>
      <c r="AP447" s="111">
        <v>17</v>
      </c>
    </row>
    <row r="448" spans="1:42" ht="15">
      <c r="A448" s="65" t="s">
        <v>564</v>
      </c>
      <c r="B448" s="65" t="s">
        <v>565</v>
      </c>
      <c r="C448" s="66" t="s">
        <v>4651</v>
      </c>
      <c r="D448" s="67">
        <v>3</v>
      </c>
      <c r="E448" s="68"/>
      <c r="F448" s="69">
        <v>40</v>
      </c>
      <c r="G448" s="66"/>
      <c r="H448" s="70"/>
      <c r="I448" s="71"/>
      <c r="J448" s="71"/>
      <c r="K448" s="35" t="s">
        <v>65</v>
      </c>
      <c r="L448" s="79">
        <v>448</v>
      </c>
      <c r="M448" s="79"/>
      <c r="N448" s="73"/>
      <c r="O448" s="81" t="s">
        <v>845</v>
      </c>
      <c r="P448" s="81" t="s">
        <v>847</v>
      </c>
      <c r="Q448" s="84" t="s">
        <v>1272</v>
      </c>
      <c r="R448" s="81" t="s">
        <v>564</v>
      </c>
      <c r="S448" s="81" t="s">
        <v>1923</v>
      </c>
      <c r="T448" s="86" t="str">
        <f>HYPERLINK("http://www.youtube.com/channel/UCsR1w2kBQfipEKf1qfoZ8Qg")</f>
        <v>http://www.youtube.com/channel/UCsR1w2kBQfipEKf1qfoZ8Qg</v>
      </c>
      <c r="U448" s="81" t="s">
        <v>2255</v>
      </c>
      <c r="V448" s="81" t="s">
        <v>2327</v>
      </c>
      <c r="W448" s="86" t="str">
        <f>HYPERLINK("https://www.youtube.com/watch?v=H6DrSG_KQjo")</f>
        <v>https://www.youtube.com/watch?v=H6DrSG_KQjo</v>
      </c>
      <c r="X448" s="81" t="s">
        <v>2349</v>
      </c>
      <c r="Y448" s="81">
        <v>1</v>
      </c>
      <c r="Z448" s="88">
        <v>43576.515914351854</v>
      </c>
      <c r="AA448" s="88">
        <v>43576.515914351854</v>
      </c>
      <c r="AB448" s="81"/>
      <c r="AC448" s="81"/>
      <c r="AD448" s="84" t="s">
        <v>2390</v>
      </c>
      <c r="AE448" s="82">
        <v>1</v>
      </c>
      <c r="AF448" s="83" t="str">
        <f>REPLACE(INDEX(GroupVertices[Group],MATCH(Edges[[#This Row],[Vertex 1]],GroupVertices[Vertex],0)),1,1,"")</f>
        <v>1</v>
      </c>
      <c r="AG448" s="83" t="str">
        <f>REPLACE(INDEX(GroupVertices[Group],MATCH(Edges[[#This Row],[Vertex 2]],GroupVertices[Vertex],0)),1,1,"")</f>
        <v>1</v>
      </c>
      <c r="AH448" s="111">
        <v>0</v>
      </c>
      <c r="AI448" s="112">
        <v>0</v>
      </c>
      <c r="AJ448" s="111">
        <v>0</v>
      </c>
      <c r="AK448" s="112">
        <v>0</v>
      </c>
      <c r="AL448" s="111">
        <v>0</v>
      </c>
      <c r="AM448" s="112">
        <v>0</v>
      </c>
      <c r="AN448" s="111">
        <v>1</v>
      </c>
      <c r="AO448" s="112">
        <v>100</v>
      </c>
      <c r="AP448" s="111">
        <v>1</v>
      </c>
    </row>
    <row r="449" spans="1:42" ht="15">
      <c r="A449" s="65" t="s">
        <v>565</v>
      </c>
      <c r="B449" s="65" t="s">
        <v>553</v>
      </c>
      <c r="C449" s="66" t="s">
        <v>4651</v>
      </c>
      <c r="D449" s="67">
        <v>3</v>
      </c>
      <c r="E449" s="68"/>
      <c r="F449" s="69">
        <v>40</v>
      </c>
      <c r="G449" s="66"/>
      <c r="H449" s="70"/>
      <c r="I449" s="71"/>
      <c r="J449" s="71"/>
      <c r="K449" s="35" t="s">
        <v>65</v>
      </c>
      <c r="L449" s="79">
        <v>449</v>
      </c>
      <c r="M449" s="79"/>
      <c r="N449" s="73"/>
      <c r="O449" s="81" t="s">
        <v>844</v>
      </c>
      <c r="P449" s="81" t="s">
        <v>199</v>
      </c>
      <c r="Q449" s="84" t="s">
        <v>1273</v>
      </c>
      <c r="R449" s="81" t="s">
        <v>565</v>
      </c>
      <c r="S449" s="81" t="s">
        <v>1924</v>
      </c>
      <c r="T449" s="86" t="str">
        <f>HYPERLINK("http://www.youtube.com/channel/UC4KctW4IVLRpkMn1bc8IO0Q")</f>
        <v>http://www.youtube.com/channel/UC4KctW4IVLRpkMn1bc8IO0Q</v>
      </c>
      <c r="U449" s="81"/>
      <c r="V449" s="81" t="s">
        <v>2327</v>
      </c>
      <c r="W449" s="86" t="str">
        <f>HYPERLINK("https://www.youtube.com/watch?v=H6DrSG_KQjo")</f>
        <v>https://www.youtube.com/watch?v=H6DrSG_KQjo</v>
      </c>
      <c r="X449" s="81" t="s">
        <v>2349</v>
      </c>
      <c r="Y449" s="81">
        <v>0</v>
      </c>
      <c r="Z449" s="88">
        <v>43574.883368055554</v>
      </c>
      <c r="AA449" s="88">
        <v>43574.883368055554</v>
      </c>
      <c r="AB449" s="81"/>
      <c r="AC449" s="81"/>
      <c r="AD449" s="84" t="s">
        <v>2390</v>
      </c>
      <c r="AE449" s="82">
        <v>1</v>
      </c>
      <c r="AF449" s="83" t="str">
        <f>REPLACE(INDEX(GroupVertices[Group],MATCH(Edges[[#This Row],[Vertex 1]],GroupVertices[Vertex],0)),1,1,"")</f>
        <v>1</v>
      </c>
      <c r="AG449" s="83" t="str">
        <f>REPLACE(INDEX(GroupVertices[Group],MATCH(Edges[[#This Row],[Vertex 2]],GroupVertices[Vertex],0)),1,1,"")</f>
        <v>1</v>
      </c>
      <c r="AH449" s="111">
        <v>0</v>
      </c>
      <c r="AI449" s="112">
        <v>0</v>
      </c>
      <c r="AJ449" s="111">
        <v>0</v>
      </c>
      <c r="AK449" s="112">
        <v>0</v>
      </c>
      <c r="AL449" s="111">
        <v>0</v>
      </c>
      <c r="AM449" s="112">
        <v>0</v>
      </c>
      <c r="AN449" s="111">
        <v>5</v>
      </c>
      <c r="AO449" s="112">
        <v>100</v>
      </c>
      <c r="AP449" s="111">
        <v>5</v>
      </c>
    </row>
    <row r="450" spans="1:42" ht="15">
      <c r="A450" s="65" t="s">
        <v>566</v>
      </c>
      <c r="B450" s="65" t="s">
        <v>553</v>
      </c>
      <c r="C450" s="66" t="s">
        <v>4613</v>
      </c>
      <c r="D450" s="67">
        <v>10</v>
      </c>
      <c r="E450" s="68"/>
      <c r="F450" s="69">
        <v>15</v>
      </c>
      <c r="G450" s="66"/>
      <c r="H450" s="70"/>
      <c r="I450" s="71"/>
      <c r="J450" s="71"/>
      <c r="K450" s="35" t="s">
        <v>65</v>
      </c>
      <c r="L450" s="79">
        <v>450</v>
      </c>
      <c r="M450" s="79"/>
      <c r="N450" s="73"/>
      <c r="O450" s="81" t="s">
        <v>844</v>
      </c>
      <c r="P450" s="81" t="s">
        <v>199</v>
      </c>
      <c r="Q450" s="84" t="s">
        <v>1274</v>
      </c>
      <c r="R450" s="81" t="s">
        <v>566</v>
      </c>
      <c r="S450" s="81" t="s">
        <v>1925</v>
      </c>
      <c r="T450" s="86" t="str">
        <f>HYPERLINK("http://www.youtube.com/channel/UCAHz4FFVkO9z-flkiU84MlA")</f>
        <v>http://www.youtube.com/channel/UCAHz4FFVkO9z-flkiU84MlA</v>
      </c>
      <c r="U450" s="81"/>
      <c r="V450" s="81" t="s">
        <v>2327</v>
      </c>
      <c r="W450" s="86" t="str">
        <f>HYPERLINK("https://www.youtube.com/watch?v=H6DrSG_KQjo")</f>
        <v>https://www.youtube.com/watch?v=H6DrSG_KQjo</v>
      </c>
      <c r="X450" s="81" t="s">
        <v>2349</v>
      </c>
      <c r="Y450" s="81">
        <v>0</v>
      </c>
      <c r="Z450" s="88">
        <v>43587.79539351852</v>
      </c>
      <c r="AA450" s="88">
        <v>43587.79539351852</v>
      </c>
      <c r="AB450" s="81"/>
      <c r="AC450" s="81"/>
      <c r="AD450" s="84" t="s">
        <v>2390</v>
      </c>
      <c r="AE450" s="82">
        <v>2</v>
      </c>
      <c r="AF450" s="83" t="str">
        <f>REPLACE(INDEX(GroupVertices[Group],MATCH(Edges[[#This Row],[Vertex 1]],GroupVertices[Vertex],0)),1,1,"")</f>
        <v>1</v>
      </c>
      <c r="AG450" s="83" t="str">
        <f>REPLACE(INDEX(GroupVertices[Group],MATCH(Edges[[#This Row],[Vertex 2]],GroupVertices[Vertex],0)),1,1,"")</f>
        <v>1</v>
      </c>
      <c r="AH450" s="111">
        <v>0</v>
      </c>
      <c r="AI450" s="112">
        <v>0</v>
      </c>
      <c r="AJ450" s="111">
        <v>0</v>
      </c>
      <c r="AK450" s="112">
        <v>0</v>
      </c>
      <c r="AL450" s="111">
        <v>0</v>
      </c>
      <c r="AM450" s="112">
        <v>0</v>
      </c>
      <c r="AN450" s="111">
        <v>17</v>
      </c>
      <c r="AO450" s="112">
        <v>100</v>
      </c>
      <c r="AP450" s="111">
        <v>17</v>
      </c>
    </row>
    <row r="451" spans="1:42" ht="15">
      <c r="A451" s="65" t="s">
        <v>566</v>
      </c>
      <c r="B451" s="65" t="s">
        <v>553</v>
      </c>
      <c r="C451" s="66" t="s">
        <v>4613</v>
      </c>
      <c r="D451" s="67">
        <v>10</v>
      </c>
      <c r="E451" s="68"/>
      <c r="F451" s="69">
        <v>15</v>
      </c>
      <c r="G451" s="66"/>
      <c r="H451" s="70"/>
      <c r="I451" s="71"/>
      <c r="J451" s="71"/>
      <c r="K451" s="35" t="s">
        <v>65</v>
      </c>
      <c r="L451" s="79">
        <v>451</v>
      </c>
      <c r="M451" s="79"/>
      <c r="N451" s="73"/>
      <c r="O451" s="81" t="s">
        <v>844</v>
      </c>
      <c r="P451" s="81" t="s">
        <v>199</v>
      </c>
      <c r="Q451" s="84" t="s">
        <v>1275</v>
      </c>
      <c r="R451" s="81" t="s">
        <v>566</v>
      </c>
      <c r="S451" s="81" t="s">
        <v>1925</v>
      </c>
      <c r="T451" s="86" t="str">
        <f>HYPERLINK("http://www.youtube.com/channel/UCAHz4FFVkO9z-flkiU84MlA")</f>
        <v>http://www.youtube.com/channel/UCAHz4FFVkO9z-flkiU84MlA</v>
      </c>
      <c r="U451" s="81"/>
      <c r="V451" s="81" t="s">
        <v>2327</v>
      </c>
      <c r="W451" s="86" t="str">
        <f>HYPERLINK("https://www.youtube.com/watch?v=H6DrSG_KQjo")</f>
        <v>https://www.youtube.com/watch?v=H6DrSG_KQjo</v>
      </c>
      <c r="X451" s="81" t="s">
        <v>2349</v>
      </c>
      <c r="Y451" s="81">
        <v>2</v>
      </c>
      <c r="Z451" s="88">
        <v>43587.79722222222</v>
      </c>
      <c r="AA451" s="88">
        <v>43587.79722222222</v>
      </c>
      <c r="AB451" s="81"/>
      <c r="AC451" s="81"/>
      <c r="AD451" s="84" t="s">
        <v>2390</v>
      </c>
      <c r="AE451" s="82">
        <v>2</v>
      </c>
      <c r="AF451" s="83" t="str">
        <f>REPLACE(INDEX(GroupVertices[Group],MATCH(Edges[[#This Row],[Vertex 1]],GroupVertices[Vertex],0)),1,1,"")</f>
        <v>1</v>
      </c>
      <c r="AG451" s="83" t="str">
        <f>REPLACE(INDEX(GroupVertices[Group],MATCH(Edges[[#This Row],[Vertex 2]],GroupVertices[Vertex],0)),1,1,"")</f>
        <v>1</v>
      </c>
      <c r="AH451" s="111">
        <v>0</v>
      </c>
      <c r="AI451" s="112">
        <v>0</v>
      </c>
      <c r="AJ451" s="111">
        <v>0</v>
      </c>
      <c r="AK451" s="112">
        <v>0</v>
      </c>
      <c r="AL451" s="111">
        <v>0</v>
      </c>
      <c r="AM451" s="112">
        <v>0</v>
      </c>
      <c r="AN451" s="111">
        <v>13</v>
      </c>
      <c r="AO451" s="112">
        <v>100</v>
      </c>
      <c r="AP451" s="111">
        <v>13</v>
      </c>
    </row>
    <row r="452" spans="1:42" ht="15">
      <c r="A452" s="65" t="s">
        <v>567</v>
      </c>
      <c r="B452" s="65" t="s">
        <v>573</v>
      </c>
      <c r="C452" s="66" t="s">
        <v>4651</v>
      </c>
      <c r="D452" s="67">
        <v>3</v>
      </c>
      <c r="E452" s="68"/>
      <c r="F452" s="69">
        <v>40</v>
      </c>
      <c r="G452" s="66"/>
      <c r="H452" s="70"/>
      <c r="I452" s="71"/>
      <c r="J452" s="71"/>
      <c r="K452" s="35" t="s">
        <v>65</v>
      </c>
      <c r="L452" s="79">
        <v>452</v>
      </c>
      <c r="M452" s="79"/>
      <c r="N452" s="73"/>
      <c r="O452" s="81" t="s">
        <v>845</v>
      </c>
      <c r="P452" s="81" t="s">
        <v>847</v>
      </c>
      <c r="Q452" s="84" t="s">
        <v>1276</v>
      </c>
      <c r="R452" s="81" t="s">
        <v>567</v>
      </c>
      <c r="S452" s="81" t="s">
        <v>1926</v>
      </c>
      <c r="T452" s="86" t="str">
        <f>HYPERLINK("http://www.youtube.com/channel/UC7bbF7uzixVKOh4huPcf2zQ")</f>
        <v>http://www.youtube.com/channel/UC7bbF7uzixVKOh4huPcf2zQ</v>
      </c>
      <c r="U452" s="81" t="s">
        <v>2256</v>
      </c>
      <c r="V452" s="81" t="s">
        <v>2327</v>
      </c>
      <c r="W452" s="86" t="str">
        <f>HYPERLINK("https://www.youtube.com/watch?v=")</f>
        <v>https://www.youtube.com/watch?v=</v>
      </c>
      <c r="X452" s="81" t="s">
        <v>2349</v>
      </c>
      <c r="Y452" s="81">
        <v>0</v>
      </c>
      <c r="Z452" s="88">
        <v>43597.58319444444</v>
      </c>
      <c r="AA452" s="88">
        <v>43597.58319444444</v>
      </c>
      <c r="AB452" s="81"/>
      <c r="AC452" s="81"/>
      <c r="AD452" s="84" t="s">
        <v>2390</v>
      </c>
      <c r="AE452" s="82">
        <v>1</v>
      </c>
      <c r="AF452" s="83" t="str">
        <f>REPLACE(INDEX(GroupVertices[Group],MATCH(Edges[[#This Row],[Vertex 1]],GroupVertices[Vertex],0)),1,1,"")</f>
        <v>14</v>
      </c>
      <c r="AG452" s="83" t="str">
        <f>REPLACE(INDEX(GroupVertices[Group],MATCH(Edges[[#This Row],[Vertex 2]],GroupVertices[Vertex],0)),1,1,"")</f>
        <v>14</v>
      </c>
      <c r="AH452" s="111">
        <v>0</v>
      </c>
      <c r="AI452" s="112">
        <v>0</v>
      </c>
      <c r="AJ452" s="111">
        <v>0</v>
      </c>
      <c r="AK452" s="112">
        <v>0</v>
      </c>
      <c r="AL452" s="111">
        <v>0</v>
      </c>
      <c r="AM452" s="112">
        <v>0</v>
      </c>
      <c r="AN452" s="111">
        <v>2</v>
      </c>
      <c r="AO452" s="112">
        <v>100</v>
      </c>
      <c r="AP452" s="111">
        <v>2</v>
      </c>
    </row>
    <row r="453" spans="1:42" ht="15">
      <c r="A453" s="65" t="s">
        <v>568</v>
      </c>
      <c r="B453" s="65" t="s">
        <v>573</v>
      </c>
      <c r="C453" s="66" t="s">
        <v>4651</v>
      </c>
      <c r="D453" s="67">
        <v>3</v>
      </c>
      <c r="E453" s="68"/>
      <c r="F453" s="69">
        <v>40</v>
      </c>
      <c r="G453" s="66"/>
      <c r="H453" s="70"/>
      <c r="I453" s="71"/>
      <c r="J453" s="71"/>
      <c r="K453" s="35" t="s">
        <v>65</v>
      </c>
      <c r="L453" s="79">
        <v>453</v>
      </c>
      <c r="M453" s="79"/>
      <c r="N453" s="73"/>
      <c r="O453" s="81" t="s">
        <v>845</v>
      </c>
      <c r="P453" s="81" t="s">
        <v>847</v>
      </c>
      <c r="Q453" s="84" t="s">
        <v>1277</v>
      </c>
      <c r="R453" s="81" t="s">
        <v>568</v>
      </c>
      <c r="S453" s="81" t="s">
        <v>1927</v>
      </c>
      <c r="T453" s="86" t="str">
        <f>HYPERLINK("http://www.youtube.com/channel/UCnel0MQOYp2zx5oJevfESdQ")</f>
        <v>http://www.youtube.com/channel/UCnel0MQOYp2zx5oJevfESdQ</v>
      </c>
      <c r="U453" s="81" t="s">
        <v>2256</v>
      </c>
      <c r="V453" s="81" t="s">
        <v>2327</v>
      </c>
      <c r="W453" s="86" t="str">
        <f>HYPERLINK("https://www.youtube.com/watch?v=")</f>
        <v>https://www.youtube.com/watch?v=</v>
      </c>
      <c r="X453" s="81" t="s">
        <v>2349</v>
      </c>
      <c r="Y453" s="81">
        <v>0</v>
      </c>
      <c r="Z453" s="88">
        <v>43597.686956018515</v>
      </c>
      <c r="AA453" s="88">
        <v>43597.686956018515</v>
      </c>
      <c r="AB453" s="81"/>
      <c r="AC453" s="81"/>
      <c r="AD453" s="84" t="s">
        <v>2390</v>
      </c>
      <c r="AE453" s="82">
        <v>1</v>
      </c>
      <c r="AF453" s="83" t="str">
        <f>REPLACE(INDEX(GroupVertices[Group],MATCH(Edges[[#This Row],[Vertex 1]],GroupVertices[Vertex],0)),1,1,"")</f>
        <v>14</v>
      </c>
      <c r="AG453" s="83" t="str">
        <f>REPLACE(INDEX(GroupVertices[Group],MATCH(Edges[[#This Row],[Vertex 2]],GroupVertices[Vertex],0)),1,1,"")</f>
        <v>14</v>
      </c>
      <c r="AH453" s="111">
        <v>0</v>
      </c>
      <c r="AI453" s="112">
        <v>0</v>
      </c>
      <c r="AJ453" s="111">
        <v>0</v>
      </c>
      <c r="AK453" s="112">
        <v>0</v>
      </c>
      <c r="AL453" s="111">
        <v>0</v>
      </c>
      <c r="AM453" s="112">
        <v>0</v>
      </c>
      <c r="AN453" s="111">
        <v>3</v>
      </c>
      <c r="AO453" s="112">
        <v>100</v>
      </c>
      <c r="AP453" s="111">
        <v>3</v>
      </c>
    </row>
    <row r="454" spans="1:42" ht="15">
      <c r="A454" s="65" t="s">
        <v>569</v>
      </c>
      <c r="B454" s="65" t="s">
        <v>573</v>
      </c>
      <c r="C454" s="66" t="s">
        <v>4651</v>
      </c>
      <c r="D454" s="67">
        <v>3</v>
      </c>
      <c r="E454" s="68"/>
      <c r="F454" s="69">
        <v>40</v>
      </c>
      <c r="G454" s="66"/>
      <c r="H454" s="70"/>
      <c r="I454" s="71"/>
      <c r="J454" s="71"/>
      <c r="K454" s="35" t="s">
        <v>65</v>
      </c>
      <c r="L454" s="79">
        <v>454</v>
      </c>
      <c r="M454" s="79"/>
      <c r="N454" s="73"/>
      <c r="O454" s="81" t="s">
        <v>845</v>
      </c>
      <c r="P454" s="81" t="s">
        <v>847</v>
      </c>
      <c r="Q454" s="84" t="s">
        <v>1278</v>
      </c>
      <c r="R454" s="81" t="s">
        <v>569</v>
      </c>
      <c r="S454" s="81" t="s">
        <v>1928</v>
      </c>
      <c r="T454" s="86" t="str">
        <f>HYPERLINK("http://www.youtube.com/channel/UCqdoIk8MC9vfjbsCoO3uk0g")</f>
        <v>http://www.youtube.com/channel/UCqdoIk8MC9vfjbsCoO3uk0g</v>
      </c>
      <c r="U454" s="81" t="s">
        <v>2256</v>
      </c>
      <c r="V454" s="81" t="s">
        <v>2327</v>
      </c>
      <c r="W454" s="86" t="str">
        <f>HYPERLINK("https://www.youtube.com/watch?v=")</f>
        <v>https://www.youtube.com/watch?v=</v>
      </c>
      <c r="X454" s="81" t="s">
        <v>2349</v>
      </c>
      <c r="Y454" s="81">
        <v>6</v>
      </c>
      <c r="Z454" s="88">
        <v>43598.632743055554</v>
      </c>
      <c r="AA454" s="88">
        <v>43598.632743055554</v>
      </c>
      <c r="AB454" s="81"/>
      <c r="AC454" s="81"/>
      <c r="AD454" s="84" t="s">
        <v>2390</v>
      </c>
      <c r="AE454" s="82">
        <v>1</v>
      </c>
      <c r="AF454" s="83" t="str">
        <f>REPLACE(INDEX(GroupVertices[Group],MATCH(Edges[[#This Row],[Vertex 1]],GroupVertices[Vertex],0)),1,1,"")</f>
        <v>14</v>
      </c>
      <c r="AG454" s="83" t="str">
        <f>REPLACE(INDEX(GroupVertices[Group],MATCH(Edges[[#This Row],[Vertex 2]],GroupVertices[Vertex],0)),1,1,"")</f>
        <v>14</v>
      </c>
      <c r="AH454" s="111">
        <v>1</v>
      </c>
      <c r="AI454" s="112">
        <v>6.25</v>
      </c>
      <c r="AJ454" s="111">
        <v>0</v>
      </c>
      <c r="AK454" s="112">
        <v>0</v>
      </c>
      <c r="AL454" s="111">
        <v>0</v>
      </c>
      <c r="AM454" s="112">
        <v>0</v>
      </c>
      <c r="AN454" s="111">
        <v>15</v>
      </c>
      <c r="AO454" s="112">
        <v>93.75</v>
      </c>
      <c r="AP454" s="111">
        <v>16</v>
      </c>
    </row>
    <row r="455" spans="1:42" ht="15">
      <c r="A455" s="65" t="s">
        <v>570</v>
      </c>
      <c r="B455" s="65" t="s">
        <v>573</v>
      </c>
      <c r="C455" s="66" t="s">
        <v>4651</v>
      </c>
      <c r="D455" s="67">
        <v>3</v>
      </c>
      <c r="E455" s="68"/>
      <c r="F455" s="69">
        <v>40</v>
      </c>
      <c r="G455" s="66"/>
      <c r="H455" s="70"/>
      <c r="I455" s="71"/>
      <c r="J455" s="71"/>
      <c r="K455" s="35" t="s">
        <v>65</v>
      </c>
      <c r="L455" s="79">
        <v>455</v>
      </c>
      <c r="M455" s="79"/>
      <c r="N455" s="73"/>
      <c r="O455" s="81" t="s">
        <v>845</v>
      </c>
      <c r="P455" s="81" t="s">
        <v>847</v>
      </c>
      <c r="Q455" s="84" t="s">
        <v>1279</v>
      </c>
      <c r="R455" s="81" t="s">
        <v>570</v>
      </c>
      <c r="S455" s="81" t="s">
        <v>1929</v>
      </c>
      <c r="T455" s="86" t="str">
        <f>HYPERLINK("http://www.youtube.com/channel/UC9G7xSI0mqIN9LsJHfZwMGg")</f>
        <v>http://www.youtube.com/channel/UC9G7xSI0mqIN9LsJHfZwMGg</v>
      </c>
      <c r="U455" s="81" t="s">
        <v>2256</v>
      </c>
      <c r="V455" s="81" t="s">
        <v>2327</v>
      </c>
      <c r="W455" s="86" t="str">
        <f>HYPERLINK("https://www.youtube.com/watch?v=")</f>
        <v>https://www.youtube.com/watch?v=</v>
      </c>
      <c r="X455" s="81" t="s">
        <v>2349</v>
      </c>
      <c r="Y455" s="81">
        <v>1</v>
      </c>
      <c r="Z455" s="88">
        <v>43598.85916666667</v>
      </c>
      <c r="AA455" s="88">
        <v>43598.85916666667</v>
      </c>
      <c r="AB455" s="81"/>
      <c r="AC455" s="81"/>
      <c r="AD455" s="84" t="s">
        <v>2390</v>
      </c>
      <c r="AE455" s="82">
        <v>1</v>
      </c>
      <c r="AF455" s="83" t="str">
        <f>REPLACE(INDEX(GroupVertices[Group],MATCH(Edges[[#This Row],[Vertex 1]],GroupVertices[Vertex],0)),1,1,"")</f>
        <v>14</v>
      </c>
      <c r="AG455" s="83" t="str">
        <f>REPLACE(INDEX(GroupVertices[Group],MATCH(Edges[[#This Row],[Vertex 2]],GroupVertices[Vertex],0)),1,1,"")</f>
        <v>14</v>
      </c>
      <c r="AH455" s="111">
        <v>2</v>
      </c>
      <c r="AI455" s="112">
        <v>33.333333333333336</v>
      </c>
      <c r="AJ455" s="111">
        <v>0</v>
      </c>
      <c r="AK455" s="112">
        <v>0</v>
      </c>
      <c r="AL455" s="111">
        <v>0</v>
      </c>
      <c r="AM455" s="112">
        <v>0</v>
      </c>
      <c r="AN455" s="111">
        <v>4</v>
      </c>
      <c r="AO455" s="112">
        <v>66.66666666666667</v>
      </c>
      <c r="AP455" s="111">
        <v>6</v>
      </c>
    </row>
    <row r="456" spans="1:42" ht="15">
      <c r="A456" s="65" t="s">
        <v>571</v>
      </c>
      <c r="B456" s="65" t="s">
        <v>573</v>
      </c>
      <c r="C456" s="66" t="s">
        <v>4651</v>
      </c>
      <c r="D456" s="67">
        <v>3</v>
      </c>
      <c r="E456" s="68"/>
      <c r="F456" s="69">
        <v>40</v>
      </c>
      <c r="G456" s="66"/>
      <c r="H456" s="70"/>
      <c r="I456" s="71"/>
      <c r="J456" s="71"/>
      <c r="K456" s="35" t="s">
        <v>65</v>
      </c>
      <c r="L456" s="79">
        <v>456</v>
      </c>
      <c r="M456" s="79"/>
      <c r="N456" s="73"/>
      <c r="O456" s="81" t="s">
        <v>845</v>
      </c>
      <c r="P456" s="81" t="s">
        <v>847</v>
      </c>
      <c r="Q456" s="84" t="s">
        <v>1280</v>
      </c>
      <c r="R456" s="81" t="s">
        <v>571</v>
      </c>
      <c r="S456" s="81" t="s">
        <v>1930</v>
      </c>
      <c r="T456" s="86" t="str">
        <f>HYPERLINK("http://www.youtube.com/channel/UC3omO0nu_NbAJgtlCiYCNfg")</f>
        <v>http://www.youtube.com/channel/UC3omO0nu_NbAJgtlCiYCNfg</v>
      </c>
      <c r="U456" s="81" t="s">
        <v>2256</v>
      </c>
      <c r="V456" s="81" t="s">
        <v>2327</v>
      </c>
      <c r="W456" s="86" t="str">
        <f>HYPERLINK("https://www.youtube.com/watch?v=")</f>
        <v>https://www.youtube.com/watch?v=</v>
      </c>
      <c r="X456" s="81" t="s">
        <v>2349</v>
      </c>
      <c r="Y456" s="81">
        <v>2</v>
      </c>
      <c r="Z456" s="88">
        <v>43598.92621527778</v>
      </c>
      <c r="AA456" s="88">
        <v>43598.92621527778</v>
      </c>
      <c r="AB456" s="81" t="s">
        <v>2371</v>
      </c>
      <c r="AC456" s="81" t="s">
        <v>2379</v>
      </c>
      <c r="AD456" s="84" t="s">
        <v>2390</v>
      </c>
      <c r="AE456" s="82">
        <v>1</v>
      </c>
      <c r="AF456" s="83" t="str">
        <f>REPLACE(INDEX(GroupVertices[Group],MATCH(Edges[[#This Row],[Vertex 1]],GroupVertices[Vertex],0)),1,1,"")</f>
        <v>14</v>
      </c>
      <c r="AG456" s="83" t="str">
        <f>REPLACE(INDEX(GroupVertices[Group],MATCH(Edges[[#This Row],[Vertex 2]],GroupVertices[Vertex],0)),1,1,"")</f>
        <v>14</v>
      </c>
      <c r="AH456" s="111">
        <v>1</v>
      </c>
      <c r="AI456" s="112">
        <v>3.125</v>
      </c>
      <c r="AJ456" s="111">
        <v>1</v>
      </c>
      <c r="AK456" s="112">
        <v>3.125</v>
      </c>
      <c r="AL456" s="111">
        <v>0</v>
      </c>
      <c r="AM456" s="112">
        <v>0</v>
      </c>
      <c r="AN456" s="111">
        <v>30</v>
      </c>
      <c r="AO456" s="112">
        <v>93.75</v>
      </c>
      <c r="AP456" s="111">
        <v>32</v>
      </c>
    </row>
    <row r="457" spans="1:42" ht="15">
      <c r="A457" s="65" t="s">
        <v>572</v>
      </c>
      <c r="B457" s="65" t="s">
        <v>573</v>
      </c>
      <c r="C457" s="66" t="s">
        <v>4651</v>
      </c>
      <c r="D457" s="67">
        <v>3</v>
      </c>
      <c r="E457" s="68"/>
      <c r="F457" s="69">
        <v>40</v>
      </c>
      <c r="G457" s="66"/>
      <c r="H457" s="70"/>
      <c r="I457" s="71"/>
      <c r="J457" s="71"/>
      <c r="K457" s="35" t="s">
        <v>65</v>
      </c>
      <c r="L457" s="79">
        <v>457</v>
      </c>
      <c r="M457" s="79"/>
      <c r="N457" s="73"/>
      <c r="O457" s="81" t="s">
        <v>845</v>
      </c>
      <c r="P457" s="81" t="s">
        <v>847</v>
      </c>
      <c r="Q457" s="84" t="s">
        <v>1281</v>
      </c>
      <c r="R457" s="81" t="s">
        <v>572</v>
      </c>
      <c r="S457" s="81" t="s">
        <v>1931</v>
      </c>
      <c r="T457" s="86" t="str">
        <f>HYPERLINK("http://www.youtube.com/channel/UC-6e6b2pE7UUiqPc1tH889w")</f>
        <v>http://www.youtube.com/channel/UC-6e6b2pE7UUiqPc1tH889w</v>
      </c>
      <c r="U457" s="81" t="s">
        <v>2256</v>
      </c>
      <c r="V457" s="81" t="s">
        <v>2327</v>
      </c>
      <c r="W457" s="86" t="str">
        <f>HYPERLINK("https://www.youtube.com/watch?v=")</f>
        <v>https://www.youtube.com/watch?v=</v>
      </c>
      <c r="X457" s="81" t="s">
        <v>2349</v>
      </c>
      <c r="Y457" s="81">
        <v>2</v>
      </c>
      <c r="Z457" s="88">
        <v>43599.72162037037</v>
      </c>
      <c r="AA457" s="88">
        <v>43599.72162037037</v>
      </c>
      <c r="AB457" s="81"/>
      <c r="AC457" s="81"/>
      <c r="AD457" s="84" t="s">
        <v>2390</v>
      </c>
      <c r="AE457" s="82">
        <v>1</v>
      </c>
      <c r="AF457" s="83" t="str">
        <f>REPLACE(INDEX(GroupVertices[Group],MATCH(Edges[[#This Row],[Vertex 1]],GroupVertices[Vertex],0)),1,1,"")</f>
        <v>14</v>
      </c>
      <c r="AG457" s="83" t="str">
        <f>REPLACE(INDEX(GroupVertices[Group],MATCH(Edges[[#This Row],[Vertex 2]],GroupVertices[Vertex],0)),1,1,"")</f>
        <v>14</v>
      </c>
      <c r="AH457" s="111">
        <v>3</v>
      </c>
      <c r="AI457" s="112">
        <v>27.272727272727273</v>
      </c>
      <c r="AJ457" s="111">
        <v>0</v>
      </c>
      <c r="AK457" s="112">
        <v>0</v>
      </c>
      <c r="AL457" s="111">
        <v>0</v>
      </c>
      <c r="AM457" s="112">
        <v>0</v>
      </c>
      <c r="AN457" s="111">
        <v>8</v>
      </c>
      <c r="AO457" s="112">
        <v>72.72727272727273</v>
      </c>
      <c r="AP457" s="111">
        <v>11</v>
      </c>
    </row>
    <row r="458" spans="1:42" ht="15">
      <c r="A458" s="65" t="s">
        <v>573</v>
      </c>
      <c r="B458" s="65" t="s">
        <v>553</v>
      </c>
      <c r="C458" s="66" t="s">
        <v>4651</v>
      </c>
      <c r="D458" s="67">
        <v>3</v>
      </c>
      <c r="E458" s="68"/>
      <c r="F458" s="69">
        <v>40</v>
      </c>
      <c r="G458" s="66"/>
      <c r="H458" s="70"/>
      <c r="I458" s="71"/>
      <c r="J458" s="71"/>
      <c r="K458" s="35" t="s">
        <v>65</v>
      </c>
      <c r="L458" s="79">
        <v>458</v>
      </c>
      <c r="M458" s="79"/>
      <c r="N458" s="73"/>
      <c r="O458" s="81" t="s">
        <v>844</v>
      </c>
      <c r="P458" s="81" t="s">
        <v>199</v>
      </c>
      <c r="Q458" s="84" t="s">
        <v>1282</v>
      </c>
      <c r="R458" s="81" t="s">
        <v>573</v>
      </c>
      <c r="S458" s="81" t="s">
        <v>1932</v>
      </c>
      <c r="T458" s="86" t="str">
        <f>HYPERLINK("http://www.youtube.com/channel/UC9li3kbNdNCR0oU7L21LLpQ")</f>
        <v>http://www.youtube.com/channel/UC9li3kbNdNCR0oU7L21LLpQ</v>
      </c>
      <c r="U458" s="81"/>
      <c r="V458" s="81" t="s">
        <v>2327</v>
      </c>
      <c r="W458" s="86" t="str">
        <f>HYPERLINK("https://www.youtube.com/watch?v=H6DrSG_KQjo")</f>
        <v>https://www.youtube.com/watch?v=H6DrSG_KQjo</v>
      </c>
      <c r="X458" s="81" t="s">
        <v>2349</v>
      </c>
      <c r="Y458" s="81">
        <v>98</v>
      </c>
      <c r="Z458" s="88">
        <v>43596.92481481482</v>
      </c>
      <c r="AA458" s="88">
        <v>43596.92481481482</v>
      </c>
      <c r="AB458" s="81"/>
      <c r="AC458" s="81"/>
      <c r="AD458" s="84" t="s">
        <v>2390</v>
      </c>
      <c r="AE458" s="82">
        <v>1</v>
      </c>
      <c r="AF458" s="83" t="str">
        <f>REPLACE(INDEX(GroupVertices[Group],MATCH(Edges[[#This Row],[Vertex 1]],GroupVertices[Vertex],0)),1,1,"")</f>
        <v>14</v>
      </c>
      <c r="AG458" s="83" t="str">
        <f>REPLACE(INDEX(GroupVertices[Group],MATCH(Edges[[#This Row],[Vertex 2]],GroupVertices[Vertex],0)),1,1,"")</f>
        <v>1</v>
      </c>
      <c r="AH458" s="111">
        <v>0</v>
      </c>
      <c r="AI458" s="112">
        <v>0</v>
      </c>
      <c r="AJ458" s="111">
        <v>0</v>
      </c>
      <c r="AK458" s="112">
        <v>0</v>
      </c>
      <c r="AL458" s="111">
        <v>0</v>
      </c>
      <c r="AM458" s="112">
        <v>0</v>
      </c>
      <c r="AN458" s="111">
        <v>17</v>
      </c>
      <c r="AO458" s="112">
        <v>100</v>
      </c>
      <c r="AP458" s="111">
        <v>17</v>
      </c>
    </row>
    <row r="459" spans="1:42" ht="15">
      <c r="A459" s="65" t="s">
        <v>574</v>
      </c>
      <c r="B459" s="65" t="s">
        <v>553</v>
      </c>
      <c r="C459" s="66" t="s">
        <v>4651</v>
      </c>
      <c r="D459" s="67">
        <v>3</v>
      </c>
      <c r="E459" s="68"/>
      <c r="F459" s="69">
        <v>40</v>
      </c>
      <c r="G459" s="66"/>
      <c r="H459" s="70"/>
      <c r="I459" s="71"/>
      <c r="J459" s="71"/>
      <c r="K459" s="35" t="s">
        <v>65</v>
      </c>
      <c r="L459" s="79">
        <v>459</v>
      </c>
      <c r="M459" s="79"/>
      <c r="N459" s="73"/>
      <c r="O459" s="81" t="s">
        <v>844</v>
      </c>
      <c r="P459" s="81" t="s">
        <v>199</v>
      </c>
      <c r="Q459" s="84" t="s">
        <v>1283</v>
      </c>
      <c r="R459" s="81" t="s">
        <v>574</v>
      </c>
      <c r="S459" s="81" t="s">
        <v>1933</v>
      </c>
      <c r="T459" s="86" t="str">
        <f>HYPERLINK("http://www.youtube.com/channel/UCVl4b1QLIzWZtTYH1mTH8iQ")</f>
        <v>http://www.youtube.com/channel/UCVl4b1QLIzWZtTYH1mTH8iQ</v>
      </c>
      <c r="U459" s="81"/>
      <c r="V459" s="81" t="s">
        <v>2327</v>
      </c>
      <c r="W459" s="86" t="str">
        <f>HYPERLINK("https://www.youtube.com/watch?v=H6DrSG_KQjo")</f>
        <v>https://www.youtube.com/watch?v=H6DrSG_KQjo</v>
      </c>
      <c r="X459" s="81" t="s">
        <v>2349</v>
      </c>
      <c r="Y459" s="81">
        <v>1</v>
      </c>
      <c r="Z459" s="88">
        <v>43597.74979166667</v>
      </c>
      <c r="AA459" s="88">
        <v>43597.74979166667</v>
      </c>
      <c r="AB459" s="81"/>
      <c r="AC459" s="81"/>
      <c r="AD459" s="84" t="s">
        <v>2390</v>
      </c>
      <c r="AE459" s="82">
        <v>1</v>
      </c>
      <c r="AF459" s="83" t="str">
        <f>REPLACE(INDEX(GroupVertices[Group],MATCH(Edges[[#This Row],[Vertex 1]],GroupVertices[Vertex],0)),1,1,"")</f>
        <v>1</v>
      </c>
      <c r="AG459" s="83" t="str">
        <f>REPLACE(INDEX(GroupVertices[Group],MATCH(Edges[[#This Row],[Vertex 2]],GroupVertices[Vertex],0)),1,1,"")</f>
        <v>1</v>
      </c>
      <c r="AH459" s="111">
        <v>0</v>
      </c>
      <c r="AI459" s="112">
        <v>0</v>
      </c>
      <c r="AJ459" s="111">
        <v>0</v>
      </c>
      <c r="AK459" s="112">
        <v>0</v>
      </c>
      <c r="AL459" s="111">
        <v>0</v>
      </c>
      <c r="AM459" s="112">
        <v>0</v>
      </c>
      <c r="AN459" s="111">
        <v>2</v>
      </c>
      <c r="AO459" s="112">
        <v>100</v>
      </c>
      <c r="AP459" s="111">
        <v>2</v>
      </c>
    </row>
    <row r="460" spans="1:42" ht="15">
      <c r="A460" s="65" t="s">
        <v>575</v>
      </c>
      <c r="B460" s="65" t="s">
        <v>553</v>
      </c>
      <c r="C460" s="66" t="s">
        <v>4651</v>
      </c>
      <c r="D460" s="67">
        <v>3</v>
      </c>
      <c r="E460" s="68"/>
      <c r="F460" s="69">
        <v>40</v>
      </c>
      <c r="G460" s="66"/>
      <c r="H460" s="70"/>
      <c r="I460" s="71"/>
      <c r="J460" s="71"/>
      <c r="K460" s="35" t="s">
        <v>65</v>
      </c>
      <c r="L460" s="79">
        <v>460</v>
      </c>
      <c r="M460" s="79"/>
      <c r="N460" s="73"/>
      <c r="O460" s="81" t="s">
        <v>844</v>
      </c>
      <c r="P460" s="81" t="s">
        <v>199</v>
      </c>
      <c r="Q460" s="84" t="s">
        <v>1284</v>
      </c>
      <c r="R460" s="81" t="s">
        <v>575</v>
      </c>
      <c r="S460" s="81" t="s">
        <v>1934</v>
      </c>
      <c r="T460" s="86" t="str">
        <f>HYPERLINK("http://www.youtube.com/channel/UCyhN-Q3ELXlH6afNYd3ROoA")</f>
        <v>http://www.youtube.com/channel/UCyhN-Q3ELXlH6afNYd3ROoA</v>
      </c>
      <c r="U460" s="81"/>
      <c r="V460" s="81" t="s">
        <v>2327</v>
      </c>
      <c r="W460" s="86" t="str">
        <f>HYPERLINK("https://www.youtube.com/watch?v=H6DrSG_KQjo")</f>
        <v>https://www.youtube.com/watch?v=H6DrSG_KQjo</v>
      </c>
      <c r="X460" s="81" t="s">
        <v>2349</v>
      </c>
      <c r="Y460" s="81">
        <v>3</v>
      </c>
      <c r="Z460" s="88">
        <v>43598.91670138889</v>
      </c>
      <c r="AA460" s="88">
        <v>43598.91670138889</v>
      </c>
      <c r="AB460" s="81"/>
      <c r="AC460" s="81"/>
      <c r="AD460" s="84" t="s">
        <v>2390</v>
      </c>
      <c r="AE460" s="82">
        <v>1</v>
      </c>
      <c r="AF460" s="83" t="str">
        <f>REPLACE(INDEX(GroupVertices[Group],MATCH(Edges[[#This Row],[Vertex 1]],GroupVertices[Vertex],0)),1,1,"")</f>
        <v>1</v>
      </c>
      <c r="AG460" s="83" t="str">
        <f>REPLACE(INDEX(GroupVertices[Group],MATCH(Edges[[#This Row],[Vertex 2]],GroupVertices[Vertex],0)),1,1,"")</f>
        <v>1</v>
      </c>
      <c r="AH460" s="111">
        <v>0</v>
      </c>
      <c r="AI460" s="112">
        <v>0</v>
      </c>
      <c r="AJ460" s="111">
        <v>0</v>
      </c>
      <c r="AK460" s="112">
        <v>0</v>
      </c>
      <c r="AL460" s="111">
        <v>0</v>
      </c>
      <c r="AM460" s="112">
        <v>0</v>
      </c>
      <c r="AN460" s="111">
        <v>15</v>
      </c>
      <c r="AO460" s="112">
        <v>100</v>
      </c>
      <c r="AP460" s="111">
        <v>15</v>
      </c>
    </row>
    <row r="461" spans="1:42" ht="15">
      <c r="A461" s="65" t="s">
        <v>576</v>
      </c>
      <c r="B461" s="65" t="s">
        <v>553</v>
      </c>
      <c r="C461" s="66" t="s">
        <v>4651</v>
      </c>
      <c r="D461" s="67">
        <v>3</v>
      </c>
      <c r="E461" s="68"/>
      <c r="F461" s="69">
        <v>40</v>
      </c>
      <c r="G461" s="66"/>
      <c r="H461" s="70"/>
      <c r="I461" s="71"/>
      <c r="J461" s="71"/>
      <c r="K461" s="35" t="s">
        <v>65</v>
      </c>
      <c r="L461" s="79">
        <v>461</v>
      </c>
      <c r="M461" s="79"/>
      <c r="N461" s="73"/>
      <c r="O461" s="81" t="s">
        <v>844</v>
      </c>
      <c r="P461" s="81" t="s">
        <v>199</v>
      </c>
      <c r="Q461" s="84" t="s">
        <v>1285</v>
      </c>
      <c r="R461" s="81" t="s">
        <v>576</v>
      </c>
      <c r="S461" s="81" t="s">
        <v>1935</v>
      </c>
      <c r="T461" s="86" t="str">
        <f>HYPERLINK("http://www.youtube.com/channel/UCVHDuJ-ytBhl_DEz35zaLfQ")</f>
        <v>http://www.youtube.com/channel/UCVHDuJ-ytBhl_DEz35zaLfQ</v>
      </c>
      <c r="U461" s="81"/>
      <c r="V461" s="81" t="s">
        <v>2327</v>
      </c>
      <c r="W461" s="86" t="str">
        <f>HYPERLINK("https://www.youtube.com/watch?v=H6DrSG_KQjo")</f>
        <v>https://www.youtube.com/watch?v=H6DrSG_KQjo</v>
      </c>
      <c r="X461" s="81" t="s">
        <v>2349</v>
      </c>
      <c r="Y461" s="81">
        <v>1</v>
      </c>
      <c r="Z461" s="88">
        <v>43599.439884259256</v>
      </c>
      <c r="AA461" s="88">
        <v>43599.439884259256</v>
      </c>
      <c r="AB461" s="81"/>
      <c r="AC461" s="81"/>
      <c r="AD461" s="84" t="s">
        <v>2390</v>
      </c>
      <c r="AE461" s="82">
        <v>1</v>
      </c>
      <c r="AF461" s="83" t="str">
        <f>REPLACE(INDEX(GroupVertices[Group],MATCH(Edges[[#This Row],[Vertex 1]],GroupVertices[Vertex],0)),1,1,"")</f>
        <v>1</v>
      </c>
      <c r="AG461" s="83" t="str">
        <f>REPLACE(INDEX(GroupVertices[Group],MATCH(Edges[[#This Row],[Vertex 2]],GroupVertices[Vertex],0)),1,1,"")</f>
        <v>1</v>
      </c>
      <c r="AH461" s="111">
        <v>0</v>
      </c>
      <c r="AI461" s="112">
        <v>0</v>
      </c>
      <c r="AJ461" s="111">
        <v>0</v>
      </c>
      <c r="AK461" s="112">
        <v>0</v>
      </c>
      <c r="AL461" s="111">
        <v>0</v>
      </c>
      <c r="AM461" s="112">
        <v>0</v>
      </c>
      <c r="AN461" s="111">
        <v>9</v>
      </c>
      <c r="AO461" s="112">
        <v>100</v>
      </c>
      <c r="AP461" s="111">
        <v>9</v>
      </c>
    </row>
    <row r="462" spans="1:42" ht="15">
      <c r="A462" s="65" t="s">
        <v>577</v>
      </c>
      <c r="B462" s="65" t="s">
        <v>553</v>
      </c>
      <c r="C462" s="66" t="s">
        <v>4651</v>
      </c>
      <c r="D462" s="67">
        <v>3</v>
      </c>
      <c r="E462" s="68"/>
      <c r="F462" s="69">
        <v>40</v>
      </c>
      <c r="G462" s="66"/>
      <c r="H462" s="70"/>
      <c r="I462" s="71"/>
      <c r="J462" s="71"/>
      <c r="K462" s="35" t="s">
        <v>65</v>
      </c>
      <c r="L462" s="79">
        <v>462</v>
      </c>
      <c r="M462" s="79"/>
      <c r="N462" s="73"/>
      <c r="O462" s="81" t="s">
        <v>844</v>
      </c>
      <c r="P462" s="81" t="s">
        <v>199</v>
      </c>
      <c r="Q462" s="84" t="s">
        <v>1286</v>
      </c>
      <c r="R462" s="81" t="s">
        <v>577</v>
      </c>
      <c r="S462" s="81" t="s">
        <v>1936</v>
      </c>
      <c r="T462" s="86" t="str">
        <f>HYPERLINK("http://www.youtube.com/channel/UCz9ZLCXJVEG2J7hg_BNZKxg")</f>
        <v>http://www.youtube.com/channel/UCz9ZLCXJVEG2J7hg_BNZKxg</v>
      </c>
      <c r="U462" s="81"/>
      <c r="V462" s="81" t="s">
        <v>2327</v>
      </c>
      <c r="W462" s="86" t="str">
        <f>HYPERLINK("https://www.youtube.com/watch?v=H6DrSG_KQjo")</f>
        <v>https://www.youtube.com/watch?v=H6DrSG_KQjo</v>
      </c>
      <c r="X462" s="81" t="s">
        <v>2349</v>
      </c>
      <c r="Y462" s="81">
        <v>27</v>
      </c>
      <c r="Z462" s="88">
        <v>43599.54981481482</v>
      </c>
      <c r="AA462" s="88">
        <v>43599.54981481482</v>
      </c>
      <c r="AB462" s="81"/>
      <c r="AC462" s="81"/>
      <c r="AD462" s="84" t="s">
        <v>2390</v>
      </c>
      <c r="AE462" s="82">
        <v>1</v>
      </c>
      <c r="AF462" s="83" t="str">
        <f>REPLACE(INDEX(GroupVertices[Group],MATCH(Edges[[#This Row],[Vertex 1]],GroupVertices[Vertex],0)),1,1,"")</f>
        <v>1</v>
      </c>
      <c r="AG462" s="83" t="str">
        <f>REPLACE(INDEX(GroupVertices[Group],MATCH(Edges[[#This Row],[Vertex 2]],GroupVertices[Vertex],0)),1,1,"")</f>
        <v>1</v>
      </c>
      <c r="AH462" s="111">
        <v>0</v>
      </c>
      <c r="AI462" s="112">
        <v>0</v>
      </c>
      <c r="AJ462" s="111">
        <v>1</v>
      </c>
      <c r="AK462" s="112">
        <v>20</v>
      </c>
      <c r="AL462" s="111">
        <v>0</v>
      </c>
      <c r="AM462" s="112">
        <v>0</v>
      </c>
      <c r="AN462" s="111">
        <v>4</v>
      </c>
      <c r="AO462" s="112">
        <v>80</v>
      </c>
      <c r="AP462" s="111">
        <v>5</v>
      </c>
    </row>
    <row r="463" spans="1:42" ht="15">
      <c r="A463" s="65" t="s">
        <v>578</v>
      </c>
      <c r="B463" s="65" t="s">
        <v>579</v>
      </c>
      <c r="C463" s="66" t="s">
        <v>4651</v>
      </c>
      <c r="D463" s="67">
        <v>3</v>
      </c>
      <c r="E463" s="68"/>
      <c r="F463" s="69">
        <v>40</v>
      </c>
      <c r="G463" s="66"/>
      <c r="H463" s="70"/>
      <c r="I463" s="71"/>
      <c r="J463" s="71"/>
      <c r="K463" s="35" t="s">
        <v>65</v>
      </c>
      <c r="L463" s="79">
        <v>463</v>
      </c>
      <c r="M463" s="79"/>
      <c r="N463" s="73"/>
      <c r="O463" s="81" t="s">
        <v>845</v>
      </c>
      <c r="P463" s="81" t="s">
        <v>847</v>
      </c>
      <c r="Q463" s="84" t="s">
        <v>1287</v>
      </c>
      <c r="R463" s="81" t="s">
        <v>578</v>
      </c>
      <c r="S463" s="81" t="s">
        <v>1937</v>
      </c>
      <c r="T463" s="86" t="str">
        <f>HYPERLINK("http://www.youtube.com/channel/UCIwKnDAfblyJMIMh8StSEeg")</f>
        <v>http://www.youtube.com/channel/UCIwKnDAfblyJMIMh8StSEeg</v>
      </c>
      <c r="U463" s="81" t="s">
        <v>2257</v>
      </c>
      <c r="V463" s="81" t="s">
        <v>2327</v>
      </c>
      <c r="W463" s="86" t="str">
        <f>HYPERLINK("https://www.youtube.com/watch?v=H6DrSG_KQjo")</f>
        <v>https://www.youtube.com/watch?v=H6DrSG_KQjo</v>
      </c>
      <c r="X463" s="81" t="s">
        <v>2349</v>
      </c>
      <c r="Y463" s="81">
        <v>0</v>
      </c>
      <c r="Z463" s="88">
        <v>44153.86344907407</v>
      </c>
      <c r="AA463" s="88">
        <v>44153.86344907407</v>
      </c>
      <c r="AB463" s="81"/>
      <c r="AC463" s="81"/>
      <c r="AD463" s="84" t="s">
        <v>2390</v>
      </c>
      <c r="AE463" s="82">
        <v>1</v>
      </c>
      <c r="AF463" s="83" t="str">
        <f>REPLACE(INDEX(GroupVertices[Group],MATCH(Edges[[#This Row],[Vertex 1]],GroupVertices[Vertex],0)),1,1,"")</f>
        <v>1</v>
      </c>
      <c r="AG463" s="83" t="str">
        <f>REPLACE(INDEX(GroupVertices[Group],MATCH(Edges[[#This Row],[Vertex 2]],GroupVertices[Vertex],0)),1,1,"")</f>
        <v>1</v>
      </c>
      <c r="AH463" s="111">
        <v>0</v>
      </c>
      <c r="AI463" s="112">
        <v>0</v>
      </c>
      <c r="AJ463" s="111">
        <v>0</v>
      </c>
      <c r="AK463" s="112">
        <v>0</v>
      </c>
      <c r="AL463" s="111">
        <v>0</v>
      </c>
      <c r="AM463" s="112">
        <v>0</v>
      </c>
      <c r="AN463" s="111">
        <v>4</v>
      </c>
      <c r="AO463" s="112">
        <v>100</v>
      </c>
      <c r="AP463" s="111">
        <v>4</v>
      </c>
    </row>
    <row r="464" spans="1:42" ht="15">
      <c r="A464" s="65" t="s">
        <v>579</v>
      </c>
      <c r="B464" s="65" t="s">
        <v>553</v>
      </c>
      <c r="C464" s="66" t="s">
        <v>4651</v>
      </c>
      <c r="D464" s="67">
        <v>3</v>
      </c>
      <c r="E464" s="68"/>
      <c r="F464" s="69">
        <v>40</v>
      </c>
      <c r="G464" s="66"/>
      <c r="H464" s="70"/>
      <c r="I464" s="71"/>
      <c r="J464" s="71"/>
      <c r="K464" s="35" t="s">
        <v>65</v>
      </c>
      <c r="L464" s="79">
        <v>464</v>
      </c>
      <c r="M464" s="79"/>
      <c r="N464" s="73"/>
      <c r="O464" s="81" t="s">
        <v>844</v>
      </c>
      <c r="P464" s="81" t="s">
        <v>199</v>
      </c>
      <c r="Q464" s="84" t="s">
        <v>1288</v>
      </c>
      <c r="R464" s="81" t="s">
        <v>579</v>
      </c>
      <c r="S464" s="81" t="s">
        <v>1938</v>
      </c>
      <c r="T464" s="86" t="str">
        <f>HYPERLINK("http://www.youtube.com/channel/UCjd7LhTYGEOAHC0WoK4GqwQ")</f>
        <v>http://www.youtube.com/channel/UCjd7LhTYGEOAHC0WoK4GqwQ</v>
      </c>
      <c r="U464" s="81"/>
      <c r="V464" s="81" t="s">
        <v>2327</v>
      </c>
      <c r="W464" s="86" t="str">
        <f>HYPERLINK("https://www.youtube.com/watch?v=H6DrSG_KQjo")</f>
        <v>https://www.youtube.com/watch?v=H6DrSG_KQjo</v>
      </c>
      <c r="X464" s="81" t="s">
        <v>2349</v>
      </c>
      <c r="Y464" s="81">
        <v>5</v>
      </c>
      <c r="Z464" s="88">
        <v>43599.82582175926</v>
      </c>
      <c r="AA464" s="88">
        <v>43599.82582175926</v>
      </c>
      <c r="AB464" s="81"/>
      <c r="AC464" s="81"/>
      <c r="AD464" s="84" t="s">
        <v>2390</v>
      </c>
      <c r="AE464" s="82">
        <v>1</v>
      </c>
      <c r="AF464" s="83" t="str">
        <f>REPLACE(INDEX(GroupVertices[Group],MATCH(Edges[[#This Row],[Vertex 1]],GroupVertices[Vertex],0)),1,1,"")</f>
        <v>1</v>
      </c>
      <c r="AG464" s="83" t="str">
        <f>REPLACE(INDEX(GroupVertices[Group],MATCH(Edges[[#This Row],[Vertex 2]],GroupVertices[Vertex],0)),1,1,"")</f>
        <v>1</v>
      </c>
      <c r="AH464" s="111">
        <v>1</v>
      </c>
      <c r="AI464" s="112">
        <v>8.333333333333334</v>
      </c>
      <c r="AJ464" s="111">
        <v>0</v>
      </c>
      <c r="AK464" s="112">
        <v>0</v>
      </c>
      <c r="AL464" s="111">
        <v>0</v>
      </c>
      <c r="AM464" s="112">
        <v>0</v>
      </c>
      <c r="AN464" s="111">
        <v>11</v>
      </c>
      <c r="AO464" s="112">
        <v>91.66666666666667</v>
      </c>
      <c r="AP464" s="111">
        <v>12</v>
      </c>
    </row>
    <row r="465" spans="1:42" ht="15">
      <c r="A465" s="65" t="s">
        <v>580</v>
      </c>
      <c r="B465" s="65" t="s">
        <v>553</v>
      </c>
      <c r="C465" s="66" t="s">
        <v>4651</v>
      </c>
      <c r="D465" s="67">
        <v>3</v>
      </c>
      <c r="E465" s="68"/>
      <c r="F465" s="69">
        <v>40</v>
      </c>
      <c r="G465" s="66"/>
      <c r="H465" s="70"/>
      <c r="I465" s="71"/>
      <c r="J465" s="71"/>
      <c r="K465" s="35" t="s">
        <v>65</v>
      </c>
      <c r="L465" s="79">
        <v>465</v>
      </c>
      <c r="M465" s="79"/>
      <c r="N465" s="73"/>
      <c r="O465" s="81" t="s">
        <v>844</v>
      </c>
      <c r="P465" s="81" t="s">
        <v>199</v>
      </c>
      <c r="Q465" s="84" t="s">
        <v>1289</v>
      </c>
      <c r="R465" s="81" t="s">
        <v>580</v>
      </c>
      <c r="S465" s="81" t="s">
        <v>1939</v>
      </c>
      <c r="T465" s="86" t="str">
        <f>HYPERLINK("http://www.youtube.com/channel/UC5SGVZXo0_bh0zNwR8I5bsw")</f>
        <v>http://www.youtube.com/channel/UC5SGVZXo0_bh0zNwR8I5bsw</v>
      </c>
      <c r="U465" s="81"/>
      <c r="V465" s="81" t="s">
        <v>2327</v>
      </c>
      <c r="W465" s="86" t="str">
        <f>HYPERLINK("https://www.youtube.com/watch?v=H6DrSG_KQjo")</f>
        <v>https://www.youtube.com/watch?v=H6DrSG_KQjo</v>
      </c>
      <c r="X465" s="81" t="s">
        <v>2349</v>
      </c>
      <c r="Y465" s="81">
        <v>10</v>
      </c>
      <c r="Z465" s="88">
        <v>43716.850752314815</v>
      </c>
      <c r="AA465" s="88">
        <v>43716.850752314815</v>
      </c>
      <c r="AB465" s="81"/>
      <c r="AC465" s="81"/>
      <c r="AD465" s="84" t="s">
        <v>2390</v>
      </c>
      <c r="AE465" s="82">
        <v>1</v>
      </c>
      <c r="AF465" s="83" t="str">
        <f>REPLACE(INDEX(GroupVertices[Group],MATCH(Edges[[#This Row],[Vertex 1]],GroupVertices[Vertex],0)),1,1,"")</f>
        <v>1</v>
      </c>
      <c r="AG465" s="83" t="str">
        <f>REPLACE(INDEX(GroupVertices[Group],MATCH(Edges[[#This Row],[Vertex 2]],GroupVertices[Vertex],0)),1,1,"")</f>
        <v>1</v>
      </c>
      <c r="AH465" s="111">
        <v>2</v>
      </c>
      <c r="AI465" s="112">
        <v>18.181818181818183</v>
      </c>
      <c r="AJ465" s="111">
        <v>1</v>
      </c>
      <c r="AK465" s="112">
        <v>9.090909090909092</v>
      </c>
      <c r="AL465" s="111">
        <v>0</v>
      </c>
      <c r="AM465" s="112">
        <v>0</v>
      </c>
      <c r="AN465" s="111">
        <v>8</v>
      </c>
      <c r="AO465" s="112">
        <v>72.72727272727273</v>
      </c>
      <c r="AP465" s="111">
        <v>11</v>
      </c>
    </row>
    <row r="466" spans="1:42" ht="15">
      <c r="A466" s="65" t="s">
        <v>581</v>
      </c>
      <c r="B466" s="65" t="s">
        <v>553</v>
      </c>
      <c r="C466" s="66" t="s">
        <v>4651</v>
      </c>
      <c r="D466" s="67">
        <v>3</v>
      </c>
      <c r="E466" s="68"/>
      <c r="F466" s="69">
        <v>40</v>
      </c>
      <c r="G466" s="66"/>
      <c r="H466" s="70"/>
      <c r="I466" s="71"/>
      <c r="J466" s="71"/>
      <c r="K466" s="35" t="s">
        <v>65</v>
      </c>
      <c r="L466" s="79">
        <v>466</v>
      </c>
      <c r="M466" s="79"/>
      <c r="N466" s="73"/>
      <c r="O466" s="81" t="s">
        <v>844</v>
      </c>
      <c r="P466" s="81" t="s">
        <v>199</v>
      </c>
      <c r="Q466" s="84" t="s">
        <v>1290</v>
      </c>
      <c r="R466" s="81" t="s">
        <v>581</v>
      </c>
      <c r="S466" s="81" t="s">
        <v>1940</v>
      </c>
      <c r="T466" s="86" t="str">
        <f>HYPERLINK("http://www.youtube.com/channel/UCtYVy7l9RvKZ5rKOsiQsIKg")</f>
        <v>http://www.youtube.com/channel/UCtYVy7l9RvKZ5rKOsiQsIKg</v>
      </c>
      <c r="U466" s="81"/>
      <c r="V466" s="81" t="s">
        <v>2327</v>
      </c>
      <c r="W466" s="86" t="str">
        <f>HYPERLINK("https://www.youtube.com/watch?v=H6DrSG_KQjo")</f>
        <v>https://www.youtube.com/watch?v=H6DrSG_KQjo</v>
      </c>
      <c r="X466" s="81" t="s">
        <v>2349</v>
      </c>
      <c r="Y466" s="81">
        <v>15</v>
      </c>
      <c r="Z466" s="88">
        <v>43760.438472222224</v>
      </c>
      <c r="AA466" s="88">
        <v>43760.438472222224</v>
      </c>
      <c r="AB466" s="81"/>
      <c r="AC466" s="81"/>
      <c r="AD466" s="84" t="s">
        <v>2390</v>
      </c>
      <c r="AE466" s="82">
        <v>1</v>
      </c>
      <c r="AF466" s="83" t="str">
        <f>REPLACE(INDEX(GroupVertices[Group],MATCH(Edges[[#This Row],[Vertex 1]],GroupVertices[Vertex],0)),1,1,"")</f>
        <v>1</v>
      </c>
      <c r="AG466" s="83" t="str">
        <f>REPLACE(INDEX(GroupVertices[Group],MATCH(Edges[[#This Row],[Vertex 2]],GroupVertices[Vertex],0)),1,1,"")</f>
        <v>1</v>
      </c>
      <c r="AH466" s="111">
        <v>0</v>
      </c>
      <c r="AI466" s="112">
        <v>0</v>
      </c>
      <c r="AJ466" s="111">
        <v>1</v>
      </c>
      <c r="AK466" s="112">
        <v>12.5</v>
      </c>
      <c r="AL466" s="111">
        <v>0</v>
      </c>
      <c r="AM466" s="112">
        <v>0</v>
      </c>
      <c r="AN466" s="111">
        <v>7</v>
      </c>
      <c r="AO466" s="112">
        <v>87.5</v>
      </c>
      <c r="AP466" s="111">
        <v>8</v>
      </c>
    </row>
    <row r="467" spans="1:42" ht="15">
      <c r="A467" s="65" t="s">
        <v>582</v>
      </c>
      <c r="B467" s="65" t="s">
        <v>584</v>
      </c>
      <c r="C467" s="66" t="s">
        <v>4651</v>
      </c>
      <c r="D467" s="67">
        <v>3</v>
      </c>
      <c r="E467" s="68"/>
      <c r="F467" s="69">
        <v>40</v>
      </c>
      <c r="G467" s="66"/>
      <c r="H467" s="70"/>
      <c r="I467" s="71"/>
      <c r="J467" s="71"/>
      <c r="K467" s="35" t="s">
        <v>65</v>
      </c>
      <c r="L467" s="79">
        <v>467</v>
      </c>
      <c r="M467" s="79"/>
      <c r="N467" s="73"/>
      <c r="O467" s="81" t="s">
        <v>845</v>
      </c>
      <c r="P467" s="81" t="s">
        <v>847</v>
      </c>
      <c r="Q467" s="84" t="s">
        <v>1291</v>
      </c>
      <c r="R467" s="81" t="s">
        <v>582</v>
      </c>
      <c r="S467" s="81" t="s">
        <v>1941</v>
      </c>
      <c r="T467" s="86" t="str">
        <f>HYPERLINK("http://www.youtube.com/channel/UCYPUDUN5-t9VxaQRI9es0nA")</f>
        <v>http://www.youtube.com/channel/UCYPUDUN5-t9VxaQRI9es0nA</v>
      </c>
      <c r="U467" s="81" t="s">
        <v>2258</v>
      </c>
      <c r="V467" s="81" t="s">
        <v>2327</v>
      </c>
      <c r="W467" s="86" t="str">
        <f>HYPERLINK("https://www.youtube.com/watch?v=H6DrSG_KQjo")</f>
        <v>https://www.youtube.com/watch?v=H6DrSG_KQjo</v>
      </c>
      <c r="X467" s="81" t="s">
        <v>2349</v>
      </c>
      <c r="Y467" s="81">
        <v>11</v>
      </c>
      <c r="Z467" s="88">
        <v>44142.79127314815</v>
      </c>
      <c r="AA467" s="88">
        <v>44142.79127314815</v>
      </c>
      <c r="AB467" s="81"/>
      <c r="AC467" s="81"/>
      <c r="AD467" s="84" t="s">
        <v>2390</v>
      </c>
      <c r="AE467" s="82">
        <v>1</v>
      </c>
      <c r="AF467" s="83" t="str">
        <f>REPLACE(INDEX(GroupVertices[Group],MATCH(Edges[[#This Row],[Vertex 1]],GroupVertices[Vertex],0)),1,1,"")</f>
        <v>1</v>
      </c>
      <c r="AG467" s="83" t="str">
        <f>REPLACE(INDEX(GroupVertices[Group],MATCH(Edges[[#This Row],[Vertex 2]],GroupVertices[Vertex],0)),1,1,"")</f>
        <v>1</v>
      </c>
      <c r="AH467" s="111">
        <v>1</v>
      </c>
      <c r="AI467" s="112">
        <v>11.11111111111111</v>
      </c>
      <c r="AJ467" s="111">
        <v>1</v>
      </c>
      <c r="AK467" s="112">
        <v>11.11111111111111</v>
      </c>
      <c r="AL467" s="111">
        <v>0</v>
      </c>
      <c r="AM467" s="112">
        <v>0</v>
      </c>
      <c r="AN467" s="111">
        <v>7</v>
      </c>
      <c r="AO467" s="112">
        <v>77.77777777777777</v>
      </c>
      <c r="AP467" s="111">
        <v>9</v>
      </c>
    </row>
    <row r="468" spans="1:42" ht="15">
      <c r="A468" s="65" t="s">
        <v>583</v>
      </c>
      <c r="B468" s="65" t="s">
        <v>584</v>
      </c>
      <c r="C468" s="66" t="s">
        <v>4651</v>
      </c>
      <c r="D468" s="67">
        <v>3</v>
      </c>
      <c r="E468" s="68"/>
      <c r="F468" s="69">
        <v>40</v>
      </c>
      <c r="G468" s="66"/>
      <c r="H468" s="70"/>
      <c r="I468" s="71"/>
      <c r="J468" s="71"/>
      <c r="K468" s="35" t="s">
        <v>65</v>
      </c>
      <c r="L468" s="79">
        <v>468</v>
      </c>
      <c r="M468" s="79"/>
      <c r="N468" s="73"/>
      <c r="O468" s="81" t="s">
        <v>845</v>
      </c>
      <c r="P468" s="81" t="s">
        <v>847</v>
      </c>
      <c r="Q468" s="84" t="s">
        <v>1292</v>
      </c>
      <c r="R468" s="81" t="s">
        <v>583</v>
      </c>
      <c r="S468" s="81" t="s">
        <v>1942</v>
      </c>
      <c r="T468" s="86" t="str">
        <f>HYPERLINK("http://www.youtube.com/channel/UCKO5JUTajV6ph3DvS6yRSag")</f>
        <v>http://www.youtube.com/channel/UCKO5JUTajV6ph3DvS6yRSag</v>
      </c>
      <c r="U468" s="81" t="s">
        <v>2258</v>
      </c>
      <c r="V468" s="81" t="s">
        <v>2327</v>
      </c>
      <c r="W468" s="86" t="str">
        <f>HYPERLINK("https://www.youtube.com/watch?v=H6DrSG_KQjo")</f>
        <v>https://www.youtube.com/watch?v=H6DrSG_KQjo</v>
      </c>
      <c r="X468" s="81" t="s">
        <v>2349</v>
      </c>
      <c r="Y468" s="81">
        <v>5</v>
      </c>
      <c r="Z468" s="88">
        <v>44269.53790509259</v>
      </c>
      <c r="AA468" s="88">
        <v>44269.53790509259</v>
      </c>
      <c r="AB468" s="81"/>
      <c r="AC468" s="81"/>
      <c r="AD468" s="84" t="s">
        <v>2390</v>
      </c>
      <c r="AE468" s="82">
        <v>1</v>
      </c>
      <c r="AF468" s="83" t="str">
        <f>REPLACE(INDEX(GroupVertices[Group],MATCH(Edges[[#This Row],[Vertex 1]],GroupVertices[Vertex],0)),1,1,"")</f>
        <v>1</v>
      </c>
      <c r="AG468" s="83" t="str">
        <f>REPLACE(INDEX(GroupVertices[Group],MATCH(Edges[[#This Row],[Vertex 2]],GroupVertices[Vertex],0)),1,1,"")</f>
        <v>1</v>
      </c>
      <c r="AH468" s="111">
        <v>0</v>
      </c>
      <c r="AI468" s="112">
        <v>0</v>
      </c>
      <c r="AJ468" s="111">
        <v>2</v>
      </c>
      <c r="AK468" s="112">
        <v>18.181818181818183</v>
      </c>
      <c r="AL468" s="111">
        <v>0</v>
      </c>
      <c r="AM468" s="112">
        <v>0</v>
      </c>
      <c r="AN468" s="111">
        <v>9</v>
      </c>
      <c r="AO468" s="112">
        <v>81.81818181818181</v>
      </c>
      <c r="AP468" s="111">
        <v>11</v>
      </c>
    </row>
    <row r="469" spans="1:42" ht="15">
      <c r="A469" s="65" t="s">
        <v>584</v>
      </c>
      <c r="B469" s="65" t="s">
        <v>553</v>
      </c>
      <c r="C469" s="66" t="s">
        <v>4651</v>
      </c>
      <c r="D469" s="67">
        <v>3</v>
      </c>
      <c r="E469" s="68"/>
      <c r="F469" s="69">
        <v>40</v>
      </c>
      <c r="G469" s="66"/>
      <c r="H469" s="70"/>
      <c r="I469" s="71"/>
      <c r="J469" s="71"/>
      <c r="K469" s="35" t="s">
        <v>65</v>
      </c>
      <c r="L469" s="79">
        <v>469</v>
      </c>
      <c r="M469" s="79"/>
      <c r="N469" s="73"/>
      <c r="O469" s="81" t="s">
        <v>844</v>
      </c>
      <c r="P469" s="81" t="s">
        <v>199</v>
      </c>
      <c r="Q469" s="84" t="s">
        <v>1293</v>
      </c>
      <c r="R469" s="81" t="s">
        <v>584</v>
      </c>
      <c r="S469" s="81" t="s">
        <v>1943</v>
      </c>
      <c r="T469" s="86" t="str">
        <f>HYPERLINK("http://www.youtube.com/channel/UCeoYd8hiGyx3BWyFTSI_XAg")</f>
        <v>http://www.youtube.com/channel/UCeoYd8hiGyx3BWyFTSI_XAg</v>
      </c>
      <c r="U469" s="81"/>
      <c r="V469" s="81" t="s">
        <v>2327</v>
      </c>
      <c r="W469" s="86" t="str">
        <f>HYPERLINK("https://www.youtube.com/watch?v=H6DrSG_KQjo")</f>
        <v>https://www.youtube.com/watch?v=H6DrSG_KQjo</v>
      </c>
      <c r="X469" s="81" t="s">
        <v>2349</v>
      </c>
      <c r="Y469" s="81">
        <v>75</v>
      </c>
      <c r="Z469" s="88">
        <v>43849.65967592593</v>
      </c>
      <c r="AA469" s="88">
        <v>43849.65967592593</v>
      </c>
      <c r="AB469" s="81"/>
      <c r="AC469" s="81"/>
      <c r="AD469" s="84" t="s">
        <v>2390</v>
      </c>
      <c r="AE469" s="82">
        <v>1</v>
      </c>
      <c r="AF469" s="83" t="str">
        <f>REPLACE(INDEX(GroupVertices[Group],MATCH(Edges[[#This Row],[Vertex 1]],GroupVertices[Vertex],0)),1,1,"")</f>
        <v>1</v>
      </c>
      <c r="AG469" s="83" t="str">
        <f>REPLACE(INDEX(GroupVertices[Group],MATCH(Edges[[#This Row],[Vertex 2]],GroupVertices[Vertex],0)),1,1,"")</f>
        <v>1</v>
      </c>
      <c r="AH469" s="111">
        <v>0</v>
      </c>
      <c r="AI469" s="112">
        <v>0</v>
      </c>
      <c r="AJ469" s="111">
        <v>1</v>
      </c>
      <c r="AK469" s="112">
        <v>14.285714285714286</v>
      </c>
      <c r="AL469" s="111">
        <v>0</v>
      </c>
      <c r="AM469" s="112">
        <v>0</v>
      </c>
      <c r="AN469" s="111">
        <v>6</v>
      </c>
      <c r="AO469" s="112">
        <v>85.71428571428571</v>
      </c>
      <c r="AP469" s="111">
        <v>7</v>
      </c>
    </row>
    <row r="470" spans="1:42" ht="15">
      <c r="A470" s="65" t="s">
        <v>585</v>
      </c>
      <c r="B470" s="65" t="s">
        <v>553</v>
      </c>
      <c r="C470" s="66" t="s">
        <v>4651</v>
      </c>
      <c r="D470" s="67">
        <v>3</v>
      </c>
      <c r="E470" s="68"/>
      <c r="F470" s="69">
        <v>40</v>
      </c>
      <c r="G470" s="66"/>
      <c r="H470" s="70"/>
      <c r="I470" s="71"/>
      <c r="J470" s="71"/>
      <c r="K470" s="35" t="s">
        <v>65</v>
      </c>
      <c r="L470" s="79">
        <v>470</v>
      </c>
      <c r="M470" s="79"/>
      <c r="N470" s="73"/>
      <c r="O470" s="81" t="s">
        <v>844</v>
      </c>
      <c r="P470" s="81" t="s">
        <v>199</v>
      </c>
      <c r="Q470" s="84" t="s">
        <v>1294</v>
      </c>
      <c r="R470" s="81" t="s">
        <v>585</v>
      </c>
      <c r="S470" s="81" t="s">
        <v>1944</v>
      </c>
      <c r="T470" s="86" t="str">
        <f>HYPERLINK("http://www.youtube.com/channel/UC3VECJj2CCuhHZcIi79xsPw")</f>
        <v>http://www.youtube.com/channel/UC3VECJj2CCuhHZcIi79xsPw</v>
      </c>
      <c r="U470" s="81"/>
      <c r="V470" s="81" t="s">
        <v>2327</v>
      </c>
      <c r="W470" s="86" t="str">
        <f>HYPERLINK("https://www.youtube.com/watch?v=H6DrSG_KQjo")</f>
        <v>https://www.youtube.com/watch?v=H6DrSG_KQjo</v>
      </c>
      <c r="X470" s="81" t="s">
        <v>2349</v>
      </c>
      <c r="Y470" s="81">
        <v>1</v>
      </c>
      <c r="Z470" s="88">
        <v>43963.771840277775</v>
      </c>
      <c r="AA470" s="88">
        <v>43963.771840277775</v>
      </c>
      <c r="AB470" s="81"/>
      <c r="AC470" s="81"/>
      <c r="AD470" s="84" t="s">
        <v>2390</v>
      </c>
      <c r="AE470" s="82">
        <v>1</v>
      </c>
      <c r="AF470" s="83" t="str">
        <f>REPLACE(INDEX(GroupVertices[Group],MATCH(Edges[[#This Row],[Vertex 1]],GroupVertices[Vertex],0)),1,1,"")</f>
        <v>1</v>
      </c>
      <c r="AG470" s="83" t="str">
        <f>REPLACE(INDEX(GroupVertices[Group],MATCH(Edges[[#This Row],[Vertex 2]],GroupVertices[Vertex],0)),1,1,"")</f>
        <v>1</v>
      </c>
      <c r="AH470" s="111">
        <v>0</v>
      </c>
      <c r="AI470" s="112">
        <v>0</v>
      </c>
      <c r="AJ470" s="111">
        <v>0</v>
      </c>
      <c r="AK470" s="112">
        <v>0</v>
      </c>
      <c r="AL470" s="111">
        <v>0</v>
      </c>
      <c r="AM470" s="112">
        <v>0</v>
      </c>
      <c r="AN470" s="111">
        <v>6</v>
      </c>
      <c r="AO470" s="112">
        <v>100</v>
      </c>
      <c r="AP470" s="111">
        <v>6</v>
      </c>
    </row>
    <row r="471" spans="1:42" ht="15">
      <c r="A471" s="65" t="s">
        <v>586</v>
      </c>
      <c r="B471" s="65" t="s">
        <v>553</v>
      </c>
      <c r="C471" s="66" t="s">
        <v>4651</v>
      </c>
      <c r="D471" s="67">
        <v>3</v>
      </c>
      <c r="E471" s="68"/>
      <c r="F471" s="69">
        <v>40</v>
      </c>
      <c r="G471" s="66"/>
      <c r="H471" s="70"/>
      <c r="I471" s="71"/>
      <c r="J471" s="71"/>
      <c r="K471" s="35" t="s">
        <v>65</v>
      </c>
      <c r="L471" s="79">
        <v>471</v>
      </c>
      <c r="M471" s="79"/>
      <c r="N471" s="73"/>
      <c r="O471" s="81" t="s">
        <v>844</v>
      </c>
      <c r="P471" s="81" t="s">
        <v>199</v>
      </c>
      <c r="Q471" s="84" t="s">
        <v>1295</v>
      </c>
      <c r="R471" s="81" t="s">
        <v>586</v>
      </c>
      <c r="S471" s="81" t="s">
        <v>1945</v>
      </c>
      <c r="T471" s="86" t="str">
        <f>HYPERLINK("http://www.youtube.com/channel/UCLSO99JZmrEMmSzPlBL4heg")</f>
        <v>http://www.youtube.com/channel/UCLSO99JZmrEMmSzPlBL4heg</v>
      </c>
      <c r="U471" s="81"/>
      <c r="V471" s="81" t="s">
        <v>2327</v>
      </c>
      <c r="W471" s="86" t="str">
        <f>HYPERLINK("https://www.youtube.com/watch?v=H6DrSG_KQjo")</f>
        <v>https://www.youtube.com/watch?v=H6DrSG_KQjo</v>
      </c>
      <c r="X471" s="81" t="s">
        <v>2349</v>
      </c>
      <c r="Y471" s="81">
        <v>1</v>
      </c>
      <c r="Z471" s="88">
        <v>43979.686111111114</v>
      </c>
      <c r="AA471" s="88">
        <v>43979.686111111114</v>
      </c>
      <c r="AB471" s="81"/>
      <c r="AC471" s="81"/>
      <c r="AD471" s="84" t="s">
        <v>2390</v>
      </c>
      <c r="AE471" s="82">
        <v>1</v>
      </c>
      <c r="AF471" s="83" t="str">
        <f>REPLACE(INDEX(GroupVertices[Group],MATCH(Edges[[#This Row],[Vertex 1]],GroupVertices[Vertex],0)),1,1,"")</f>
        <v>1</v>
      </c>
      <c r="AG471" s="83" t="str">
        <f>REPLACE(INDEX(GroupVertices[Group],MATCH(Edges[[#This Row],[Vertex 2]],GroupVertices[Vertex],0)),1,1,"")</f>
        <v>1</v>
      </c>
      <c r="AH471" s="111">
        <v>0</v>
      </c>
      <c r="AI471" s="112">
        <v>0</v>
      </c>
      <c r="AJ471" s="111">
        <v>0</v>
      </c>
      <c r="AK471" s="112">
        <v>0</v>
      </c>
      <c r="AL471" s="111">
        <v>0</v>
      </c>
      <c r="AM471" s="112">
        <v>0</v>
      </c>
      <c r="AN471" s="111">
        <v>1</v>
      </c>
      <c r="AO471" s="112">
        <v>100</v>
      </c>
      <c r="AP471" s="111">
        <v>1</v>
      </c>
    </row>
    <row r="472" spans="1:42" ht="15">
      <c r="A472" s="65" t="s">
        <v>587</v>
      </c>
      <c r="B472" s="65" t="s">
        <v>553</v>
      </c>
      <c r="C472" s="66" t="s">
        <v>4651</v>
      </c>
      <c r="D472" s="67">
        <v>3</v>
      </c>
      <c r="E472" s="68"/>
      <c r="F472" s="69">
        <v>40</v>
      </c>
      <c r="G472" s="66"/>
      <c r="H472" s="70"/>
      <c r="I472" s="71"/>
      <c r="J472" s="71"/>
      <c r="K472" s="35" t="s">
        <v>65</v>
      </c>
      <c r="L472" s="79">
        <v>472</v>
      </c>
      <c r="M472" s="79"/>
      <c r="N472" s="73"/>
      <c r="O472" s="81" t="s">
        <v>844</v>
      </c>
      <c r="P472" s="81" t="s">
        <v>199</v>
      </c>
      <c r="Q472" s="84" t="s">
        <v>1296</v>
      </c>
      <c r="R472" s="81" t="s">
        <v>587</v>
      </c>
      <c r="S472" s="81" t="s">
        <v>1946</v>
      </c>
      <c r="T472" s="86" t="str">
        <f>HYPERLINK("http://www.youtube.com/channel/UCT4Has8DrnrEjD8HNlzmlWA")</f>
        <v>http://www.youtube.com/channel/UCT4Has8DrnrEjD8HNlzmlWA</v>
      </c>
      <c r="U472" s="81"/>
      <c r="V472" s="81" t="s">
        <v>2327</v>
      </c>
      <c r="W472" s="86" t="str">
        <f>HYPERLINK("https://www.youtube.com/watch?v=H6DrSG_KQjo")</f>
        <v>https://www.youtube.com/watch?v=H6DrSG_KQjo</v>
      </c>
      <c r="X472" s="81" t="s">
        <v>2349</v>
      </c>
      <c r="Y472" s="81">
        <v>24</v>
      </c>
      <c r="Z472" s="88">
        <v>44111.86078703704</v>
      </c>
      <c r="AA472" s="88">
        <v>44111.86078703704</v>
      </c>
      <c r="AB472" s="81"/>
      <c r="AC472" s="81"/>
      <c r="AD472" s="84" t="s">
        <v>2390</v>
      </c>
      <c r="AE472" s="82">
        <v>1</v>
      </c>
      <c r="AF472" s="83" t="str">
        <f>REPLACE(INDEX(GroupVertices[Group],MATCH(Edges[[#This Row],[Vertex 1]],GroupVertices[Vertex],0)),1,1,"")</f>
        <v>1</v>
      </c>
      <c r="AG472" s="83" t="str">
        <f>REPLACE(INDEX(GroupVertices[Group],MATCH(Edges[[#This Row],[Vertex 2]],GroupVertices[Vertex],0)),1,1,"")</f>
        <v>1</v>
      </c>
      <c r="AH472" s="111">
        <v>0</v>
      </c>
      <c r="AI472" s="112">
        <v>0</v>
      </c>
      <c r="AJ472" s="111">
        <v>1</v>
      </c>
      <c r="AK472" s="112">
        <v>8.333333333333334</v>
      </c>
      <c r="AL472" s="111">
        <v>0</v>
      </c>
      <c r="AM472" s="112">
        <v>0</v>
      </c>
      <c r="AN472" s="111">
        <v>11</v>
      </c>
      <c r="AO472" s="112">
        <v>91.66666666666667</v>
      </c>
      <c r="AP472" s="111">
        <v>12</v>
      </c>
    </row>
    <row r="473" spans="1:42" ht="15">
      <c r="A473" s="65" t="s">
        <v>582</v>
      </c>
      <c r="B473" s="65" t="s">
        <v>588</v>
      </c>
      <c r="C473" s="66" t="s">
        <v>4651</v>
      </c>
      <c r="D473" s="67">
        <v>3</v>
      </c>
      <c r="E473" s="68"/>
      <c r="F473" s="69">
        <v>40</v>
      </c>
      <c r="G473" s="66"/>
      <c r="H473" s="70"/>
      <c r="I473" s="71"/>
      <c r="J473" s="71"/>
      <c r="K473" s="35" t="s">
        <v>65</v>
      </c>
      <c r="L473" s="79">
        <v>473</v>
      </c>
      <c r="M473" s="79"/>
      <c r="N473" s="73"/>
      <c r="O473" s="81" t="s">
        <v>845</v>
      </c>
      <c r="P473" s="81" t="s">
        <v>847</v>
      </c>
      <c r="Q473" s="84" t="s">
        <v>1297</v>
      </c>
      <c r="R473" s="81" t="s">
        <v>582</v>
      </c>
      <c r="S473" s="81" t="s">
        <v>1941</v>
      </c>
      <c r="T473" s="86" t="str">
        <f>HYPERLINK("http://www.youtube.com/channel/UCYPUDUN5-t9VxaQRI9es0nA")</f>
        <v>http://www.youtube.com/channel/UCYPUDUN5-t9VxaQRI9es0nA</v>
      </c>
      <c r="U473" s="81" t="s">
        <v>2259</v>
      </c>
      <c r="V473" s="81" t="s">
        <v>2327</v>
      </c>
      <c r="W473" s="86" t="str">
        <f>HYPERLINK("https://www.youtube.com/watch?v=H6DrSG_KQjo")</f>
        <v>https://www.youtube.com/watch?v=H6DrSG_KQjo</v>
      </c>
      <c r="X473" s="81" t="s">
        <v>2349</v>
      </c>
      <c r="Y473" s="81">
        <v>0</v>
      </c>
      <c r="Z473" s="88">
        <v>44202.009421296294</v>
      </c>
      <c r="AA473" s="88">
        <v>44202.009421296294</v>
      </c>
      <c r="AB473" s="81"/>
      <c r="AC473" s="81"/>
      <c r="AD473" s="84" t="s">
        <v>2390</v>
      </c>
      <c r="AE473" s="82">
        <v>1</v>
      </c>
      <c r="AF473" s="83" t="str">
        <f>REPLACE(INDEX(GroupVertices[Group],MATCH(Edges[[#This Row],[Vertex 1]],GroupVertices[Vertex],0)),1,1,"")</f>
        <v>1</v>
      </c>
      <c r="AG473" s="83" t="str">
        <f>REPLACE(INDEX(GroupVertices[Group],MATCH(Edges[[#This Row],[Vertex 2]],GroupVertices[Vertex],0)),1,1,"")</f>
        <v>1</v>
      </c>
      <c r="AH473" s="111">
        <v>0</v>
      </c>
      <c r="AI473" s="112">
        <v>0</v>
      </c>
      <c r="AJ473" s="111">
        <v>0</v>
      </c>
      <c r="AK473" s="112">
        <v>0</v>
      </c>
      <c r="AL473" s="111">
        <v>0</v>
      </c>
      <c r="AM473" s="112">
        <v>0</v>
      </c>
      <c r="AN473" s="111">
        <v>5</v>
      </c>
      <c r="AO473" s="112">
        <v>100</v>
      </c>
      <c r="AP473" s="111">
        <v>5</v>
      </c>
    </row>
    <row r="474" spans="1:42" ht="15">
      <c r="A474" s="65" t="s">
        <v>588</v>
      </c>
      <c r="B474" s="65" t="s">
        <v>553</v>
      </c>
      <c r="C474" s="66" t="s">
        <v>4651</v>
      </c>
      <c r="D474" s="67">
        <v>3</v>
      </c>
      <c r="E474" s="68"/>
      <c r="F474" s="69">
        <v>40</v>
      </c>
      <c r="G474" s="66"/>
      <c r="H474" s="70"/>
      <c r="I474" s="71"/>
      <c r="J474" s="71"/>
      <c r="K474" s="35" t="s">
        <v>65</v>
      </c>
      <c r="L474" s="79">
        <v>474</v>
      </c>
      <c r="M474" s="79"/>
      <c r="N474" s="73"/>
      <c r="O474" s="81" t="s">
        <v>844</v>
      </c>
      <c r="P474" s="81" t="s">
        <v>199</v>
      </c>
      <c r="Q474" s="84" t="s">
        <v>1298</v>
      </c>
      <c r="R474" s="81" t="s">
        <v>588</v>
      </c>
      <c r="S474" s="81" t="s">
        <v>1947</v>
      </c>
      <c r="T474" s="86" t="str">
        <f>HYPERLINK("http://www.youtube.com/channel/UCRkIO_Ye5iBesX8EKHcw3SA")</f>
        <v>http://www.youtube.com/channel/UCRkIO_Ye5iBesX8EKHcw3SA</v>
      </c>
      <c r="U474" s="81"/>
      <c r="V474" s="81" t="s">
        <v>2327</v>
      </c>
      <c r="W474" s="86" t="str">
        <f>HYPERLINK("https://www.youtube.com/watch?v=H6DrSG_KQjo")</f>
        <v>https://www.youtube.com/watch?v=H6DrSG_KQjo</v>
      </c>
      <c r="X474" s="81" t="s">
        <v>2349</v>
      </c>
      <c r="Y474" s="81">
        <v>0</v>
      </c>
      <c r="Z474" s="88">
        <v>44131.583182870374</v>
      </c>
      <c r="AA474" s="88">
        <v>44131.583182870374</v>
      </c>
      <c r="AB474" s="81"/>
      <c r="AC474" s="81"/>
      <c r="AD474" s="84" t="s">
        <v>2390</v>
      </c>
      <c r="AE474" s="82">
        <v>1</v>
      </c>
      <c r="AF474" s="83" t="str">
        <f>REPLACE(INDEX(GroupVertices[Group],MATCH(Edges[[#This Row],[Vertex 1]],GroupVertices[Vertex],0)),1,1,"")</f>
        <v>1</v>
      </c>
      <c r="AG474" s="83" t="str">
        <f>REPLACE(INDEX(GroupVertices[Group],MATCH(Edges[[#This Row],[Vertex 2]],GroupVertices[Vertex],0)),1,1,"")</f>
        <v>1</v>
      </c>
      <c r="AH474" s="111">
        <v>0</v>
      </c>
      <c r="AI474" s="112">
        <v>0</v>
      </c>
      <c r="AJ474" s="111">
        <v>1</v>
      </c>
      <c r="AK474" s="112">
        <v>25</v>
      </c>
      <c r="AL474" s="111">
        <v>0</v>
      </c>
      <c r="AM474" s="112">
        <v>0</v>
      </c>
      <c r="AN474" s="111">
        <v>3</v>
      </c>
      <c r="AO474" s="112">
        <v>75</v>
      </c>
      <c r="AP474" s="111">
        <v>4</v>
      </c>
    </row>
    <row r="475" spans="1:42" ht="15">
      <c r="A475" s="65" t="s">
        <v>589</v>
      </c>
      <c r="B475" s="65" t="s">
        <v>553</v>
      </c>
      <c r="C475" s="66" t="s">
        <v>4651</v>
      </c>
      <c r="D475" s="67">
        <v>3</v>
      </c>
      <c r="E475" s="68"/>
      <c r="F475" s="69">
        <v>40</v>
      </c>
      <c r="G475" s="66"/>
      <c r="H475" s="70"/>
      <c r="I475" s="71"/>
      <c r="J475" s="71"/>
      <c r="K475" s="35" t="s">
        <v>65</v>
      </c>
      <c r="L475" s="79">
        <v>475</v>
      </c>
      <c r="M475" s="79"/>
      <c r="N475" s="73"/>
      <c r="O475" s="81" t="s">
        <v>844</v>
      </c>
      <c r="P475" s="81" t="s">
        <v>199</v>
      </c>
      <c r="Q475" s="84" t="s">
        <v>1299</v>
      </c>
      <c r="R475" s="81" t="s">
        <v>589</v>
      </c>
      <c r="S475" s="81" t="s">
        <v>1948</v>
      </c>
      <c r="T475" s="86" t="str">
        <f>HYPERLINK("http://www.youtube.com/channel/UC6PDbgG-8UPGLNw5d9dTKXw")</f>
        <v>http://www.youtube.com/channel/UC6PDbgG-8UPGLNw5d9dTKXw</v>
      </c>
      <c r="U475" s="81"/>
      <c r="V475" s="81" t="s">
        <v>2327</v>
      </c>
      <c r="W475" s="86" t="str">
        <f>HYPERLINK("https://www.youtube.com/watch?v=H6DrSG_KQjo")</f>
        <v>https://www.youtube.com/watch?v=H6DrSG_KQjo</v>
      </c>
      <c r="X475" s="81" t="s">
        <v>2349</v>
      </c>
      <c r="Y475" s="81">
        <v>1</v>
      </c>
      <c r="Z475" s="88">
        <v>44136.85872685185</v>
      </c>
      <c r="AA475" s="88">
        <v>44136.85872685185</v>
      </c>
      <c r="AB475" s="81"/>
      <c r="AC475" s="81"/>
      <c r="AD475" s="84" t="s">
        <v>2390</v>
      </c>
      <c r="AE475" s="82">
        <v>1</v>
      </c>
      <c r="AF475" s="83" t="str">
        <f>REPLACE(INDEX(GroupVertices[Group],MATCH(Edges[[#This Row],[Vertex 1]],GroupVertices[Vertex],0)),1,1,"")</f>
        <v>1</v>
      </c>
      <c r="AG475" s="83" t="str">
        <f>REPLACE(INDEX(GroupVertices[Group],MATCH(Edges[[#This Row],[Vertex 2]],GroupVertices[Vertex],0)),1,1,"")</f>
        <v>1</v>
      </c>
      <c r="AH475" s="111">
        <v>1</v>
      </c>
      <c r="AI475" s="112">
        <v>50</v>
      </c>
      <c r="AJ475" s="111">
        <v>0</v>
      </c>
      <c r="AK475" s="112">
        <v>0</v>
      </c>
      <c r="AL475" s="111">
        <v>0</v>
      </c>
      <c r="AM475" s="112">
        <v>0</v>
      </c>
      <c r="AN475" s="111">
        <v>1</v>
      </c>
      <c r="AO475" s="112">
        <v>50</v>
      </c>
      <c r="AP475" s="111">
        <v>2</v>
      </c>
    </row>
    <row r="476" spans="1:42" ht="15">
      <c r="A476" s="65" t="s">
        <v>583</v>
      </c>
      <c r="B476" s="65" t="s">
        <v>590</v>
      </c>
      <c r="C476" s="66" t="s">
        <v>4651</v>
      </c>
      <c r="D476" s="67">
        <v>3</v>
      </c>
      <c r="E476" s="68"/>
      <c r="F476" s="69">
        <v>40</v>
      </c>
      <c r="G476" s="66"/>
      <c r="H476" s="70"/>
      <c r="I476" s="71"/>
      <c r="J476" s="71"/>
      <c r="K476" s="35" t="s">
        <v>65</v>
      </c>
      <c r="L476" s="79">
        <v>476</v>
      </c>
      <c r="M476" s="79"/>
      <c r="N476" s="73"/>
      <c r="O476" s="81" t="s">
        <v>845</v>
      </c>
      <c r="P476" s="81" t="s">
        <v>847</v>
      </c>
      <c r="Q476" s="84" t="s">
        <v>1300</v>
      </c>
      <c r="R476" s="81" t="s">
        <v>583</v>
      </c>
      <c r="S476" s="81" t="s">
        <v>1942</v>
      </c>
      <c r="T476" s="86" t="str">
        <f>HYPERLINK("http://www.youtube.com/channel/UCKO5JUTajV6ph3DvS6yRSag")</f>
        <v>http://www.youtube.com/channel/UCKO5JUTajV6ph3DvS6yRSag</v>
      </c>
      <c r="U476" s="81" t="s">
        <v>2260</v>
      </c>
      <c r="V476" s="81" t="s">
        <v>2327</v>
      </c>
      <c r="W476" s="86" t="str">
        <f>HYPERLINK("https://www.youtube.com/watch?v=H6DrSG_KQjo")</f>
        <v>https://www.youtube.com/watch?v=H6DrSG_KQjo</v>
      </c>
      <c r="X476" s="81" t="s">
        <v>2349</v>
      </c>
      <c r="Y476" s="81">
        <v>2</v>
      </c>
      <c r="Z476" s="88">
        <v>44269.52869212963</v>
      </c>
      <c r="AA476" s="88">
        <v>44269.53513888889</v>
      </c>
      <c r="AB476" s="81"/>
      <c r="AC476" s="81"/>
      <c r="AD476" s="84" t="s">
        <v>2390</v>
      </c>
      <c r="AE476" s="82">
        <v>1</v>
      </c>
      <c r="AF476" s="83" t="str">
        <f>REPLACE(INDEX(GroupVertices[Group],MATCH(Edges[[#This Row],[Vertex 1]],GroupVertices[Vertex],0)),1,1,"")</f>
        <v>1</v>
      </c>
      <c r="AG476" s="83" t="str">
        <f>REPLACE(INDEX(GroupVertices[Group],MATCH(Edges[[#This Row],[Vertex 2]],GroupVertices[Vertex],0)),1,1,"")</f>
        <v>1</v>
      </c>
      <c r="AH476" s="111">
        <v>0</v>
      </c>
      <c r="AI476" s="112">
        <v>0</v>
      </c>
      <c r="AJ476" s="111">
        <v>5</v>
      </c>
      <c r="AK476" s="112">
        <v>7.575757575757576</v>
      </c>
      <c r="AL476" s="111">
        <v>0</v>
      </c>
      <c r="AM476" s="112">
        <v>0</v>
      </c>
      <c r="AN476" s="111">
        <v>61</v>
      </c>
      <c r="AO476" s="112">
        <v>92.42424242424242</v>
      </c>
      <c r="AP476" s="111">
        <v>66</v>
      </c>
    </row>
    <row r="477" spans="1:42" ht="15">
      <c r="A477" s="65" t="s">
        <v>590</v>
      </c>
      <c r="B477" s="65" t="s">
        <v>553</v>
      </c>
      <c r="C477" s="66" t="s">
        <v>4651</v>
      </c>
      <c r="D477" s="67">
        <v>3</v>
      </c>
      <c r="E477" s="68"/>
      <c r="F477" s="69">
        <v>40</v>
      </c>
      <c r="G477" s="66"/>
      <c r="H477" s="70"/>
      <c r="I477" s="71"/>
      <c r="J477" s="71"/>
      <c r="K477" s="35" t="s">
        <v>65</v>
      </c>
      <c r="L477" s="79">
        <v>477</v>
      </c>
      <c r="M477" s="79"/>
      <c r="N477" s="73"/>
      <c r="O477" s="81" t="s">
        <v>844</v>
      </c>
      <c r="P477" s="81" t="s">
        <v>199</v>
      </c>
      <c r="Q477" s="84" t="s">
        <v>1301</v>
      </c>
      <c r="R477" s="81" t="s">
        <v>590</v>
      </c>
      <c r="S477" s="81" t="s">
        <v>1949</v>
      </c>
      <c r="T477" s="86" t="str">
        <f>HYPERLINK("http://www.youtube.com/channel/UCyIRJt5VxYvCitMWCWeKrSw")</f>
        <v>http://www.youtube.com/channel/UCyIRJt5VxYvCitMWCWeKrSw</v>
      </c>
      <c r="U477" s="81"/>
      <c r="V477" s="81" t="s">
        <v>2327</v>
      </c>
      <c r="W477" s="86" t="str">
        <f>HYPERLINK("https://www.youtube.com/watch?v=H6DrSG_KQjo")</f>
        <v>https://www.youtube.com/watch?v=H6DrSG_KQjo</v>
      </c>
      <c r="X477" s="81" t="s">
        <v>2349</v>
      </c>
      <c r="Y477" s="81">
        <v>0</v>
      </c>
      <c r="Z477" s="88">
        <v>44210.61487268518</v>
      </c>
      <c r="AA477" s="88">
        <v>44210.61487268518</v>
      </c>
      <c r="AB477" s="81"/>
      <c r="AC477" s="81"/>
      <c r="AD477" s="84" t="s">
        <v>2390</v>
      </c>
      <c r="AE477" s="82">
        <v>1</v>
      </c>
      <c r="AF477" s="83" t="str">
        <f>REPLACE(INDEX(GroupVertices[Group],MATCH(Edges[[#This Row],[Vertex 1]],GroupVertices[Vertex],0)),1,1,"")</f>
        <v>1</v>
      </c>
      <c r="AG477" s="83" t="str">
        <f>REPLACE(INDEX(GroupVertices[Group],MATCH(Edges[[#This Row],[Vertex 2]],GroupVertices[Vertex],0)),1,1,"")</f>
        <v>1</v>
      </c>
      <c r="AH477" s="111">
        <v>0</v>
      </c>
      <c r="AI477" s="112">
        <v>0</v>
      </c>
      <c r="AJ477" s="111">
        <v>1</v>
      </c>
      <c r="AK477" s="112">
        <v>4.3478260869565215</v>
      </c>
      <c r="AL477" s="111">
        <v>0</v>
      </c>
      <c r="AM477" s="112">
        <v>0</v>
      </c>
      <c r="AN477" s="111">
        <v>22</v>
      </c>
      <c r="AO477" s="112">
        <v>95.65217391304348</v>
      </c>
      <c r="AP477" s="111">
        <v>23</v>
      </c>
    </row>
    <row r="478" spans="1:42" ht="15">
      <c r="A478" s="65" t="s">
        <v>591</v>
      </c>
      <c r="B478" s="65" t="s">
        <v>592</v>
      </c>
      <c r="C478" s="66" t="s">
        <v>4651</v>
      </c>
      <c r="D478" s="67">
        <v>3</v>
      </c>
      <c r="E478" s="68"/>
      <c r="F478" s="69">
        <v>40</v>
      </c>
      <c r="G478" s="66"/>
      <c r="H478" s="70"/>
      <c r="I478" s="71"/>
      <c r="J478" s="71"/>
      <c r="K478" s="35" t="s">
        <v>65</v>
      </c>
      <c r="L478" s="79">
        <v>478</v>
      </c>
      <c r="M478" s="79"/>
      <c r="N478" s="73"/>
      <c r="O478" s="81" t="s">
        <v>845</v>
      </c>
      <c r="P478" s="81" t="s">
        <v>847</v>
      </c>
      <c r="Q478" s="84" t="s">
        <v>1302</v>
      </c>
      <c r="R478" s="81" t="s">
        <v>591</v>
      </c>
      <c r="S478" s="81" t="s">
        <v>1950</v>
      </c>
      <c r="T478" s="86" t="str">
        <f>HYPERLINK("http://www.youtube.com/channel/UCEx4zF9gKH647q_tg5zwGGA")</f>
        <v>http://www.youtube.com/channel/UCEx4zF9gKH647q_tg5zwGGA</v>
      </c>
      <c r="U478" s="81" t="s">
        <v>2261</v>
      </c>
      <c r="V478" s="81" t="s">
        <v>2327</v>
      </c>
      <c r="W478" s="86" t="str">
        <f>HYPERLINK("https://www.youtube.com/watch?v=H6DrSG_KQjo")</f>
        <v>https://www.youtube.com/watch?v=H6DrSG_KQjo</v>
      </c>
      <c r="X478" s="81" t="s">
        <v>2349</v>
      </c>
      <c r="Y478" s="81">
        <v>1</v>
      </c>
      <c r="Z478" s="88">
        <v>44263.908159722225</v>
      </c>
      <c r="AA478" s="88">
        <v>44263.908159722225</v>
      </c>
      <c r="AB478" s="81"/>
      <c r="AC478" s="81"/>
      <c r="AD478" s="84" t="s">
        <v>2390</v>
      </c>
      <c r="AE478" s="82">
        <v>1</v>
      </c>
      <c r="AF478" s="83" t="str">
        <f>REPLACE(INDEX(GroupVertices[Group],MATCH(Edges[[#This Row],[Vertex 1]],GroupVertices[Vertex],0)),1,1,"")</f>
        <v>1</v>
      </c>
      <c r="AG478" s="83" t="str">
        <f>REPLACE(INDEX(GroupVertices[Group],MATCH(Edges[[#This Row],[Vertex 2]],GroupVertices[Vertex],0)),1,1,"")</f>
        <v>1</v>
      </c>
      <c r="AH478" s="111">
        <v>0</v>
      </c>
      <c r="AI478" s="112">
        <v>0</v>
      </c>
      <c r="AJ478" s="111">
        <v>0</v>
      </c>
      <c r="AK478" s="112">
        <v>0</v>
      </c>
      <c r="AL478" s="111">
        <v>0</v>
      </c>
      <c r="AM478" s="112">
        <v>0</v>
      </c>
      <c r="AN478" s="111">
        <v>2</v>
      </c>
      <c r="AO478" s="112">
        <v>100</v>
      </c>
      <c r="AP478" s="111">
        <v>2</v>
      </c>
    </row>
    <row r="479" spans="1:42" ht="15">
      <c r="A479" s="65" t="s">
        <v>592</v>
      </c>
      <c r="B479" s="65" t="s">
        <v>553</v>
      </c>
      <c r="C479" s="66" t="s">
        <v>4651</v>
      </c>
      <c r="D479" s="67">
        <v>3</v>
      </c>
      <c r="E479" s="68"/>
      <c r="F479" s="69">
        <v>40</v>
      </c>
      <c r="G479" s="66"/>
      <c r="H479" s="70"/>
      <c r="I479" s="71"/>
      <c r="J479" s="71"/>
      <c r="K479" s="35" t="s">
        <v>65</v>
      </c>
      <c r="L479" s="79">
        <v>479</v>
      </c>
      <c r="M479" s="79"/>
      <c r="N479" s="73"/>
      <c r="O479" s="81" t="s">
        <v>844</v>
      </c>
      <c r="P479" s="81" t="s">
        <v>199</v>
      </c>
      <c r="Q479" s="84" t="s">
        <v>1303</v>
      </c>
      <c r="R479" s="81" t="s">
        <v>592</v>
      </c>
      <c r="S479" s="81" t="s">
        <v>1951</v>
      </c>
      <c r="T479" s="86" t="str">
        <f>HYPERLINK("http://www.youtube.com/channel/UC9e6GKzdbAjeq53QQdphLYg")</f>
        <v>http://www.youtube.com/channel/UC9e6GKzdbAjeq53QQdphLYg</v>
      </c>
      <c r="U479" s="81"/>
      <c r="V479" s="81" t="s">
        <v>2327</v>
      </c>
      <c r="W479" s="86" t="str">
        <f>HYPERLINK("https://www.youtube.com/watch?v=H6DrSG_KQjo")</f>
        <v>https://www.youtube.com/watch?v=H6DrSG_KQjo</v>
      </c>
      <c r="X479" s="81" t="s">
        <v>2349</v>
      </c>
      <c r="Y479" s="81">
        <v>16</v>
      </c>
      <c r="Z479" s="88">
        <v>44221.635092592594</v>
      </c>
      <c r="AA479" s="88">
        <v>44221.635092592594</v>
      </c>
      <c r="AB479" s="81"/>
      <c r="AC479" s="81"/>
      <c r="AD479" s="84" t="s">
        <v>2390</v>
      </c>
      <c r="AE479" s="82">
        <v>1</v>
      </c>
      <c r="AF479" s="83" t="str">
        <f>REPLACE(INDEX(GroupVertices[Group],MATCH(Edges[[#This Row],[Vertex 1]],GroupVertices[Vertex],0)),1,1,"")</f>
        <v>1</v>
      </c>
      <c r="AG479" s="83" t="str">
        <f>REPLACE(INDEX(GroupVertices[Group],MATCH(Edges[[#This Row],[Vertex 2]],GroupVertices[Vertex],0)),1,1,"")</f>
        <v>1</v>
      </c>
      <c r="AH479" s="111">
        <v>0</v>
      </c>
      <c r="AI479" s="112">
        <v>0</v>
      </c>
      <c r="AJ479" s="111">
        <v>0</v>
      </c>
      <c r="AK479" s="112">
        <v>0</v>
      </c>
      <c r="AL479" s="111">
        <v>0</v>
      </c>
      <c r="AM479" s="112">
        <v>0</v>
      </c>
      <c r="AN479" s="111">
        <v>10</v>
      </c>
      <c r="AO479" s="112">
        <v>100</v>
      </c>
      <c r="AP479" s="111">
        <v>10</v>
      </c>
    </row>
    <row r="480" spans="1:42" ht="15">
      <c r="A480" s="65" t="s">
        <v>593</v>
      </c>
      <c r="B480" s="65" t="s">
        <v>841</v>
      </c>
      <c r="C480" s="66" t="s">
        <v>4651</v>
      </c>
      <c r="D480" s="67">
        <v>3</v>
      </c>
      <c r="E480" s="68"/>
      <c r="F480" s="69">
        <v>40</v>
      </c>
      <c r="G480" s="66"/>
      <c r="H480" s="70"/>
      <c r="I480" s="71"/>
      <c r="J480" s="71"/>
      <c r="K480" s="35" t="s">
        <v>65</v>
      </c>
      <c r="L480" s="79">
        <v>480</v>
      </c>
      <c r="M480" s="79"/>
      <c r="N480" s="73"/>
      <c r="O480" s="81" t="s">
        <v>844</v>
      </c>
      <c r="P480" s="81" t="s">
        <v>199</v>
      </c>
      <c r="Q480" s="84" t="s">
        <v>1304</v>
      </c>
      <c r="R480" s="81" t="s">
        <v>593</v>
      </c>
      <c r="S480" s="81" t="s">
        <v>1952</v>
      </c>
      <c r="T480" s="86" t="str">
        <f>HYPERLINK("http://www.youtube.com/channel/UCbTWZL8bwDdWBUegcykuNGw")</f>
        <v>http://www.youtube.com/channel/UCbTWZL8bwDdWBUegcykuNGw</v>
      </c>
      <c r="U480" s="81"/>
      <c r="V480" s="81" t="s">
        <v>2328</v>
      </c>
      <c r="W480" s="86" t="str">
        <f>HYPERLINK("https://www.youtube.com/watch?v=VCfyylZdmG0")</f>
        <v>https://www.youtube.com/watch?v=VCfyylZdmG0</v>
      </c>
      <c r="X480" s="81" t="s">
        <v>2349</v>
      </c>
      <c r="Y480" s="81">
        <v>0</v>
      </c>
      <c r="Z480" s="88">
        <v>40723.55636574074</v>
      </c>
      <c r="AA480" s="88">
        <v>40723.55636574074</v>
      </c>
      <c r="AB480" s="81"/>
      <c r="AC480" s="81"/>
      <c r="AD480" s="84" t="s">
        <v>2390</v>
      </c>
      <c r="AE480" s="82">
        <v>1</v>
      </c>
      <c r="AF480" s="83" t="str">
        <f>REPLACE(INDEX(GroupVertices[Group],MATCH(Edges[[#This Row],[Vertex 1]],GroupVertices[Vertex],0)),1,1,"")</f>
        <v>5</v>
      </c>
      <c r="AG480" s="83" t="str">
        <f>REPLACE(INDEX(GroupVertices[Group],MATCH(Edges[[#This Row],[Vertex 2]],GroupVertices[Vertex],0)),1,1,"")</f>
        <v>5</v>
      </c>
      <c r="AH480" s="111">
        <v>1</v>
      </c>
      <c r="AI480" s="112">
        <v>4</v>
      </c>
      <c r="AJ480" s="111">
        <v>2</v>
      </c>
      <c r="AK480" s="112">
        <v>8</v>
      </c>
      <c r="AL480" s="111">
        <v>0</v>
      </c>
      <c r="AM480" s="112">
        <v>0</v>
      </c>
      <c r="AN480" s="111">
        <v>22</v>
      </c>
      <c r="AO480" s="112">
        <v>88</v>
      </c>
      <c r="AP480" s="111">
        <v>25</v>
      </c>
    </row>
    <row r="481" spans="1:42" ht="15">
      <c r="A481" s="65" t="s">
        <v>594</v>
      </c>
      <c r="B481" s="65" t="s">
        <v>553</v>
      </c>
      <c r="C481" s="66" t="s">
        <v>4651</v>
      </c>
      <c r="D481" s="67">
        <v>3</v>
      </c>
      <c r="E481" s="68"/>
      <c r="F481" s="69">
        <v>40</v>
      </c>
      <c r="G481" s="66"/>
      <c r="H481" s="70"/>
      <c r="I481" s="71"/>
      <c r="J481" s="71"/>
      <c r="K481" s="35" t="s">
        <v>65</v>
      </c>
      <c r="L481" s="79">
        <v>481</v>
      </c>
      <c r="M481" s="79"/>
      <c r="N481" s="73"/>
      <c r="O481" s="81" t="s">
        <v>844</v>
      </c>
      <c r="P481" s="81" t="s">
        <v>199</v>
      </c>
      <c r="Q481" s="84" t="s">
        <v>1305</v>
      </c>
      <c r="R481" s="81" t="s">
        <v>594</v>
      </c>
      <c r="S481" s="81" t="s">
        <v>1953</v>
      </c>
      <c r="T481" s="86" t="str">
        <f>HYPERLINK("http://www.youtube.com/channel/UCnotihKlMoV1dgUtjkLiouA")</f>
        <v>http://www.youtube.com/channel/UCnotihKlMoV1dgUtjkLiouA</v>
      </c>
      <c r="U481" s="81"/>
      <c r="V481" s="81" t="s">
        <v>2329</v>
      </c>
      <c r="W481" s="86" t="str">
        <f>HYPERLINK("https://www.youtube.com/watch?v=QYWNXp36O48")</f>
        <v>https://www.youtube.com/watch?v=QYWNXp36O48</v>
      </c>
      <c r="X481" s="81" t="s">
        <v>2349</v>
      </c>
      <c r="Y481" s="81">
        <v>0</v>
      </c>
      <c r="Z481" s="88">
        <v>42995.79814814815</v>
      </c>
      <c r="AA481" s="88">
        <v>42995.79814814815</v>
      </c>
      <c r="AB481" s="81"/>
      <c r="AC481" s="81"/>
      <c r="AD481" s="84" t="s">
        <v>2390</v>
      </c>
      <c r="AE481" s="82">
        <v>1</v>
      </c>
      <c r="AF481" s="83" t="str">
        <f>REPLACE(INDEX(GroupVertices[Group],MATCH(Edges[[#This Row],[Vertex 1]],GroupVertices[Vertex],0)),1,1,"")</f>
        <v>1</v>
      </c>
      <c r="AG481" s="83" t="str">
        <f>REPLACE(INDEX(GroupVertices[Group],MATCH(Edges[[#This Row],[Vertex 2]],GroupVertices[Vertex],0)),1,1,"")</f>
        <v>1</v>
      </c>
      <c r="AH481" s="111">
        <v>0</v>
      </c>
      <c r="AI481" s="112">
        <v>0</v>
      </c>
      <c r="AJ481" s="111">
        <v>0</v>
      </c>
      <c r="AK481" s="112">
        <v>0</v>
      </c>
      <c r="AL481" s="111">
        <v>0</v>
      </c>
      <c r="AM481" s="112">
        <v>0</v>
      </c>
      <c r="AN481" s="111">
        <v>14</v>
      </c>
      <c r="AO481" s="112">
        <v>100</v>
      </c>
      <c r="AP481" s="111">
        <v>14</v>
      </c>
    </row>
    <row r="482" spans="1:42" ht="15">
      <c r="A482" s="65" t="s">
        <v>553</v>
      </c>
      <c r="B482" s="65" t="s">
        <v>595</v>
      </c>
      <c r="C482" s="66" t="s">
        <v>4651</v>
      </c>
      <c r="D482" s="67">
        <v>3</v>
      </c>
      <c r="E482" s="68"/>
      <c r="F482" s="69">
        <v>40</v>
      </c>
      <c r="G482" s="66"/>
      <c r="H482" s="70"/>
      <c r="I482" s="71"/>
      <c r="J482" s="71"/>
      <c r="K482" s="35" t="s">
        <v>66</v>
      </c>
      <c r="L482" s="79">
        <v>482</v>
      </c>
      <c r="M482" s="79"/>
      <c r="N482" s="73"/>
      <c r="O482" s="81" t="s">
        <v>845</v>
      </c>
      <c r="P482" s="81" t="s">
        <v>847</v>
      </c>
      <c r="Q482" s="84" t="s">
        <v>1306</v>
      </c>
      <c r="R482" s="81" t="s">
        <v>553</v>
      </c>
      <c r="S482" s="81" t="s">
        <v>1912</v>
      </c>
      <c r="T482" s="86" t="str">
        <f>HYPERLINK("http://www.youtube.com/channel/UCqbOeHaAUXw9Il7sBVG3_bw")</f>
        <v>http://www.youtube.com/channel/UCqbOeHaAUXw9Il7sBVG3_bw</v>
      </c>
      <c r="U482" s="81" t="s">
        <v>2262</v>
      </c>
      <c r="V482" s="81" t="s">
        <v>2329</v>
      </c>
      <c r="W482" s="86" t="str">
        <f>HYPERLINK("https://www.youtube.com/watch?v=QYWNXp36O48")</f>
        <v>https://www.youtube.com/watch?v=QYWNXp36O48</v>
      </c>
      <c r="X482" s="81" t="s">
        <v>2349</v>
      </c>
      <c r="Y482" s="81">
        <v>12</v>
      </c>
      <c r="Z482" s="88">
        <v>42995.91339120371</v>
      </c>
      <c r="AA482" s="88">
        <v>42995.91339120371</v>
      </c>
      <c r="AB482" s="81"/>
      <c r="AC482" s="81"/>
      <c r="AD482" s="84" t="s">
        <v>2390</v>
      </c>
      <c r="AE482" s="82">
        <v>1</v>
      </c>
      <c r="AF482" s="83" t="str">
        <f>REPLACE(INDEX(GroupVertices[Group],MATCH(Edges[[#This Row],[Vertex 1]],GroupVertices[Vertex],0)),1,1,"")</f>
        <v>1</v>
      </c>
      <c r="AG482" s="83" t="str">
        <f>REPLACE(INDEX(GroupVertices[Group],MATCH(Edges[[#This Row],[Vertex 2]],GroupVertices[Vertex],0)),1,1,"")</f>
        <v>1</v>
      </c>
      <c r="AH482" s="111">
        <v>0</v>
      </c>
      <c r="AI482" s="112">
        <v>0</v>
      </c>
      <c r="AJ482" s="111">
        <v>0</v>
      </c>
      <c r="AK482" s="112">
        <v>0</v>
      </c>
      <c r="AL482" s="111">
        <v>0</v>
      </c>
      <c r="AM482" s="112">
        <v>0</v>
      </c>
      <c r="AN482" s="111">
        <v>7</v>
      </c>
      <c r="AO482" s="112">
        <v>100</v>
      </c>
      <c r="AP482" s="111">
        <v>7</v>
      </c>
    </row>
    <row r="483" spans="1:42" ht="15">
      <c r="A483" s="65" t="s">
        <v>595</v>
      </c>
      <c r="B483" s="65" t="s">
        <v>553</v>
      </c>
      <c r="C483" s="66" t="s">
        <v>4651</v>
      </c>
      <c r="D483" s="67">
        <v>3</v>
      </c>
      <c r="E483" s="68"/>
      <c r="F483" s="69">
        <v>40</v>
      </c>
      <c r="G483" s="66"/>
      <c r="H483" s="70"/>
      <c r="I483" s="71"/>
      <c r="J483" s="71"/>
      <c r="K483" s="35" t="s">
        <v>66</v>
      </c>
      <c r="L483" s="79">
        <v>483</v>
      </c>
      <c r="M483" s="79"/>
      <c r="N483" s="73"/>
      <c r="O483" s="81" t="s">
        <v>844</v>
      </c>
      <c r="P483" s="81" t="s">
        <v>199</v>
      </c>
      <c r="Q483" s="84" t="s">
        <v>1307</v>
      </c>
      <c r="R483" s="81" t="s">
        <v>595</v>
      </c>
      <c r="S483" s="81" t="s">
        <v>1954</v>
      </c>
      <c r="T483" s="86" t="str">
        <f>HYPERLINK("http://www.youtube.com/channel/UC8bsh-WSrZ0C1_g4q0uheSw")</f>
        <v>http://www.youtube.com/channel/UC8bsh-WSrZ0C1_g4q0uheSw</v>
      </c>
      <c r="U483" s="81"/>
      <c r="V483" s="81" t="s">
        <v>2329</v>
      </c>
      <c r="W483" s="86" t="str">
        <f>HYPERLINK("https://www.youtube.com/watch?v=QYWNXp36O48")</f>
        <v>https://www.youtube.com/watch?v=QYWNXp36O48</v>
      </c>
      <c r="X483" s="81" t="s">
        <v>2349</v>
      </c>
      <c r="Y483" s="81">
        <v>3</v>
      </c>
      <c r="Z483" s="88">
        <v>42995.81178240741</v>
      </c>
      <c r="AA483" s="88">
        <v>42995.81178240741</v>
      </c>
      <c r="AB483" s="81"/>
      <c r="AC483" s="81"/>
      <c r="AD483" s="84" t="s">
        <v>2390</v>
      </c>
      <c r="AE483" s="82">
        <v>1</v>
      </c>
      <c r="AF483" s="83" t="str">
        <f>REPLACE(INDEX(GroupVertices[Group],MATCH(Edges[[#This Row],[Vertex 1]],GroupVertices[Vertex],0)),1,1,"")</f>
        <v>1</v>
      </c>
      <c r="AG483" s="83" t="str">
        <f>REPLACE(INDEX(GroupVertices[Group],MATCH(Edges[[#This Row],[Vertex 2]],GroupVertices[Vertex],0)),1,1,"")</f>
        <v>1</v>
      </c>
      <c r="AH483" s="111">
        <v>0</v>
      </c>
      <c r="AI483" s="112">
        <v>0</v>
      </c>
      <c r="AJ483" s="111">
        <v>0</v>
      </c>
      <c r="AK483" s="112">
        <v>0</v>
      </c>
      <c r="AL483" s="111">
        <v>0</v>
      </c>
      <c r="AM483" s="112">
        <v>0</v>
      </c>
      <c r="AN483" s="111">
        <v>7</v>
      </c>
      <c r="AO483" s="112">
        <v>100</v>
      </c>
      <c r="AP483" s="111">
        <v>7</v>
      </c>
    </row>
    <row r="484" spans="1:42" ht="15">
      <c r="A484" s="65" t="s">
        <v>596</v>
      </c>
      <c r="B484" s="65" t="s">
        <v>598</v>
      </c>
      <c r="C484" s="66" t="s">
        <v>4651</v>
      </c>
      <c r="D484" s="67">
        <v>3</v>
      </c>
      <c r="E484" s="68"/>
      <c r="F484" s="69">
        <v>40</v>
      </c>
      <c r="G484" s="66"/>
      <c r="H484" s="70"/>
      <c r="I484" s="71"/>
      <c r="J484" s="71"/>
      <c r="K484" s="35" t="s">
        <v>65</v>
      </c>
      <c r="L484" s="79">
        <v>484</v>
      </c>
      <c r="M484" s="79"/>
      <c r="N484" s="73"/>
      <c r="O484" s="81" t="s">
        <v>845</v>
      </c>
      <c r="P484" s="81" t="s">
        <v>847</v>
      </c>
      <c r="Q484" s="84" t="s">
        <v>1308</v>
      </c>
      <c r="R484" s="81" t="s">
        <v>596</v>
      </c>
      <c r="S484" s="81" t="s">
        <v>1955</v>
      </c>
      <c r="T484" s="86" t="str">
        <f>HYPERLINK("http://www.youtube.com/channel/UCbnlzasIDFMA-otUhzPIgsw")</f>
        <v>http://www.youtube.com/channel/UCbnlzasIDFMA-otUhzPIgsw</v>
      </c>
      <c r="U484" s="81" t="s">
        <v>2263</v>
      </c>
      <c r="V484" s="81" t="s">
        <v>2329</v>
      </c>
      <c r="W484" s="86" t="str">
        <f>HYPERLINK("https://www.youtube.com/watch?v=QYWNXp36O48")</f>
        <v>https://www.youtube.com/watch?v=QYWNXp36O48</v>
      </c>
      <c r="X484" s="81" t="s">
        <v>2349</v>
      </c>
      <c r="Y484" s="81">
        <v>3</v>
      </c>
      <c r="Z484" s="88">
        <v>43234.969513888886</v>
      </c>
      <c r="AA484" s="88">
        <v>43234.969513888886</v>
      </c>
      <c r="AB484" s="81"/>
      <c r="AC484" s="81"/>
      <c r="AD484" s="84" t="s">
        <v>2390</v>
      </c>
      <c r="AE484" s="82">
        <v>1</v>
      </c>
      <c r="AF484" s="83" t="str">
        <f>REPLACE(INDEX(GroupVertices[Group],MATCH(Edges[[#This Row],[Vertex 1]],GroupVertices[Vertex],0)),1,1,"")</f>
        <v>1</v>
      </c>
      <c r="AG484" s="83" t="str">
        <f>REPLACE(INDEX(GroupVertices[Group],MATCH(Edges[[#This Row],[Vertex 2]],GroupVertices[Vertex],0)),1,1,"")</f>
        <v>1</v>
      </c>
      <c r="AH484" s="111">
        <v>0</v>
      </c>
      <c r="AI484" s="112">
        <v>0</v>
      </c>
      <c r="AJ484" s="111">
        <v>0</v>
      </c>
      <c r="AK484" s="112">
        <v>0</v>
      </c>
      <c r="AL484" s="111">
        <v>0</v>
      </c>
      <c r="AM484" s="112">
        <v>0</v>
      </c>
      <c r="AN484" s="111">
        <v>3</v>
      </c>
      <c r="AO484" s="112">
        <v>100</v>
      </c>
      <c r="AP484" s="111">
        <v>3</v>
      </c>
    </row>
    <row r="485" spans="1:42" ht="15">
      <c r="A485" s="65" t="s">
        <v>597</v>
      </c>
      <c r="B485" s="65" t="s">
        <v>598</v>
      </c>
      <c r="C485" s="66" t="s">
        <v>4651</v>
      </c>
      <c r="D485" s="67">
        <v>3</v>
      </c>
      <c r="E485" s="68"/>
      <c r="F485" s="69">
        <v>40</v>
      </c>
      <c r="G485" s="66"/>
      <c r="H485" s="70"/>
      <c r="I485" s="71"/>
      <c r="J485" s="71"/>
      <c r="K485" s="35" t="s">
        <v>65</v>
      </c>
      <c r="L485" s="79">
        <v>485</v>
      </c>
      <c r="M485" s="79"/>
      <c r="N485" s="73"/>
      <c r="O485" s="81" t="s">
        <v>845</v>
      </c>
      <c r="P485" s="81" t="s">
        <v>847</v>
      </c>
      <c r="Q485" s="84" t="s">
        <v>1309</v>
      </c>
      <c r="R485" s="81" t="s">
        <v>597</v>
      </c>
      <c r="S485" s="81" t="s">
        <v>1956</v>
      </c>
      <c r="T485" s="86" t="str">
        <f>HYPERLINK("http://www.youtube.com/channel/UCdgATLC3qPTQSezm2lpPRiw")</f>
        <v>http://www.youtube.com/channel/UCdgATLC3qPTQSezm2lpPRiw</v>
      </c>
      <c r="U485" s="81" t="s">
        <v>2263</v>
      </c>
      <c r="V485" s="81" t="s">
        <v>2329</v>
      </c>
      <c r="W485" s="86" t="str">
        <f>HYPERLINK("https://www.youtube.com/watch?v=QYWNXp36O48")</f>
        <v>https://www.youtube.com/watch?v=QYWNXp36O48</v>
      </c>
      <c r="X485" s="81" t="s">
        <v>2349</v>
      </c>
      <c r="Y485" s="81">
        <v>8</v>
      </c>
      <c r="Z485" s="88">
        <v>43633.958090277774</v>
      </c>
      <c r="AA485" s="88">
        <v>43633.958090277774</v>
      </c>
      <c r="AB485" s="81"/>
      <c r="AC485" s="81"/>
      <c r="AD485" s="84" t="s">
        <v>2390</v>
      </c>
      <c r="AE485" s="82">
        <v>1</v>
      </c>
      <c r="AF485" s="83" t="str">
        <f>REPLACE(INDEX(GroupVertices[Group],MATCH(Edges[[#This Row],[Vertex 1]],GroupVertices[Vertex],0)),1,1,"")</f>
        <v>1</v>
      </c>
      <c r="AG485" s="83" t="str">
        <f>REPLACE(INDEX(GroupVertices[Group],MATCH(Edges[[#This Row],[Vertex 2]],GroupVertices[Vertex],0)),1,1,"")</f>
        <v>1</v>
      </c>
      <c r="AH485" s="111">
        <v>0</v>
      </c>
      <c r="AI485" s="112">
        <v>0</v>
      </c>
      <c r="AJ485" s="111">
        <v>1</v>
      </c>
      <c r="AK485" s="112">
        <v>11.11111111111111</v>
      </c>
      <c r="AL485" s="111">
        <v>0</v>
      </c>
      <c r="AM485" s="112">
        <v>0</v>
      </c>
      <c r="AN485" s="111">
        <v>8</v>
      </c>
      <c r="AO485" s="112">
        <v>88.88888888888889</v>
      </c>
      <c r="AP485" s="111">
        <v>9</v>
      </c>
    </row>
    <row r="486" spans="1:42" ht="15">
      <c r="A486" s="65" t="s">
        <v>598</v>
      </c>
      <c r="B486" s="65" t="s">
        <v>553</v>
      </c>
      <c r="C486" s="66" t="s">
        <v>4651</v>
      </c>
      <c r="D486" s="67">
        <v>3</v>
      </c>
      <c r="E486" s="68"/>
      <c r="F486" s="69">
        <v>40</v>
      </c>
      <c r="G486" s="66"/>
      <c r="H486" s="70"/>
      <c r="I486" s="71"/>
      <c r="J486" s="71"/>
      <c r="K486" s="35" t="s">
        <v>65</v>
      </c>
      <c r="L486" s="79">
        <v>486</v>
      </c>
      <c r="M486" s="79"/>
      <c r="N486" s="73"/>
      <c r="O486" s="81" t="s">
        <v>844</v>
      </c>
      <c r="P486" s="81" t="s">
        <v>199</v>
      </c>
      <c r="Q486" s="84" t="s">
        <v>1310</v>
      </c>
      <c r="R486" s="81" t="s">
        <v>598</v>
      </c>
      <c r="S486" s="81" t="s">
        <v>1957</v>
      </c>
      <c r="T486" s="86" t="str">
        <f>HYPERLINK("http://www.youtube.com/channel/UCuyr7c1eKDQOYOTUfTxGMBA")</f>
        <v>http://www.youtube.com/channel/UCuyr7c1eKDQOYOTUfTxGMBA</v>
      </c>
      <c r="U486" s="81"/>
      <c r="V486" s="81" t="s">
        <v>2329</v>
      </c>
      <c r="W486" s="86" t="str">
        <f>HYPERLINK("https://www.youtube.com/watch?v=QYWNXp36O48")</f>
        <v>https://www.youtube.com/watch?v=QYWNXp36O48</v>
      </c>
      <c r="X486" s="81" t="s">
        <v>2349</v>
      </c>
      <c r="Y486" s="81">
        <v>159</v>
      </c>
      <c r="Z486" s="88">
        <v>42995.81657407407</v>
      </c>
      <c r="AA486" s="88">
        <v>42995.81657407407</v>
      </c>
      <c r="AB486" s="81"/>
      <c r="AC486" s="81"/>
      <c r="AD486" s="84" t="s">
        <v>2390</v>
      </c>
      <c r="AE486" s="82">
        <v>1</v>
      </c>
      <c r="AF486" s="83" t="str">
        <f>REPLACE(INDEX(GroupVertices[Group],MATCH(Edges[[#This Row],[Vertex 1]],GroupVertices[Vertex],0)),1,1,"")</f>
        <v>1</v>
      </c>
      <c r="AG486" s="83" t="str">
        <f>REPLACE(INDEX(GroupVertices[Group],MATCH(Edges[[#This Row],[Vertex 2]],GroupVertices[Vertex],0)),1,1,"")</f>
        <v>1</v>
      </c>
      <c r="AH486" s="111">
        <v>5</v>
      </c>
      <c r="AI486" s="112">
        <v>9.433962264150944</v>
      </c>
      <c r="AJ486" s="111">
        <v>0</v>
      </c>
      <c r="AK486" s="112">
        <v>0</v>
      </c>
      <c r="AL486" s="111">
        <v>0</v>
      </c>
      <c r="AM486" s="112">
        <v>0</v>
      </c>
      <c r="AN486" s="111">
        <v>48</v>
      </c>
      <c r="AO486" s="112">
        <v>90.56603773584905</v>
      </c>
      <c r="AP486" s="111">
        <v>53</v>
      </c>
    </row>
    <row r="487" spans="1:42" ht="15">
      <c r="A487" s="65" t="s">
        <v>599</v>
      </c>
      <c r="B487" s="65" t="s">
        <v>608</v>
      </c>
      <c r="C487" s="66" t="s">
        <v>4651</v>
      </c>
      <c r="D487" s="67">
        <v>3</v>
      </c>
      <c r="E487" s="68"/>
      <c r="F487" s="69">
        <v>40</v>
      </c>
      <c r="G487" s="66"/>
      <c r="H487" s="70"/>
      <c r="I487" s="71"/>
      <c r="J487" s="71"/>
      <c r="K487" s="35" t="s">
        <v>65</v>
      </c>
      <c r="L487" s="79">
        <v>487</v>
      </c>
      <c r="M487" s="79"/>
      <c r="N487" s="73"/>
      <c r="O487" s="81" t="s">
        <v>845</v>
      </c>
      <c r="P487" s="81" t="s">
        <v>847</v>
      </c>
      <c r="Q487" s="84" t="s">
        <v>1311</v>
      </c>
      <c r="R487" s="81" t="s">
        <v>599</v>
      </c>
      <c r="S487" s="81" t="s">
        <v>1958</v>
      </c>
      <c r="T487" s="86" t="str">
        <f>HYPERLINK("http://www.youtube.com/channel/UC4LkC8orOfPAL6JcREKcwLg")</f>
        <v>http://www.youtube.com/channel/UC4LkC8orOfPAL6JcREKcwLg</v>
      </c>
      <c r="U487" s="81" t="s">
        <v>2264</v>
      </c>
      <c r="V487" s="81" t="s">
        <v>2329</v>
      </c>
      <c r="W487" s="86" t="str">
        <f>HYPERLINK("https://www.youtube.com/watch?v=")</f>
        <v>https://www.youtube.com/watch?v=</v>
      </c>
      <c r="X487" s="81" t="s">
        <v>2349</v>
      </c>
      <c r="Y487" s="81">
        <v>11</v>
      </c>
      <c r="Z487" s="88">
        <v>43107.78625</v>
      </c>
      <c r="AA487" s="88">
        <v>43107.78625</v>
      </c>
      <c r="AB487" s="81"/>
      <c r="AC487" s="81"/>
      <c r="AD487" s="84" t="s">
        <v>2390</v>
      </c>
      <c r="AE487" s="82">
        <v>1</v>
      </c>
      <c r="AF487" s="83" t="str">
        <f>REPLACE(INDEX(GroupVertices[Group],MATCH(Edges[[#This Row],[Vertex 1]],GroupVertices[Vertex],0)),1,1,"")</f>
        <v>12</v>
      </c>
      <c r="AG487" s="83" t="str">
        <f>REPLACE(INDEX(GroupVertices[Group],MATCH(Edges[[#This Row],[Vertex 2]],GroupVertices[Vertex],0)),1,1,"")</f>
        <v>12</v>
      </c>
      <c r="AH487" s="111">
        <v>0</v>
      </c>
      <c r="AI487" s="112">
        <v>0</v>
      </c>
      <c r="AJ487" s="111">
        <v>0</v>
      </c>
      <c r="AK487" s="112">
        <v>0</v>
      </c>
      <c r="AL487" s="111">
        <v>0</v>
      </c>
      <c r="AM487" s="112">
        <v>0</v>
      </c>
      <c r="AN487" s="111">
        <v>5</v>
      </c>
      <c r="AO487" s="112">
        <v>100</v>
      </c>
      <c r="AP487" s="111">
        <v>5</v>
      </c>
    </row>
    <row r="488" spans="1:42" ht="15">
      <c r="A488" s="65" t="s">
        <v>600</v>
      </c>
      <c r="B488" s="65" t="s">
        <v>608</v>
      </c>
      <c r="C488" s="66" t="s">
        <v>4651</v>
      </c>
      <c r="D488" s="67">
        <v>3</v>
      </c>
      <c r="E488" s="68"/>
      <c r="F488" s="69">
        <v>40</v>
      </c>
      <c r="G488" s="66"/>
      <c r="H488" s="70"/>
      <c r="I488" s="71"/>
      <c r="J488" s="71"/>
      <c r="K488" s="35" t="s">
        <v>65</v>
      </c>
      <c r="L488" s="79">
        <v>488</v>
      </c>
      <c r="M488" s="79"/>
      <c r="N488" s="73"/>
      <c r="O488" s="81" t="s">
        <v>845</v>
      </c>
      <c r="P488" s="81" t="s">
        <v>847</v>
      </c>
      <c r="Q488" s="84" t="s">
        <v>1312</v>
      </c>
      <c r="R488" s="81" t="s">
        <v>600</v>
      </c>
      <c r="S488" s="81" t="s">
        <v>1959</v>
      </c>
      <c r="T488" s="86" t="str">
        <f>HYPERLINK("http://www.youtube.com/channel/UCkYhBzBLlFWcH49l9vGgylQ")</f>
        <v>http://www.youtube.com/channel/UCkYhBzBLlFWcH49l9vGgylQ</v>
      </c>
      <c r="U488" s="81" t="s">
        <v>2264</v>
      </c>
      <c r="V488" s="81" t="s">
        <v>2329</v>
      </c>
      <c r="W488" s="86" t="str">
        <f>HYPERLINK("https://www.youtube.com/watch?v=")</f>
        <v>https://www.youtube.com/watch?v=</v>
      </c>
      <c r="X488" s="81" t="s">
        <v>2349</v>
      </c>
      <c r="Y488" s="81">
        <v>11</v>
      </c>
      <c r="Z488" s="88">
        <v>43222.797685185185</v>
      </c>
      <c r="AA488" s="88">
        <v>43222.797685185185</v>
      </c>
      <c r="AB488" s="81"/>
      <c r="AC488" s="81"/>
      <c r="AD488" s="84" t="s">
        <v>2390</v>
      </c>
      <c r="AE488" s="82">
        <v>1</v>
      </c>
      <c r="AF488" s="83" t="str">
        <f>REPLACE(INDEX(GroupVertices[Group],MATCH(Edges[[#This Row],[Vertex 1]],GroupVertices[Vertex],0)),1,1,"")</f>
        <v>12</v>
      </c>
      <c r="AG488" s="83" t="str">
        <f>REPLACE(INDEX(GroupVertices[Group],MATCH(Edges[[#This Row],[Vertex 2]],GroupVertices[Vertex],0)),1,1,"")</f>
        <v>12</v>
      </c>
      <c r="AH488" s="111">
        <v>1</v>
      </c>
      <c r="AI488" s="112">
        <v>25</v>
      </c>
      <c r="AJ488" s="111">
        <v>0</v>
      </c>
      <c r="AK488" s="112">
        <v>0</v>
      </c>
      <c r="AL488" s="111">
        <v>0</v>
      </c>
      <c r="AM488" s="112">
        <v>0</v>
      </c>
      <c r="AN488" s="111">
        <v>3</v>
      </c>
      <c r="AO488" s="112">
        <v>75</v>
      </c>
      <c r="AP488" s="111">
        <v>4</v>
      </c>
    </row>
    <row r="489" spans="1:42" ht="15">
      <c r="A489" s="65" t="s">
        <v>601</v>
      </c>
      <c r="B489" s="65" t="s">
        <v>608</v>
      </c>
      <c r="C489" s="66" t="s">
        <v>4651</v>
      </c>
      <c r="D489" s="67">
        <v>3</v>
      </c>
      <c r="E489" s="68"/>
      <c r="F489" s="69">
        <v>40</v>
      </c>
      <c r="G489" s="66"/>
      <c r="H489" s="70"/>
      <c r="I489" s="71"/>
      <c r="J489" s="71"/>
      <c r="K489" s="35" t="s">
        <v>65</v>
      </c>
      <c r="L489" s="79">
        <v>489</v>
      </c>
      <c r="M489" s="79"/>
      <c r="N489" s="73"/>
      <c r="O489" s="81" t="s">
        <v>845</v>
      </c>
      <c r="P489" s="81" t="s">
        <v>847</v>
      </c>
      <c r="Q489" s="84" t="s">
        <v>1313</v>
      </c>
      <c r="R489" s="81" t="s">
        <v>601</v>
      </c>
      <c r="S489" s="81" t="s">
        <v>1960</v>
      </c>
      <c r="T489" s="86" t="str">
        <f>HYPERLINK("http://www.youtube.com/channel/UCkje6Mcjq7DR0FIUQtLe82Q")</f>
        <v>http://www.youtube.com/channel/UCkje6Mcjq7DR0FIUQtLe82Q</v>
      </c>
      <c r="U489" s="81" t="s">
        <v>2264</v>
      </c>
      <c r="V489" s="81" t="s">
        <v>2329</v>
      </c>
      <c r="W489" s="86" t="str">
        <f>HYPERLINK("https://www.youtube.com/watch?v=")</f>
        <v>https://www.youtube.com/watch?v=</v>
      </c>
      <c r="X489" s="81" t="s">
        <v>2349</v>
      </c>
      <c r="Y489" s="81">
        <v>3</v>
      </c>
      <c r="Z489" s="88">
        <v>43355.866319444445</v>
      </c>
      <c r="AA489" s="88">
        <v>43355.866319444445</v>
      </c>
      <c r="AB489" s="81"/>
      <c r="AC489" s="81"/>
      <c r="AD489" s="84" t="s">
        <v>2390</v>
      </c>
      <c r="AE489" s="82">
        <v>1</v>
      </c>
      <c r="AF489" s="83" t="str">
        <f>REPLACE(INDEX(GroupVertices[Group],MATCH(Edges[[#This Row],[Vertex 1]],GroupVertices[Vertex],0)),1,1,"")</f>
        <v>12</v>
      </c>
      <c r="AG489" s="83" t="str">
        <f>REPLACE(INDEX(GroupVertices[Group],MATCH(Edges[[#This Row],[Vertex 2]],GroupVertices[Vertex],0)),1,1,"")</f>
        <v>12</v>
      </c>
      <c r="AH489" s="111">
        <v>0</v>
      </c>
      <c r="AI489" s="112">
        <v>0</v>
      </c>
      <c r="AJ489" s="111">
        <v>0</v>
      </c>
      <c r="AK489" s="112">
        <v>0</v>
      </c>
      <c r="AL489" s="111">
        <v>0</v>
      </c>
      <c r="AM489" s="112">
        <v>0</v>
      </c>
      <c r="AN489" s="111">
        <v>5</v>
      </c>
      <c r="AO489" s="112">
        <v>100</v>
      </c>
      <c r="AP489" s="111">
        <v>5</v>
      </c>
    </row>
    <row r="490" spans="1:42" ht="15">
      <c r="A490" s="65" t="s">
        <v>602</v>
      </c>
      <c r="B490" s="65" t="s">
        <v>608</v>
      </c>
      <c r="C490" s="66" t="s">
        <v>4651</v>
      </c>
      <c r="D490" s="67">
        <v>3</v>
      </c>
      <c r="E490" s="68"/>
      <c r="F490" s="69">
        <v>40</v>
      </c>
      <c r="G490" s="66"/>
      <c r="H490" s="70"/>
      <c r="I490" s="71"/>
      <c r="J490" s="71"/>
      <c r="K490" s="35" t="s">
        <v>65</v>
      </c>
      <c r="L490" s="79">
        <v>490</v>
      </c>
      <c r="M490" s="79"/>
      <c r="N490" s="73"/>
      <c r="O490" s="81" t="s">
        <v>845</v>
      </c>
      <c r="P490" s="81" t="s">
        <v>847</v>
      </c>
      <c r="Q490" s="84" t="s">
        <v>1314</v>
      </c>
      <c r="R490" s="81" t="s">
        <v>602</v>
      </c>
      <c r="S490" s="81" t="s">
        <v>1961</v>
      </c>
      <c r="T490" s="86" t="str">
        <f>HYPERLINK("http://www.youtube.com/channel/UC5svPzYb-Q2h5UgW3fUxIfg")</f>
        <v>http://www.youtube.com/channel/UC5svPzYb-Q2h5UgW3fUxIfg</v>
      </c>
      <c r="U490" s="81" t="s">
        <v>2264</v>
      </c>
      <c r="V490" s="81" t="s">
        <v>2329</v>
      </c>
      <c r="W490" s="86" t="str">
        <f>HYPERLINK("https://www.youtube.com/watch?v=")</f>
        <v>https://www.youtube.com/watch?v=</v>
      </c>
      <c r="X490" s="81" t="s">
        <v>2349</v>
      </c>
      <c r="Y490" s="81">
        <v>36</v>
      </c>
      <c r="Z490" s="88">
        <v>43564.66287037037</v>
      </c>
      <c r="AA490" s="88">
        <v>43564.66287037037</v>
      </c>
      <c r="AB490" s="81"/>
      <c r="AC490" s="81"/>
      <c r="AD490" s="84" t="s">
        <v>2390</v>
      </c>
      <c r="AE490" s="82">
        <v>1</v>
      </c>
      <c r="AF490" s="83" t="str">
        <f>REPLACE(INDEX(GroupVertices[Group],MATCH(Edges[[#This Row],[Vertex 1]],GroupVertices[Vertex],0)),1,1,"")</f>
        <v>12</v>
      </c>
      <c r="AG490" s="83" t="str">
        <f>REPLACE(INDEX(GroupVertices[Group],MATCH(Edges[[#This Row],[Vertex 2]],GroupVertices[Vertex],0)),1,1,"")</f>
        <v>12</v>
      </c>
      <c r="AH490" s="111">
        <v>0</v>
      </c>
      <c r="AI490" s="112">
        <v>0</v>
      </c>
      <c r="AJ490" s="111">
        <v>2</v>
      </c>
      <c r="AK490" s="112">
        <v>20</v>
      </c>
      <c r="AL490" s="111">
        <v>0</v>
      </c>
      <c r="AM490" s="112">
        <v>0</v>
      </c>
      <c r="AN490" s="111">
        <v>8</v>
      </c>
      <c r="AO490" s="112">
        <v>80</v>
      </c>
      <c r="AP490" s="111">
        <v>10</v>
      </c>
    </row>
    <row r="491" spans="1:42" ht="15">
      <c r="A491" s="65" t="s">
        <v>603</v>
      </c>
      <c r="B491" s="65" t="s">
        <v>608</v>
      </c>
      <c r="C491" s="66" t="s">
        <v>4651</v>
      </c>
      <c r="D491" s="67">
        <v>3</v>
      </c>
      <c r="E491" s="68"/>
      <c r="F491" s="69">
        <v>40</v>
      </c>
      <c r="G491" s="66"/>
      <c r="H491" s="70"/>
      <c r="I491" s="71"/>
      <c r="J491" s="71"/>
      <c r="K491" s="35" t="s">
        <v>65</v>
      </c>
      <c r="L491" s="79">
        <v>491</v>
      </c>
      <c r="M491" s="79"/>
      <c r="N491" s="73"/>
      <c r="O491" s="81" t="s">
        <v>845</v>
      </c>
      <c r="P491" s="81" t="s">
        <v>847</v>
      </c>
      <c r="Q491" s="84" t="s">
        <v>1315</v>
      </c>
      <c r="R491" s="81" t="s">
        <v>603</v>
      </c>
      <c r="S491" s="81" t="s">
        <v>1962</v>
      </c>
      <c r="T491" s="86" t="str">
        <f>HYPERLINK("http://www.youtube.com/channel/UCxNm0L1VAwHS8dZ7yDXOjxA")</f>
        <v>http://www.youtube.com/channel/UCxNm0L1VAwHS8dZ7yDXOjxA</v>
      </c>
      <c r="U491" s="81" t="s">
        <v>2264</v>
      </c>
      <c r="V491" s="81" t="s">
        <v>2329</v>
      </c>
      <c r="W491" s="86" t="str">
        <f>HYPERLINK("https://www.youtube.com/watch?v=")</f>
        <v>https://www.youtube.com/watch?v=</v>
      </c>
      <c r="X491" s="81" t="s">
        <v>2349</v>
      </c>
      <c r="Y491" s="81">
        <v>10</v>
      </c>
      <c r="Z491" s="88">
        <v>43593.58553240741</v>
      </c>
      <c r="AA491" s="88">
        <v>43593.58553240741</v>
      </c>
      <c r="AB491" s="81"/>
      <c r="AC491" s="81"/>
      <c r="AD491" s="84" t="s">
        <v>2390</v>
      </c>
      <c r="AE491" s="82">
        <v>1</v>
      </c>
      <c r="AF491" s="83" t="str">
        <f>REPLACE(INDEX(GroupVertices[Group],MATCH(Edges[[#This Row],[Vertex 1]],GroupVertices[Vertex],0)),1,1,"")</f>
        <v>12</v>
      </c>
      <c r="AG491" s="83" t="str">
        <f>REPLACE(INDEX(GroupVertices[Group],MATCH(Edges[[#This Row],[Vertex 2]],GroupVertices[Vertex],0)),1,1,"")</f>
        <v>12</v>
      </c>
      <c r="AH491" s="111">
        <v>1</v>
      </c>
      <c r="AI491" s="112">
        <v>50</v>
      </c>
      <c r="AJ491" s="111">
        <v>0</v>
      </c>
      <c r="AK491" s="112">
        <v>0</v>
      </c>
      <c r="AL491" s="111">
        <v>0</v>
      </c>
      <c r="AM491" s="112">
        <v>0</v>
      </c>
      <c r="AN491" s="111">
        <v>1</v>
      </c>
      <c r="AO491" s="112">
        <v>50</v>
      </c>
      <c r="AP491" s="111">
        <v>2</v>
      </c>
    </row>
    <row r="492" spans="1:42" ht="15">
      <c r="A492" s="65" t="s">
        <v>604</v>
      </c>
      <c r="B492" s="65" t="s">
        <v>608</v>
      </c>
      <c r="C492" s="66" t="s">
        <v>4651</v>
      </c>
      <c r="D492" s="67">
        <v>3</v>
      </c>
      <c r="E492" s="68"/>
      <c r="F492" s="69">
        <v>40</v>
      </c>
      <c r="G492" s="66"/>
      <c r="H492" s="70"/>
      <c r="I492" s="71"/>
      <c r="J492" s="71"/>
      <c r="K492" s="35" t="s">
        <v>65</v>
      </c>
      <c r="L492" s="79">
        <v>492</v>
      </c>
      <c r="M492" s="79"/>
      <c r="N492" s="73"/>
      <c r="O492" s="81" t="s">
        <v>845</v>
      </c>
      <c r="P492" s="81" t="s">
        <v>847</v>
      </c>
      <c r="Q492" s="84" t="s">
        <v>1316</v>
      </c>
      <c r="R492" s="81" t="s">
        <v>604</v>
      </c>
      <c r="S492" s="81" t="s">
        <v>1963</v>
      </c>
      <c r="T492" s="86" t="str">
        <f>HYPERLINK("http://www.youtube.com/channel/UC3LBkyF05aXlH8CTdYBy_Eg")</f>
        <v>http://www.youtube.com/channel/UC3LBkyF05aXlH8CTdYBy_Eg</v>
      </c>
      <c r="U492" s="81" t="s">
        <v>2264</v>
      </c>
      <c r="V492" s="81" t="s">
        <v>2329</v>
      </c>
      <c r="W492" s="86" t="str">
        <f>HYPERLINK("https://www.youtube.com/watch?v=")</f>
        <v>https://www.youtube.com/watch?v=</v>
      </c>
      <c r="X492" s="81" t="s">
        <v>2349</v>
      </c>
      <c r="Y492" s="81">
        <v>1</v>
      </c>
      <c r="Z492" s="88">
        <v>43799.756736111114</v>
      </c>
      <c r="AA492" s="88">
        <v>43799.756736111114</v>
      </c>
      <c r="AB492" s="81"/>
      <c r="AC492" s="81"/>
      <c r="AD492" s="84" t="s">
        <v>2390</v>
      </c>
      <c r="AE492" s="82">
        <v>1</v>
      </c>
      <c r="AF492" s="83" t="str">
        <f>REPLACE(INDEX(GroupVertices[Group],MATCH(Edges[[#This Row],[Vertex 1]],GroupVertices[Vertex],0)),1,1,"")</f>
        <v>12</v>
      </c>
      <c r="AG492" s="83" t="str">
        <f>REPLACE(INDEX(GroupVertices[Group],MATCH(Edges[[#This Row],[Vertex 2]],GroupVertices[Vertex],0)),1,1,"")</f>
        <v>12</v>
      </c>
      <c r="AH492" s="111">
        <v>1</v>
      </c>
      <c r="AI492" s="112">
        <v>20</v>
      </c>
      <c r="AJ492" s="111">
        <v>0</v>
      </c>
      <c r="AK492" s="112">
        <v>0</v>
      </c>
      <c r="AL492" s="111">
        <v>0</v>
      </c>
      <c r="AM492" s="112">
        <v>0</v>
      </c>
      <c r="AN492" s="111">
        <v>4</v>
      </c>
      <c r="AO492" s="112">
        <v>80</v>
      </c>
      <c r="AP492" s="111">
        <v>5</v>
      </c>
    </row>
    <row r="493" spans="1:42" ht="15">
      <c r="A493" s="65" t="s">
        <v>605</v>
      </c>
      <c r="B493" s="65" t="s">
        <v>608</v>
      </c>
      <c r="C493" s="66" t="s">
        <v>4651</v>
      </c>
      <c r="D493" s="67">
        <v>3</v>
      </c>
      <c r="E493" s="68"/>
      <c r="F493" s="69">
        <v>40</v>
      </c>
      <c r="G493" s="66"/>
      <c r="H493" s="70"/>
      <c r="I493" s="71"/>
      <c r="J493" s="71"/>
      <c r="K493" s="35" t="s">
        <v>65</v>
      </c>
      <c r="L493" s="79">
        <v>493</v>
      </c>
      <c r="M493" s="79"/>
      <c r="N493" s="73"/>
      <c r="O493" s="81" t="s">
        <v>845</v>
      </c>
      <c r="P493" s="81" t="s">
        <v>847</v>
      </c>
      <c r="Q493" s="84" t="s">
        <v>1317</v>
      </c>
      <c r="R493" s="81" t="s">
        <v>605</v>
      </c>
      <c r="S493" s="81" t="s">
        <v>1964</v>
      </c>
      <c r="T493" s="86" t="str">
        <f>HYPERLINK("http://www.youtube.com/channel/UCtDTJswKfTIo929ea9LuyVA")</f>
        <v>http://www.youtube.com/channel/UCtDTJswKfTIo929ea9LuyVA</v>
      </c>
      <c r="U493" s="81" t="s">
        <v>2264</v>
      </c>
      <c r="V493" s="81" t="s">
        <v>2329</v>
      </c>
      <c r="W493" s="86" t="str">
        <f>HYPERLINK("https://www.youtube.com/watch?v=")</f>
        <v>https://www.youtube.com/watch?v=</v>
      </c>
      <c r="X493" s="81" t="s">
        <v>2349</v>
      </c>
      <c r="Y493" s="81">
        <v>1</v>
      </c>
      <c r="Z493" s="88">
        <v>43802.86959490741</v>
      </c>
      <c r="AA493" s="88">
        <v>43802.86959490741</v>
      </c>
      <c r="AB493" s="81"/>
      <c r="AC493" s="81"/>
      <c r="AD493" s="84" t="s">
        <v>2390</v>
      </c>
      <c r="AE493" s="82">
        <v>1</v>
      </c>
      <c r="AF493" s="83" t="str">
        <f>REPLACE(INDEX(GroupVertices[Group],MATCH(Edges[[#This Row],[Vertex 1]],GroupVertices[Vertex],0)),1,1,"")</f>
        <v>12</v>
      </c>
      <c r="AG493" s="83" t="str">
        <f>REPLACE(INDEX(GroupVertices[Group],MATCH(Edges[[#This Row],[Vertex 2]],GroupVertices[Vertex],0)),1,1,"")</f>
        <v>12</v>
      </c>
      <c r="AH493" s="111">
        <v>1</v>
      </c>
      <c r="AI493" s="112">
        <v>25</v>
      </c>
      <c r="AJ493" s="111">
        <v>0</v>
      </c>
      <c r="AK493" s="112">
        <v>0</v>
      </c>
      <c r="AL493" s="111">
        <v>0</v>
      </c>
      <c r="AM493" s="112">
        <v>0</v>
      </c>
      <c r="AN493" s="111">
        <v>3</v>
      </c>
      <c r="AO493" s="112">
        <v>75</v>
      </c>
      <c r="AP493" s="111">
        <v>4</v>
      </c>
    </row>
    <row r="494" spans="1:42" ht="15">
      <c r="A494" s="65" t="s">
        <v>606</v>
      </c>
      <c r="B494" s="65" t="s">
        <v>608</v>
      </c>
      <c r="C494" s="66" t="s">
        <v>4651</v>
      </c>
      <c r="D494" s="67">
        <v>3</v>
      </c>
      <c r="E494" s="68"/>
      <c r="F494" s="69">
        <v>40</v>
      </c>
      <c r="G494" s="66"/>
      <c r="H494" s="70"/>
      <c r="I494" s="71"/>
      <c r="J494" s="71"/>
      <c r="K494" s="35" t="s">
        <v>65</v>
      </c>
      <c r="L494" s="79">
        <v>494</v>
      </c>
      <c r="M494" s="79"/>
      <c r="N494" s="73"/>
      <c r="O494" s="81" t="s">
        <v>845</v>
      </c>
      <c r="P494" s="81" t="s">
        <v>847</v>
      </c>
      <c r="Q494" s="84" t="s">
        <v>1318</v>
      </c>
      <c r="R494" s="81" t="s">
        <v>606</v>
      </c>
      <c r="S494" s="81" t="s">
        <v>1965</v>
      </c>
      <c r="T494" s="86" t="str">
        <f>HYPERLINK("http://www.youtube.com/channel/UCVTQwxMQKcjgXSajrmFcadg")</f>
        <v>http://www.youtube.com/channel/UCVTQwxMQKcjgXSajrmFcadg</v>
      </c>
      <c r="U494" s="81" t="s">
        <v>2264</v>
      </c>
      <c r="V494" s="81" t="s">
        <v>2329</v>
      </c>
      <c r="W494" s="86" t="str">
        <f>HYPERLINK("https://www.youtube.com/watch?v=")</f>
        <v>https://www.youtube.com/watch?v=</v>
      </c>
      <c r="X494" s="81" t="s">
        <v>2349</v>
      </c>
      <c r="Y494" s="81">
        <v>1</v>
      </c>
      <c r="Z494" s="88">
        <v>43999.68078703704</v>
      </c>
      <c r="AA494" s="88">
        <v>43999.68078703704</v>
      </c>
      <c r="AB494" s="81"/>
      <c r="AC494" s="81"/>
      <c r="AD494" s="84" t="s">
        <v>2390</v>
      </c>
      <c r="AE494" s="82">
        <v>1</v>
      </c>
      <c r="AF494" s="83" t="str">
        <f>REPLACE(INDEX(GroupVertices[Group],MATCH(Edges[[#This Row],[Vertex 1]],GroupVertices[Vertex],0)),1,1,"")</f>
        <v>12</v>
      </c>
      <c r="AG494" s="83" t="str">
        <f>REPLACE(INDEX(GroupVertices[Group],MATCH(Edges[[#This Row],[Vertex 2]],GroupVertices[Vertex],0)),1,1,"")</f>
        <v>12</v>
      </c>
      <c r="AH494" s="111">
        <v>0</v>
      </c>
      <c r="AI494" s="112">
        <v>0</v>
      </c>
      <c r="AJ494" s="111">
        <v>0</v>
      </c>
      <c r="AK494" s="112">
        <v>0</v>
      </c>
      <c r="AL494" s="111">
        <v>0</v>
      </c>
      <c r="AM494" s="112">
        <v>0</v>
      </c>
      <c r="AN494" s="111">
        <v>7</v>
      </c>
      <c r="AO494" s="112">
        <v>100</v>
      </c>
      <c r="AP494" s="111">
        <v>7</v>
      </c>
    </row>
    <row r="495" spans="1:42" ht="15">
      <c r="A495" s="65" t="s">
        <v>607</v>
      </c>
      <c r="B495" s="65" t="s">
        <v>608</v>
      </c>
      <c r="C495" s="66" t="s">
        <v>4651</v>
      </c>
      <c r="D495" s="67">
        <v>3</v>
      </c>
      <c r="E495" s="68"/>
      <c r="F495" s="69">
        <v>40</v>
      </c>
      <c r="G495" s="66"/>
      <c r="H495" s="70"/>
      <c r="I495" s="71"/>
      <c r="J495" s="71"/>
      <c r="K495" s="35" t="s">
        <v>65</v>
      </c>
      <c r="L495" s="79">
        <v>495</v>
      </c>
      <c r="M495" s="79"/>
      <c r="N495" s="73"/>
      <c r="O495" s="81" t="s">
        <v>845</v>
      </c>
      <c r="P495" s="81" t="s">
        <v>847</v>
      </c>
      <c r="Q495" s="84" t="s">
        <v>1319</v>
      </c>
      <c r="R495" s="81" t="s">
        <v>607</v>
      </c>
      <c r="S495" s="81" t="s">
        <v>1966</v>
      </c>
      <c r="T495" s="86" t="str">
        <f>HYPERLINK("http://www.youtube.com/channel/UCW2mhNoDumoJAeqYxmSBVJA")</f>
        <v>http://www.youtube.com/channel/UCW2mhNoDumoJAeqYxmSBVJA</v>
      </c>
      <c r="U495" s="81" t="s">
        <v>2264</v>
      </c>
      <c r="V495" s="81" t="s">
        <v>2329</v>
      </c>
      <c r="W495" s="86" t="str">
        <f>HYPERLINK("https://www.youtube.com/watch?v=")</f>
        <v>https://www.youtube.com/watch?v=</v>
      </c>
      <c r="X495" s="81" t="s">
        <v>2349</v>
      </c>
      <c r="Y495" s="81">
        <v>0</v>
      </c>
      <c r="Z495" s="88">
        <v>44260.71927083333</v>
      </c>
      <c r="AA495" s="88">
        <v>44260.71927083333</v>
      </c>
      <c r="AB495" s="81"/>
      <c r="AC495" s="81"/>
      <c r="AD495" s="84" t="s">
        <v>2390</v>
      </c>
      <c r="AE495" s="82">
        <v>1</v>
      </c>
      <c r="AF495" s="83" t="str">
        <f>REPLACE(INDEX(GroupVertices[Group],MATCH(Edges[[#This Row],[Vertex 1]],GroupVertices[Vertex],0)),1,1,"")</f>
        <v>12</v>
      </c>
      <c r="AG495" s="83" t="str">
        <f>REPLACE(INDEX(GroupVertices[Group],MATCH(Edges[[#This Row],[Vertex 2]],GroupVertices[Vertex],0)),1,1,"")</f>
        <v>12</v>
      </c>
      <c r="AH495" s="111">
        <v>2</v>
      </c>
      <c r="AI495" s="112">
        <v>40</v>
      </c>
      <c r="AJ495" s="111">
        <v>0</v>
      </c>
      <c r="AK495" s="112">
        <v>0</v>
      </c>
      <c r="AL495" s="111">
        <v>0</v>
      </c>
      <c r="AM495" s="112">
        <v>0</v>
      </c>
      <c r="AN495" s="111">
        <v>3</v>
      </c>
      <c r="AO495" s="112">
        <v>60</v>
      </c>
      <c r="AP495" s="111">
        <v>5</v>
      </c>
    </row>
    <row r="496" spans="1:42" ht="15">
      <c r="A496" s="65" t="s">
        <v>608</v>
      </c>
      <c r="B496" s="65" t="s">
        <v>553</v>
      </c>
      <c r="C496" s="66" t="s">
        <v>4651</v>
      </c>
      <c r="D496" s="67">
        <v>3</v>
      </c>
      <c r="E496" s="68"/>
      <c r="F496" s="69">
        <v>40</v>
      </c>
      <c r="G496" s="66"/>
      <c r="H496" s="70"/>
      <c r="I496" s="71"/>
      <c r="J496" s="71"/>
      <c r="K496" s="35" t="s">
        <v>65</v>
      </c>
      <c r="L496" s="79">
        <v>496</v>
      </c>
      <c r="M496" s="79"/>
      <c r="N496" s="73"/>
      <c r="O496" s="81" t="s">
        <v>844</v>
      </c>
      <c r="P496" s="81" t="s">
        <v>199</v>
      </c>
      <c r="Q496" s="84" t="s">
        <v>1320</v>
      </c>
      <c r="R496" s="81" t="s">
        <v>608</v>
      </c>
      <c r="S496" s="81" t="s">
        <v>1967</v>
      </c>
      <c r="T496" s="86" t="str">
        <f>HYPERLINK("http://www.youtube.com/channel/UCdNDDoX2E_HLp9xMTbh7SMg")</f>
        <v>http://www.youtube.com/channel/UCdNDDoX2E_HLp9xMTbh7SMg</v>
      </c>
      <c r="U496" s="81"/>
      <c r="V496" s="81" t="s">
        <v>2329</v>
      </c>
      <c r="W496" s="86" t="str">
        <f>HYPERLINK("https://www.youtube.com/watch?v=QYWNXp36O48")</f>
        <v>https://www.youtube.com/watch?v=QYWNXp36O48</v>
      </c>
      <c r="X496" s="81" t="s">
        <v>2349</v>
      </c>
      <c r="Y496" s="81">
        <v>284</v>
      </c>
      <c r="Z496" s="88">
        <v>42995.82050925926</v>
      </c>
      <c r="AA496" s="88">
        <v>42995.82050925926</v>
      </c>
      <c r="AB496" s="81"/>
      <c r="AC496" s="81"/>
      <c r="AD496" s="84" t="s">
        <v>2390</v>
      </c>
      <c r="AE496" s="82">
        <v>1</v>
      </c>
      <c r="AF496" s="83" t="str">
        <f>REPLACE(INDEX(GroupVertices[Group],MATCH(Edges[[#This Row],[Vertex 1]],GroupVertices[Vertex],0)),1,1,"")</f>
        <v>12</v>
      </c>
      <c r="AG496" s="83" t="str">
        <f>REPLACE(INDEX(GroupVertices[Group],MATCH(Edges[[#This Row],[Vertex 2]],GroupVertices[Vertex],0)),1,1,"")</f>
        <v>1</v>
      </c>
      <c r="AH496" s="111">
        <v>1</v>
      </c>
      <c r="AI496" s="112">
        <v>33.333333333333336</v>
      </c>
      <c r="AJ496" s="111">
        <v>0</v>
      </c>
      <c r="AK496" s="112">
        <v>0</v>
      </c>
      <c r="AL496" s="111">
        <v>0</v>
      </c>
      <c r="AM496" s="112">
        <v>0</v>
      </c>
      <c r="AN496" s="111">
        <v>2</v>
      </c>
      <c r="AO496" s="112">
        <v>66.66666666666667</v>
      </c>
      <c r="AP496" s="111">
        <v>3</v>
      </c>
    </row>
    <row r="497" spans="1:42" ht="15">
      <c r="A497" s="65" t="s">
        <v>609</v>
      </c>
      <c r="B497" s="65" t="s">
        <v>553</v>
      </c>
      <c r="C497" s="66" t="s">
        <v>4651</v>
      </c>
      <c r="D497" s="67">
        <v>3</v>
      </c>
      <c r="E497" s="68"/>
      <c r="F497" s="69">
        <v>40</v>
      </c>
      <c r="G497" s="66"/>
      <c r="H497" s="70"/>
      <c r="I497" s="71"/>
      <c r="J497" s="71"/>
      <c r="K497" s="35" t="s">
        <v>65</v>
      </c>
      <c r="L497" s="79">
        <v>497</v>
      </c>
      <c r="M497" s="79"/>
      <c r="N497" s="73"/>
      <c r="O497" s="81" t="s">
        <v>844</v>
      </c>
      <c r="P497" s="81" t="s">
        <v>199</v>
      </c>
      <c r="Q497" s="84" t="s">
        <v>1321</v>
      </c>
      <c r="R497" s="81" t="s">
        <v>609</v>
      </c>
      <c r="S497" s="81" t="s">
        <v>1968</v>
      </c>
      <c r="T497" s="86" t="str">
        <f>HYPERLINK("http://www.youtube.com/channel/UCk1v-IfRLmWAm-SiRqnxnJQ")</f>
        <v>http://www.youtube.com/channel/UCk1v-IfRLmWAm-SiRqnxnJQ</v>
      </c>
      <c r="U497" s="81"/>
      <c r="V497" s="81" t="s">
        <v>2329</v>
      </c>
      <c r="W497" s="86" t="str">
        <f>HYPERLINK("https://www.youtube.com/watch?v=QYWNXp36O48")</f>
        <v>https://www.youtube.com/watch?v=QYWNXp36O48</v>
      </c>
      <c r="X497" s="81" t="s">
        <v>2349</v>
      </c>
      <c r="Y497" s="81">
        <v>29</v>
      </c>
      <c r="Z497" s="88">
        <v>42996.36620370371</v>
      </c>
      <c r="AA497" s="88">
        <v>42996.36620370371</v>
      </c>
      <c r="AB497" s="81"/>
      <c r="AC497" s="81"/>
      <c r="AD497" s="84" t="s">
        <v>2390</v>
      </c>
      <c r="AE497" s="82">
        <v>1</v>
      </c>
      <c r="AF497" s="83" t="str">
        <f>REPLACE(INDEX(GroupVertices[Group],MATCH(Edges[[#This Row],[Vertex 1]],GroupVertices[Vertex],0)),1,1,"")</f>
        <v>1</v>
      </c>
      <c r="AG497" s="83" t="str">
        <f>REPLACE(INDEX(GroupVertices[Group],MATCH(Edges[[#This Row],[Vertex 2]],GroupVertices[Vertex],0)),1,1,"")</f>
        <v>1</v>
      </c>
      <c r="AH497" s="111">
        <v>2</v>
      </c>
      <c r="AI497" s="112">
        <v>8</v>
      </c>
      <c r="AJ497" s="111">
        <v>1</v>
      </c>
      <c r="AK497" s="112">
        <v>4</v>
      </c>
      <c r="AL497" s="111">
        <v>0</v>
      </c>
      <c r="AM497" s="112">
        <v>0</v>
      </c>
      <c r="AN497" s="111">
        <v>22</v>
      </c>
      <c r="AO497" s="112">
        <v>88</v>
      </c>
      <c r="AP497" s="111">
        <v>25</v>
      </c>
    </row>
    <row r="498" spans="1:42" ht="15">
      <c r="A498" s="65" t="s">
        <v>610</v>
      </c>
      <c r="B498" s="65" t="s">
        <v>611</v>
      </c>
      <c r="C498" s="66" t="s">
        <v>4651</v>
      </c>
      <c r="D498" s="67">
        <v>3</v>
      </c>
      <c r="E498" s="68"/>
      <c r="F498" s="69">
        <v>40</v>
      </c>
      <c r="G498" s="66"/>
      <c r="H498" s="70"/>
      <c r="I498" s="71"/>
      <c r="J498" s="71"/>
      <c r="K498" s="35" t="s">
        <v>65</v>
      </c>
      <c r="L498" s="79">
        <v>498</v>
      </c>
      <c r="M498" s="79"/>
      <c r="N498" s="73"/>
      <c r="O498" s="81" t="s">
        <v>845</v>
      </c>
      <c r="P498" s="81" t="s">
        <v>847</v>
      </c>
      <c r="Q498" s="84" t="s">
        <v>1322</v>
      </c>
      <c r="R498" s="81" t="s">
        <v>610</v>
      </c>
      <c r="S498" s="81" t="s">
        <v>1969</v>
      </c>
      <c r="T498" s="86" t="str">
        <f>HYPERLINK("http://www.youtube.com/channel/UCoxUHvB2cSCItSwpVN-V_VQ")</f>
        <v>http://www.youtube.com/channel/UCoxUHvB2cSCItSwpVN-V_VQ</v>
      </c>
      <c r="U498" s="81" t="s">
        <v>2265</v>
      </c>
      <c r="V498" s="81" t="s">
        <v>2329</v>
      </c>
      <c r="W498" s="86" t="str">
        <f>HYPERLINK("https://www.youtube.com/watch?v=QYWNXp36O48")</f>
        <v>https://www.youtube.com/watch?v=QYWNXp36O48</v>
      </c>
      <c r="X498" s="81" t="s">
        <v>2349</v>
      </c>
      <c r="Y498" s="81">
        <v>0</v>
      </c>
      <c r="Z498" s="88">
        <v>44154.981770833336</v>
      </c>
      <c r="AA498" s="88">
        <v>44154.981770833336</v>
      </c>
      <c r="AB498" s="81"/>
      <c r="AC498" s="81"/>
      <c r="AD498" s="84" t="s">
        <v>2390</v>
      </c>
      <c r="AE498" s="82">
        <v>1</v>
      </c>
      <c r="AF498" s="83" t="str">
        <f>REPLACE(INDEX(GroupVertices[Group],MATCH(Edges[[#This Row],[Vertex 1]],GroupVertices[Vertex],0)),1,1,"")</f>
        <v>1</v>
      </c>
      <c r="AG498" s="83" t="str">
        <f>REPLACE(INDEX(GroupVertices[Group],MATCH(Edges[[#This Row],[Vertex 2]],GroupVertices[Vertex],0)),1,1,"")</f>
        <v>1</v>
      </c>
      <c r="AH498" s="111">
        <v>0</v>
      </c>
      <c r="AI498" s="112">
        <v>0</v>
      </c>
      <c r="AJ498" s="111">
        <v>0</v>
      </c>
      <c r="AK498" s="112">
        <v>0</v>
      </c>
      <c r="AL498" s="111">
        <v>0</v>
      </c>
      <c r="AM498" s="112">
        <v>0</v>
      </c>
      <c r="AN498" s="111">
        <v>1</v>
      </c>
      <c r="AO498" s="112">
        <v>100</v>
      </c>
      <c r="AP498" s="111">
        <v>1</v>
      </c>
    </row>
    <row r="499" spans="1:42" ht="15">
      <c r="A499" s="65" t="s">
        <v>611</v>
      </c>
      <c r="B499" s="65" t="s">
        <v>553</v>
      </c>
      <c r="C499" s="66" t="s">
        <v>4613</v>
      </c>
      <c r="D499" s="67">
        <v>10</v>
      </c>
      <c r="E499" s="68"/>
      <c r="F499" s="69">
        <v>15</v>
      </c>
      <c r="G499" s="66"/>
      <c r="H499" s="70"/>
      <c r="I499" s="71"/>
      <c r="J499" s="71"/>
      <c r="K499" s="35" t="s">
        <v>66</v>
      </c>
      <c r="L499" s="79">
        <v>499</v>
      </c>
      <c r="M499" s="79"/>
      <c r="N499" s="73"/>
      <c r="O499" s="81" t="s">
        <v>844</v>
      </c>
      <c r="P499" s="81" t="s">
        <v>199</v>
      </c>
      <c r="Q499" s="84" t="s">
        <v>1323</v>
      </c>
      <c r="R499" s="81" t="s">
        <v>611</v>
      </c>
      <c r="S499" s="81" t="s">
        <v>1970</v>
      </c>
      <c r="T499" s="86" t="str">
        <f>HYPERLINK("http://www.youtube.com/channel/UCMc7OjtNwZ2L8uXCtPhjM_A")</f>
        <v>http://www.youtube.com/channel/UCMc7OjtNwZ2L8uXCtPhjM_A</v>
      </c>
      <c r="U499" s="81"/>
      <c r="V499" s="81" t="s">
        <v>2329</v>
      </c>
      <c r="W499" s="86" t="str">
        <f>HYPERLINK("https://www.youtube.com/watch?v=QYWNXp36O48")</f>
        <v>https://www.youtube.com/watch?v=QYWNXp36O48</v>
      </c>
      <c r="X499" s="81" t="s">
        <v>2349</v>
      </c>
      <c r="Y499" s="81">
        <v>2</v>
      </c>
      <c r="Z499" s="88">
        <v>43135.51375</v>
      </c>
      <c r="AA499" s="88">
        <v>43135.51375</v>
      </c>
      <c r="AB499" s="81"/>
      <c r="AC499" s="81"/>
      <c r="AD499" s="84" t="s">
        <v>2390</v>
      </c>
      <c r="AE499" s="82">
        <v>2</v>
      </c>
      <c r="AF499" s="83" t="str">
        <f>REPLACE(INDEX(GroupVertices[Group],MATCH(Edges[[#This Row],[Vertex 1]],GroupVertices[Vertex],0)),1,1,"")</f>
        <v>1</v>
      </c>
      <c r="AG499" s="83" t="str">
        <f>REPLACE(INDEX(GroupVertices[Group],MATCH(Edges[[#This Row],[Vertex 2]],GroupVertices[Vertex],0)),1,1,"")</f>
        <v>1</v>
      </c>
      <c r="AH499" s="111">
        <v>0</v>
      </c>
      <c r="AI499" s="112">
        <v>0</v>
      </c>
      <c r="AJ499" s="111">
        <v>0</v>
      </c>
      <c r="AK499" s="112">
        <v>0</v>
      </c>
      <c r="AL499" s="111">
        <v>0</v>
      </c>
      <c r="AM499" s="112">
        <v>0</v>
      </c>
      <c r="AN499" s="111">
        <v>2</v>
      </c>
      <c r="AO499" s="112">
        <v>100</v>
      </c>
      <c r="AP499" s="111">
        <v>2</v>
      </c>
    </row>
    <row r="500" spans="1:42" ht="15">
      <c r="A500" s="65" t="s">
        <v>553</v>
      </c>
      <c r="B500" s="65" t="s">
        <v>611</v>
      </c>
      <c r="C500" s="66" t="s">
        <v>4651</v>
      </c>
      <c r="D500" s="67">
        <v>3</v>
      </c>
      <c r="E500" s="68"/>
      <c r="F500" s="69">
        <v>40</v>
      </c>
      <c r="G500" s="66"/>
      <c r="H500" s="70"/>
      <c r="I500" s="71"/>
      <c r="J500" s="71"/>
      <c r="K500" s="35" t="s">
        <v>66</v>
      </c>
      <c r="L500" s="79">
        <v>500</v>
      </c>
      <c r="M500" s="79"/>
      <c r="N500" s="73"/>
      <c r="O500" s="81" t="s">
        <v>845</v>
      </c>
      <c r="P500" s="81" t="s">
        <v>847</v>
      </c>
      <c r="Q500" s="84" t="s">
        <v>1324</v>
      </c>
      <c r="R500" s="81" t="s">
        <v>553</v>
      </c>
      <c r="S500" s="81" t="s">
        <v>1912</v>
      </c>
      <c r="T500" s="86" t="str">
        <f>HYPERLINK("http://www.youtube.com/channel/UCqbOeHaAUXw9Il7sBVG3_bw")</f>
        <v>http://www.youtube.com/channel/UCqbOeHaAUXw9Il7sBVG3_bw</v>
      </c>
      <c r="U500" s="81" t="s">
        <v>2265</v>
      </c>
      <c r="V500" s="81" t="s">
        <v>2329</v>
      </c>
      <c r="W500" s="86" t="str">
        <f>HYPERLINK("https://www.youtube.com/watch?v=QYWNXp36O48")</f>
        <v>https://www.youtube.com/watch?v=QYWNXp36O48</v>
      </c>
      <c r="X500" s="81" t="s">
        <v>2349</v>
      </c>
      <c r="Y500" s="81">
        <v>17</v>
      </c>
      <c r="Z500" s="88">
        <v>43135.88344907408</v>
      </c>
      <c r="AA500" s="88">
        <v>43135.88344907408</v>
      </c>
      <c r="AB500" s="81"/>
      <c r="AC500" s="81"/>
      <c r="AD500" s="84" t="s">
        <v>2390</v>
      </c>
      <c r="AE500" s="82">
        <v>1</v>
      </c>
      <c r="AF500" s="83" t="str">
        <f>REPLACE(INDEX(GroupVertices[Group],MATCH(Edges[[#This Row],[Vertex 1]],GroupVertices[Vertex],0)),1,1,"")</f>
        <v>1</v>
      </c>
      <c r="AG500" s="83" t="str">
        <f>REPLACE(INDEX(GroupVertices[Group],MATCH(Edges[[#This Row],[Vertex 2]],GroupVertices[Vertex],0)),1,1,"")</f>
        <v>1</v>
      </c>
      <c r="AH500" s="111">
        <v>0</v>
      </c>
      <c r="AI500" s="112">
        <v>0</v>
      </c>
      <c r="AJ500" s="111">
        <v>0</v>
      </c>
      <c r="AK500" s="112">
        <v>0</v>
      </c>
      <c r="AL500" s="111">
        <v>0</v>
      </c>
      <c r="AM500" s="112">
        <v>0</v>
      </c>
      <c r="AN500" s="111">
        <v>9</v>
      </c>
      <c r="AO500" s="112">
        <v>100</v>
      </c>
      <c r="AP500" s="111">
        <v>9</v>
      </c>
    </row>
    <row r="501" spans="1:42" ht="15">
      <c r="A501" s="65" t="s">
        <v>611</v>
      </c>
      <c r="B501" s="65" t="s">
        <v>553</v>
      </c>
      <c r="C501" s="66" t="s">
        <v>4613</v>
      </c>
      <c r="D501" s="67">
        <v>10</v>
      </c>
      <c r="E501" s="68"/>
      <c r="F501" s="69">
        <v>15</v>
      </c>
      <c r="G501" s="66"/>
      <c r="H501" s="70"/>
      <c r="I501" s="71"/>
      <c r="J501" s="71"/>
      <c r="K501" s="35" t="s">
        <v>66</v>
      </c>
      <c r="L501" s="79">
        <v>501</v>
      </c>
      <c r="M501" s="79"/>
      <c r="N501" s="73"/>
      <c r="O501" s="81" t="s">
        <v>844</v>
      </c>
      <c r="P501" s="81" t="s">
        <v>199</v>
      </c>
      <c r="Q501" s="84" t="s">
        <v>1325</v>
      </c>
      <c r="R501" s="81" t="s">
        <v>611</v>
      </c>
      <c r="S501" s="81" t="s">
        <v>1970</v>
      </c>
      <c r="T501" s="86" t="str">
        <f>HYPERLINK("http://www.youtube.com/channel/UCMc7OjtNwZ2L8uXCtPhjM_A")</f>
        <v>http://www.youtube.com/channel/UCMc7OjtNwZ2L8uXCtPhjM_A</v>
      </c>
      <c r="U501" s="81"/>
      <c r="V501" s="81" t="s">
        <v>2329</v>
      </c>
      <c r="W501" s="86" t="str">
        <f>HYPERLINK("https://www.youtube.com/watch?v=QYWNXp36O48")</f>
        <v>https://www.youtube.com/watch?v=QYWNXp36O48</v>
      </c>
      <c r="X501" s="81" t="s">
        <v>2349</v>
      </c>
      <c r="Y501" s="81">
        <v>21</v>
      </c>
      <c r="Z501" s="88">
        <v>43135.51665509259</v>
      </c>
      <c r="AA501" s="88">
        <v>43135.51665509259</v>
      </c>
      <c r="AB501" s="81"/>
      <c r="AC501" s="81"/>
      <c r="AD501" s="84" t="s">
        <v>2390</v>
      </c>
      <c r="AE501" s="82">
        <v>2</v>
      </c>
      <c r="AF501" s="83" t="str">
        <f>REPLACE(INDEX(GroupVertices[Group],MATCH(Edges[[#This Row],[Vertex 1]],GroupVertices[Vertex],0)),1,1,"")</f>
        <v>1</v>
      </c>
      <c r="AG501" s="83" t="str">
        <f>REPLACE(INDEX(GroupVertices[Group],MATCH(Edges[[#This Row],[Vertex 2]],GroupVertices[Vertex],0)),1,1,"")</f>
        <v>1</v>
      </c>
      <c r="AH501" s="111">
        <v>0</v>
      </c>
      <c r="AI501" s="112">
        <v>0</v>
      </c>
      <c r="AJ501" s="111">
        <v>1</v>
      </c>
      <c r="AK501" s="112">
        <v>6.666666666666667</v>
      </c>
      <c r="AL501" s="111">
        <v>0</v>
      </c>
      <c r="AM501" s="112">
        <v>0</v>
      </c>
      <c r="AN501" s="111">
        <v>14</v>
      </c>
      <c r="AO501" s="112">
        <v>93.33333333333333</v>
      </c>
      <c r="AP501" s="111">
        <v>15</v>
      </c>
    </row>
    <row r="502" spans="1:42" ht="15">
      <c r="A502" s="65" t="s">
        <v>612</v>
      </c>
      <c r="B502" s="65" t="s">
        <v>553</v>
      </c>
      <c r="C502" s="66" t="s">
        <v>4651</v>
      </c>
      <c r="D502" s="67">
        <v>3</v>
      </c>
      <c r="E502" s="68"/>
      <c r="F502" s="69">
        <v>40</v>
      </c>
      <c r="G502" s="66"/>
      <c r="H502" s="70"/>
      <c r="I502" s="71"/>
      <c r="J502" s="71"/>
      <c r="K502" s="35" t="s">
        <v>65</v>
      </c>
      <c r="L502" s="79">
        <v>502</v>
      </c>
      <c r="M502" s="79"/>
      <c r="N502" s="73"/>
      <c r="O502" s="81" t="s">
        <v>844</v>
      </c>
      <c r="P502" s="81" t="s">
        <v>199</v>
      </c>
      <c r="Q502" s="84" t="s">
        <v>1326</v>
      </c>
      <c r="R502" s="81" t="s">
        <v>612</v>
      </c>
      <c r="S502" s="81" t="s">
        <v>1971</v>
      </c>
      <c r="T502" s="86" t="str">
        <f>HYPERLINK("http://www.youtube.com/channel/UCYyePgFFf8AZiGQvMV1x8vw")</f>
        <v>http://www.youtube.com/channel/UCYyePgFFf8AZiGQvMV1x8vw</v>
      </c>
      <c r="U502" s="81"/>
      <c r="V502" s="81" t="s">
        <v>2329</v>
      </c>
      <c r="W502" s="86" t="str">
        <f>HYPERLINK("https://www.youtube.com/watch?v=QYWNXp36O48")</f>
        <v>https://www.youtube.com/watch?v=QYWNXp36O48</v>
      </c>
      <c r="X502" s="81" t="s">
        <v>2349</v>
      </c>
      <c r="Y502" s="81">
        <v>5</v>
      </c>
      <c r="Z502" s="88">
        <v>43159.84289351852</v>
      </c>
      <c r="AA502" s="88">
        <v>43159.84289351852</v>
      </c>
      <c r="AB502" s="81"/>
      <c r="AC502" s="81"/>
      <c r="AD502" s="84" t="s">
        <v>2390</v>
      </c>
      <c r="AE502" s="82">
        <v>1</v>
      </c>
      <c r="AF502" s="83" t="str">
        <f>REPLACE(INDEX(GroupVertices[Group],MATCH(Edges[[#This Row],[Vertex 1]],GroupVertices[Vertex],0)),1,1,"")</f>
        <v>1</v>
      </c>
      <c r="AG502" s="83" t="str">
        <f>REPLACE(INDEX(GroupVertices[Group],MATCH(Edges[[#This Row],[Vertex 2]],GroupVertices[Vertex],0)),1,1,"")</f>
        <v>1</v>
      </c>
      <c r="AH502" s="111">
        <v>2</v>
      </c>
      <c r="AI502" s="112">
        <v>22.22222222222222</v>
      </c>
      <c r="AJ502" s="111">
        <v>0</v>
      </c>
      <c r="AK502" s="112">
        <v>0</v>
      </c>
      <c r="AL502" s="111">
        <v>0</v>
      </c>
      <c r="AM502" s="112">
        <v>0</v>
      </c>
      <c r="AN502" s="111">
        <v>7</v>
      </c>
      <c r="AO502" s="112">
        <v>77.77777777777777</v>
      </c>
      <c r="AP502" s="111">
        <v>9</v>
      </c>
    </row>
    <row r="503" spans="1:42" ht="15">
      <c r="A503" s="65" t="s">
        <v>613</v>
      </c>
      <c r="B503" s="65" t="s">
        <v>553</v>
      </c>
      <c r="C503" s="66" t="s">
        <v>4651</v>
      </c>
      <c r="D503" s="67">
        <v>3</v>
      </c>
      <c r="E503" s="68"/>
      <c r="F503" s="69">
        <v>40</v>
      </c>
      <c r="G503" s="66"/>
      <c r="H503" s="70"/>
      <c r="I503" s="71"/>
      <c r="J503" s="71"/>
      <c r="K503" s="35" t="s">
        <v>65</v>
      </c>
      <c r="L503" s="79">
        <v>503</v>
      </c>
      <c r="M503" s="79"/>
      <c r="N503" s="73"/>
      <c r="O503" s="81" t="s">
        <v>844</v>
      </c>
      <c r="P503" s="81" t="s">
        <v>199</v>
      </c>
      <c r="Q503" s="84" t="s">
        <v>1327</v>
      </c>
      <c r="R503" s="81" t="s">
        <v>613</v>
      </c>
      <c r="S503" s="81" t="s">
        <v>1972</v>
      </c>
      <c r="T503" s="86" t="str">
        <f>HYPERLINK("http://www.youtube.com/channel/UCujKLrTPGoMqbsV6ut4h7NQ")</f>
        <v>http://www.youtube.com/channel/UCujKLrTPGoMqbsV6ut4h7NQ</v>
      </c>
      <c r="U503" s="81"/>
      <c r="V503" s="81" t="s">
        <v>2329</v>
      </c>
      <c r="W503" s="86" t="str">
        <f>HYPERLINK("https://www.youtube.com/watch?v=QYWNXp36O48")</f>
        <v>https://www.youtube.com/watch?v=QYWNXp36O48</v>
      </c>
      <c r="X503" s="81" t="s">
        <v>2349</v>
      </c>
      <c r="Y503" s="81">
        <v>2</v>
      </c>
      <c r="Z503" s="88">
        <v>43193.93010416667</v>
      </c>
      <c r="AA503" s="88">
        <v>43193.93010416667</v>
      </c>
      <c r="AB503" s="81"/>
      <c r="AC503" s="81"/>
      <c r="AD503" s="84" t="s">
        <v>2390</v>
      </c>
      <c r="AE503" s="82">
        <v>1</v>
      </c>
      <c r="AF503" s="83" t="str">
        <f>REPLACE(INDEX(GroupVertices[Group],MATCH(Edges[[#This Row],[Vertex 1]],GroupVertices[Vertex],0)),1,1,"")</f>
        <v>1</v>
      </c>
      <c r="AG503" s="83" t="str">
        <f>REPLACE(INDEX(GroupVertices[Group],MATCH(Edges[[#This Row],[Vertex 2]],GroupVertices[Vertex],0)),1,1,"")</f>
        <v>1</v>
      </c>
      <c r="AH503" s="111">
        <v>0</v>
      </c>
      <c r="AI503" s="112">
        <v>0</v>
      </c>
      <c r="AJ503" s="111">
        <v>0</v>
      </c>
      <c r="AK503" s="112">
        <v>0</v>
      </c>
      <c r="AL503" s="111">
        <v>0</v>
      </c>
      <c r="AM503" s="112">
        <v>0</v>
      </c>
      <c r="AN503" s="111">
        <v>14</v>
      </c>
      <c r="AO503" s="112">
        <v>100</v>
      </c>
      <c r="AP503" s="111">
        <v>14</v>
      </c>
    </row>
    <row r="504" spans="1:42" ht="15">
      <c r="A504" s="65" t="s">
        <v>614</v>
      </c>
      <c r="B504" s="65" t="s">
        <v>616</v>
      </c>
      <c r="C504" s="66" t="s">
        <v>4651</v>
      </c>
      <c r="D504" s="67">
        <v>3</v>
      </c>
      <c r="E504" s="68"/>
      <c r="F504" s="69">
        <v>40</v>
      </c>
      <c r="G504" s="66"/>
      <c r="H504" s="70"/>
      <c r="I504" s="71"/>
      <c r="J504" s="71"/>
      <c r="K504" s="35" t="s">
        <v>65</v>
      </c>
      <c r="L504" s="79">
        <v>504</v>
      </c>
      <c r="M504" s="79"/>
      <c r="N504" s="73"/>
      <c r="O504" s="81" t="s">
        <v>845</v>
      </c>
      <c r="P504" s="81" t="s">
        <v>847</v>
      </c>
      <c r="Q504" s="84" t="s">
        <v>1328</v>
      </c>
      <c r="R504" s="81" t="s">
        <v>614</v>
      </c>
      <c r="S504" s="81" t="s">
        <v>1973</v>
      </c>
      <c r="T504" s="86" t="str">
        <f>HYPERLINK("http://www.youtube.com/channel/UC2LMT35ZLfTJwj6tsJVL_Kg")</f>
        <v>http://www.youtube.com/channel/UC2LMT35ZLfTJwj6tsJVL_Kg</v>
      </c>
      <c r="U504" s="81" t="s">
        <v>2266</v>
      </c>
      <c r="V504" s="81" t="s">
        <v>2329</v>
      </c>
      <c r="W504" s="86" t="str">
        <f>HYPERLINK("https://www.youtube.com/watch?v=QYWNXp36O48")</f>
        <v>https://www.youtube.com/watch?v=QYWNXp36O48</v>
      </c>
      <c r="X504" s="81" t="s">
        <v>2349</v>
      </c>
      <c r="Y504" s="81">
        <v>1</v>
      </c>
      <c r="Z504" s="88">
        <v>43276.86138888889</v>
      </c>
      <c r="AA504" s="88">
        <v>43276.86138888889</v>
      </c>
      <c r="AB504" s="81"/>
      <c r="AC504" s="81"/>
      <c r="AD504" s="84" t="s">
        <v>2390</v>
      </c>
      <c r="AE504" s="82">
        <v>1</v>
      </c>
      <c r="AF504" s="83" t="str">
        <f>REPLACE(INDEX(GroupVertices[Group],MATCH(Edges[[#This Row],[Vertex 1]],GroupVertices[Vertex],0)),1,1,"")</f>
        <v>1</v>
      </c>
      <c r="AG504" s="83" t="str">
        <f>REPLACE(INDEX(GroupVertices[Group],MATCH(Edges[[#This Row],[Vertex 2]],GroupVertices[Vertex],0)),1,1,"")</f>
        <v>1</v>
      </c>
      <c r="AH504" s="111">
        <v>0</v>
      </c>
      <c r="AI504" s="112">
        <v>0</v>
      </c>
      <c r="AJ504" s="111">
        <v>0</v>
      </c>
      <c r="AK504" s="112">
        <v>0</v>
      </c>
      <c r="AL504" s="111">
        <v>0</v>
      </c>
      <c r="AM504" s="112">
        <v>0</v>
      </c>
      <c r="AN504" s="111">
        <v>6</v>
      </c>
      <c r="AO504" s="112">
        <v>100</v>
      </c>
      <c r="AP504" s="111">
        <v>6</v>
      </c>
    </row>
    <row r="505" spans="1:42" ht="15">
      <c r="A505" s="65" t="s">
        <v>615</v>
      </c>
      <c r="B505" s="65" t="s">
        <v>616</v>
      </c>
      <c r="C505" s="66" t="s">
        <v>4651</v>
      </c>
      <c r="D505" s="67">
        <v>3</v>
      </c>
      <c r="E505" s="68"/>
      <c r="F505" s="69">
        <v>40</v>
      </c>
      <c r="G505" s="66"/>
      <c r="H505" s="70"/>
      <c r="I505" s="71"/>
      <c r="J505" s="71"/>
      <c r="K505" s="35" t="s">
        <v>65</v>
      </c>
      <c r="L505" s="79">
        <v>505</v>
      </c>
      <c r="M505" s="79"/>
      <c r="N505" s="73"/>
      <c r="O505" s="81" t="s">
        <v>845</v>
      </c>
      <c r="P505" s="81" t="s">
        <v>847</v>
      </c>
      <c r="Q505" s="84" t="s">
        <v>1329</v>
      </c>
      <c r="R505" s="81" t="s">
        <v>615</v>
      </c>
      <c r="S505" s="81" t="s">
        <v>1974</v>
      </c>
      <c r="T505" s="86" t="str">
        <f>HYPERLINK("http://www.youtube.com/channel/UCpdGXkszzXE5LAkaICL6FVQ")</f>
        <v>http://www.youtube.com/channel/UCpdGXkszzXE5LAkaICL6FVQ</v>
      </c>
      <c r="U505" s="81" t="s">
        <v>2266</v>
      </c>
      <c r="V505" s="81" t="s">
        <v>2329</v>
      </c>
      <c r="W505" s="86" t="str">
        <f>HYPERLINK("https://www.youtube.com/watch?v=QYWNXp36O48")</f>
        <v>https://www.youtube.com/watch?v=QYWNXp36O48</v>
      </c>
      <c r="X505" s="81" t="s">
        <v>2349</v>
      </c>
      <c r="Y505" s="81">
        <v>2</v>
      </c>
      <c r="Z505" s="88">
        <v>43593.86871527778</v>
      </c>
      <c r="AA505" s="88">
        <v>43593.86871527778</v>
      </c>
      <c r="AB505" s="81"/>
      <c r="AC505" s="81"/>
      <c r="AD505" s="84" t="s">
        <v>2390</v>
      </c>
      <c r="AE505" s="82">
        <v>1</v>
      </c>
      <c r="AF505" s="83" t="str">
        <f>REPLACE(INDEX(GroupVertices[Group],MATCH(Edges[[#This Row],[Vertex 1]],GroupVertices[Vertex],0)),1,1,"")</f>
        <v>1</v>
      </c>
      <c r="AG505" s="83" t="str">
        <f>REPLACE(INDEX(GroupVertices[Group],MATCH(Edges[[#This Row],[Vertex 2]],GroupVertices[Vertex],0)),1,1,"")</f>
        <v>1</v>
      </c>
      <c r="AH505" s="111">
        <v>0</v>
      </c>
      <c r="AI505" s="112">
        <v>0</v>
      </c>
      <c r="AJ505" s="111">
        <v>0</v>
      </c>
      <c r="AK505" s="112">
        <v>0</v>
      </c>
      <c r="AL505" s="111">
        <v>0</v>
      </c>
      <c r="AM505" s="112">
        <v>0</v>
      </c>
      <c r="AN505" s="111">
        <v>9</v>
      </c>
      <c r="AO505" s="112">
        <v>100</v>
      </c>
      <c r="AP505" s="111">
        <v>9</v>
      </c>
    </row>
    <row r="506" spans="1:42" ht="15">
      <c r="A506" s="65" t="s">
        <v>616</v>
      </c>
      <c r="B506" s="65" t="s">
        <v>553</v>
      </c>
      <c r="C506" s="66" t="s">
        <v>4651</v>
      </c>
      <c r="D506" s="67">
        <v>3</v>
      </c>
      <c r="E506" s="68"/>
      <c r="F506" s="69">
        <v>40</v>
      </c>
      <c r="G506" s="66"/>
      <c r="H506" s="70"/>
      <c r="I506" s="71"/>
      <c r="J506" s="71"/>
      <c r="K506" s="35" t="s">
        <v>65</v>
      </c>
      <c r="L506" s="79">
        <v>506</v>
      </c>
      <c r="M506" s="79"/>
      <c r="N506" s="73"/>
      <c r="O506" s="81" t="s">
        <v>844</v>
      </c>
      <c r="P506" s="81" t="s">
        <v>199</v>
      </c>
      <c r="Q506" s="84" t="s">
        <v>1330</v>
      </c>
      <c r="R506" s="81" t="s">
        <v>616</v>
      </c>
      <c r="S506" s="81" t="s">
        <v>1975</v>
      </c>
      <c r="T506" s="86" t="str">
        <f>HYPERLINK("http://www.youtube.com/channel/UCsLEd0PtEtGzKOi9xBLQF8g")</f>
        <v>http://www.youtube.com/channel/UCsLEd0PtEtGzKOi9xBLQF8g</v>
      </c>
      <c r="U506" s="81"/>
      <c r="V506" s="81" t="s">
        <v>2329</v>
      </c>
      <c r="W506" s="86" t="str">
        <f>HYPERLINK("https://www.youtube.com/watch?v=QYWNXp36O48")</f>
        <v>https://www.youtube.com/watch?v=QYWNXp36O48</v>
      </c>
      <c r="X506" s="81" t="s">
        <v>2349</v>
      </c>
      <c r="Y506" s="81">
        <v>3</v>
      </c>
      <c r="Z506" s="88">
        <v>43232.7275</v>
      </c>
      <c r="AA506" s="88">
        <v>43232.7275</v>
      </c>
      <c r="AB506" s="81"/>
      <c r="AC506" s="81"/>
      <c r="AD506" s="84" t="s">
        <v>2390</v>
      </c>
      <c r="AE506" s="82">
        <v>1</v>
      </c>
      <c r="AF506" s="83" t="str">
        <f>REPLACE(INDEX(GroupVertices[Group],MATCH(Edges[[#This Row],[Vertex 1]],GroupVertices[Vertex],0)),1,1,"")</f>
        <v>1</v>
      </c>
      <c r="AG506" s="83" t="str">
        <f>REPLACE(INDEX(GroupVertices[Group],MATCH(Edges[[#This Row],[Vertex 2]],GroupVertices[Vertex],0)),1,1,"")</f>
        <v>1</v>
      </c>
      <c r="AH506" s="111">
        <v>0</v>
      </c>
      <c r="AI506" s="112">
        <v>0</v>
      </c>
      <c r="AJ506" s="111">
        <v>0</v>
      </c>
      <c r="AK506" s="112">
        <v>0</v>
      </c>
      <c r="AL506" s="111">
        <v>0</v>
      </c>
      <c r="AM506" s="112">
        <v>0</v>
      </c>
      <c r="AN506" s="111">
        <v>5</v>
      </c>
      <c r="AO506" s="112">
        <v>100</v>
      </c>
      <c r="AP506" s="111">
        <v>5</v>
      </c>
    </row>
    <row r="507" spans="1:42" ht="15">
      <c r="A507" s="65" t="s">
        <v>617</v>
      </c>
      <c r="B507" s="65" t="s">
        <v>620</v>
      </c>
      <c r="C507" s="66" t="s">
        <v>4651</v>
      </c>
      <c r="D507" s="67">
        <v>3</v>
      </c>
      <c r="E507" s="68"/>
      <c r="F507" s="69">
        <v>40</v>
      </c>
      <c r="G507" s="66"/>
      <c r="H507" s="70"/>
      <c r="I507" s="71"/>
      <c r="J507" s="71"/>
      <c r="K507" s="35" t="s">
        <v>65</v>
      </c>
      <c r="L507" s="79">
        <v>507</v>
      </c>
      <c r="M507" s="79"/>
      <c r="N507" s="73"/>
      <c r="O507" s="81" t="s">
        <v>845</v>
      </c>
      <c r="P507" s="81" t="s">
        <v>847</v>
      </c>
      <c r="Q507" s="84" t="s">
        <v>1331</v>
      </c>
      <c r="R507" s="81" t="s">
        <v>617</v>
      </c>
      <c r="S507" s="81" t="s">
        <v>1976</v>
      </c>
      <c r="T507" s="86" t="str">
        <f>HYPERLINK("http://www.youtube.com/channel/UCTCSylPHRVXT6mGgWCb2Dmw")</f>
        <v>http://www.youtube.com/channel/UCTCSylPHRVXT6mGgWCb2Dmw</v>
      </c>
      <c r="U507" s="81" t="s">
        <v>2267</v>
      </c>
      <c r="V507" s="81" t="s">
        <v>2329</v>
      </c>
      <c r="W507" s="86" t="str">
        <f>HYPERLINK("https://www.youtube.com/watch?v=QYWNXp36O48")</f>
        <v>https://www.youtube.com/watch?v=QYWNXp36O48</v>
      </c>
      <c r="X507" s="81" t="s">
        <v>2349</v>
      </c>
      <c r="Y507" s="81">
        <v>2</v>
      </c>
      <c r="Z507" s="88">
        <v>43594.91575231482</v>
      </c>
      <c r="AA507" s="88">
        <v>43594.91575231482</v>
      </c>
      <c r="AB507" s="81"/>
      <c r="AC507" s="81"/>
      <c r="AD507" s="84" t="s">
        <v>2390</v>
      </c>
      <c r="AE507" s="82">
        <v>1</v>
      </c>
      <c r="AF507" s="83" t="str">
        <f>REPLACE(INDEX(GroupVertices[Group],MATCH(Edges[[#This Row],[Vertex 1]],GroupVertices[Vertex],0)),1,1,"")</f>
        <v>19</v>
      </c>
      <c r="AG507" s="83" t="str">
        <f>REPLACE(INDEX(GroupVertices[Group],MATCH(Edges[[#This Row],[Vertex 2]],GroupVertices[Vertex],0)),1,1,"")</f>
        <v>19</v>
      </c>
      <c r="AH507" s="111">
        <v>0</v>
      </c>
      <c r="AI507" s="112">
        <v>0</v>
      </c>
      <c r="AJ507" s="111">
        <v>0</v>
      </c>
      <c r="AK507" s="112">
        <v>0</v>
      </c>
      <c r="AL507" s="111">
        <v>0</v>
      </c>
      <c r="AM507" s="112">
        <v>0</v>
      </c>
      <c r="AN507" s="111">
        <v>3</v>
      </c>
      <c r="AO507" s="112">
        <v>100</v>
      </c>
      <c r="AP507" s="111">
        <v>3</v>
      </c>
    </row>
    <row r="508" spans="1:42" ht="15">
      <c r="A508" s="65" t="s">
        <v>618</v>
      </c>
      <c r="B508" s="65" t="s">
        <v>620</v>
      </c>
      <c r="C508" s="66" t="s">
        <v>4651</v>
      </c>
      <c r="D508" s="67">
        <v>3</v>
      </c>
      <c r="E508" s="68"/>
      <c r="F508" s="69">
        <v>40</v>
      </c>
      <c r="G508" s="66"/>
      <c r="H508" s="70"/>
      <c r="I508" s="71"/>
      <c r="J508" s="71"/>
      <c r="K508" s="35" t="s">
        <v>65</v>
      </c>
      <c r="L508" s="79">
        <v>508</v>
      </c>
      <c r="M508" s="79"/>
      <c r="N508" s="73"/>
      <c r="O508" s="81" t="s">
        <v>845</v>
      </c>
      <c r="P508" s="81" t="s">
        <v>847</v>
      </c>
      <c r="Q508" s="84" t="s">
        <v>1332</v>
      </c>
      <c r="R508" s="81" t="s">
        <v>618</v>
      </c>
      <c r="S508" s="81" t="s">
        <v>1977</v>
      </c>
      <c r="T508" s="86" t="str">
        <f>HYPERLINK("http://www.youtube.com/channel/UCpIxpKzjZTZrYdYQtIPLG1A")</f>
        <v>http://www.youtube.com/channel/UCpIxpKzjZTZrYdYQtIPLG1A</v>
      </c>
      <c r="U508" s="81" t="s">
        <v>2267</v>
      </c>
      <c r="V508" s="81" t="s">
        <v>2329</v>
      </c>
      <c r="W508" s="86" t="str">
        <f>HYPERLINK("https://www.youtube.com/watch?v=QYWNXp36O48")</f>
        <v>https://www.youtube.com/watch?v=QYWNXp36O48</v>
      </c>
      <c r="X508" s="81" t="s">
        <v>2349</v>
      </c>
      <c r="Y508" s="81">
        <v>1</v>
      </c>
      <c r="Z508" s="88">
        <v>43597.70684027778</v>
      </c>
      <c r="AA508" s="88">
        <v>43597.70684027778</v>
      </c>
      <c r="AB508" s="81"/>
      <c r="AC508" s="81"/>
      <c r="AD508" s="84" t="s">
        <v>2390</v>
      </c>
      <c r="AE508" s="82">
        <v>1</v>
      </c>
      <c r="AF508" s="83" t="str">
        <f>REPLACE(INDEX(GroupVertices[Group],MATCH(Edges[[#This Row],[Vertex 1]],GroupVertices[Vertex],0)),1,1,"")</f>
        <v>19</v>
      </c>
      <c r="AG508" s="83" t="str">
        <f>REPLACE(INDEX(GroupVertices[Group],MATCH(Edges[[#This Row],[Vertex 2]],GroupVertices[Vertex],0)),1,1,"")</f>
        <v>19</v>
      </c>
      <c r="AH508" s="111">
        <v>0</v>
      </c>
      <c r="AI508" s="112">
        <v>0</v>
      </c>
      <c r="AJ508" s="111">
        <v>0</v>
      </c>
      <c r="AK508" s="112">
        <v>0</v>
      </c>
      <c r="AL508" s="111">
        <v>0</v>
      </c>
      <c r="AM508" s="112">
        <v>0</v>
      </c>
      <c r="AN508" s="111">
        <v>7</v>
      </c>
      <c r="AO508" s="112">
        <v>100</v>
      </c>
      <c r="AP508" s="111">
        <v>7</v>
      </c>
    </row>
    <row r="509" spans="1:42" ht="15">
      <c r="A509" s="65" t="s">
        <v>619</v>
      </c>
      <c r="B509" s="65" t="s">
        <v>620</v>
      </c>
      <c r="C509" s="66" t="s">
        <v>4651</v>
      </c>
      <c r="D509" s="67">
        <v>3</v>
      </c>
      <c r="E509" s="68"/>
      <c r="F509" s="69">
        <v>40</v>
      </c>
      <c r="G509" s="66"/>
      <c r="H509" s="70"/>
      <c r="I509" s="71"/>
      <c r="J509" s="71"/>
      <c r="K509" s="35" t="s">
        <v>65</v>
      </c>
      <c r="L509" s="79">
        <v>509</v>
      </c>
      <c r="M509" s="79"/>
      <c r="N509" s="73"/>
      <c r="O509" s="81" t="s">
        <v>845</v>
      </c>
      <c r="P509" s="81" t="s">
        <v>847</v>
      </c>
      <c r="Q509" s="84" t="s">
        <v>1333</v>
      </c>
      <c r="R509" s="81" t="s">
        <v>619</v>
      </c>
      <c r="S509" s="81" t="s">
        <v>1978</v>
      </c>
      <c r="T509" s="86" t="str">
        <f>HYPERLINK("http://www.youtube.com/channel/UCAfKX5atbQk4nK1ELw2nkKQ")</f>
        <v>http://www.youtube.com/channel/UCAfKX5atbQk4nK1ELw2nkKQ</v>
      </c>
      <c r="U509" s="81" t="s">
        <v>2267</v>
      </c>
      <c r="V509" s="81" t="s">
        <v>2329</v>
      </c>
      <c r="W509" s="86" t="str">
        <f>HYPERLINK("https://www.youtube.com/watch?v=QYWNXp36O48")</f>
        <v>https://www.youtube.com/watch?v=QYWNXp36O48</v>
      </c>
      <c r="X509" s="81" t="s">
        <v>2349</v>
      </c>
      <c r="Y509" s="81">
        <v>1</v>
      </c>
      <c r="Z509" s="88">
        <v>43915.5303125</v>
      </c>
      <c r="AA509" s="88">
        <v>43915.5303125</v>
      </c>
      <c r="AB509" s="81"/>
      <c r="AC509" s="81"/>
      <c r="AD509" s="84" t="s">
        <v>2390</v>
      </c>
      <c r="AE509" s="82">
        <v>1</v>
      </c>
      <c r="AF509" s="83" t="str">
        <f>REPLACE(INDEX(GroupVertices[Group],MATCH(Edges[[#This Row],[Vertex 1]],GroupVertices[Vertex],0)),1,1,"")</f>
        <v>19</v>
      </c>
      <c r="AG509" s="83" t="str">
        <f>REPLACE(INDEX(GroupVertices[Group],MATCH(Edges[[#This Row],[Vertex 2]],GroupVertices[Vertex],0)),1,1,"")</f>
        <v>19</v>
      </c>
      <c r="AH509" s="111">
        <v>0</v>
      </c>
      <c r="AI509" s="112">
        <v>0</v>
      </c>
      <c r="AJ509" s="111">
        <v>0</v>
      </c>
      <c r="AK509" s="112">
        <v>0</v>
      </c>
      <c r="AL509" s="111">
        <v>0</v>
      </c>
      <c r="AM509" s="112">
        <v>0</v>
      </c>
      <c r="AN509" s="111">
        <v>4</v>
      </c>
      <c r="AO509" s="112">
        <v>100</v>
      </c>
      <c r="AP509" s="111">
        <v>4</v>
      </c>
    </row>
    <row r="510" spans="1:42" ht="15">
      <c r="A510" s="65" t="s">
        <v>620</v>
      </c>
      <c r="B510" s="65" t="s">
        <v>553</v>
      </c>
      <c r="C510" s="66" t="s">
        <v>4651</v>
      </c>
      <c r="D510" s="67">
        <v>3</v>
      </c>
      <c r="E510" s="68"/>
      <c r="F510" s="69">
        <v>40</v>
      </c>
      <c r="G510" s="66"/>
      <c r="H510" s="70"/>
      <c r="I510" s="71"/>
      <c r="J510" s="71"/>
      <c r="K510" s="35" t="s">
        <v>65</v>
      </c>
      <c r="L510" s="79">
        <v>510</v>
      </c>
      <c r="M510" s="79"/>
      <c r="N510" s="73"/>
      <c r="O510" s="81" t="s">
        <v>844</v>
      </c>
      <c r="P510" s="81" t="s">
        <v>199</v>
      </c>
      <c r="Q510" s="84" t="s">
        <v>1334</v>
      </c>
      <c r="R510" s="81" t="s">
        <v>620</v>
      </c>
      <c r="S510" s="81" t="s">
        <v>1979</v>
      </c>
      <c r="T510" s="86" t="str">
        <f>HYPERLINK("http://www.youtube.com/channel/UCcAmaqdRiS3nG9Zc-X_B4Kw")</f>
        <v>http://www.youtube.com/channel/UCcAmaqdRiS3nG9Zc-X_B4Kw</v>
      </c>
      <c r="U510" s="81"/>
      <c r="V510" s="81" t="s">
        <v>2329</v>
      </c>
      <c r="W510" s="86" t="str">
        <f>HYPERLINK("https://www.youtube.com/watch?v=QYWNXp36O48")</f>
        <v>https://www.youtube.com/watch?v=QYWNXp36O48</v>
      </c>
      <c r="X510" s="81" t="s">
        <v>2349</v>
      </c>
      <c r="Y510" s="81">
        <v>187</v>
      </c>
      <c r="Z510" s="88">
        <v>43235.57270833333</v>
      </c>
      <c r="AA510" s="88">
        <v>43235.57270833333</v>
      </c>
      <c r="AB510" s="81"/>
      <c r="AC510" s="81"/>
      <c r="AD510" s="84" t="s">
        <v>2390</v>
      </c>
      <c r="AE510" s="82">
        <v>1</v>
      </c>
      <c r="AF510" s="83" t="str">
        <f>REPLACE(INDEX(GroupVertices[Group],MATCH(Edges[[#This Row],[Vertex 1]],GroupVertices[Vertex],0)),1,1,"")</f>
        <v>19</v>
      </c>
      <c r="AG510" s="83" t="str">
        <f>REPLACE(INDEX(GroupVertices[Group],MATCH(Edges[[#This Row],[Vertex 2]],GroupVertices[Vertex],0)),1,1,"")</f>
        <v>1</v>
      </c>
      <c r="AH510" s="111">
        <v>0</v>
      </c>
      <c r="AI510" s="112">
        <v>0</v>
      </c>
      <c r="AJ510" s="111">
        <v>0</v>
      </c>
      <c r="AK510" s="112">
        <v>0</v>
      </c>
      <c r="AL510" s="111">
        <v>0</v>
      </c>
      <c r="AM510" s="112">
        <v>0</v>
      </c>
      <c r="AN510" s="111">
        <v>11</v>
      </c>
      <c r="AO510" s="112">
        <v>100</v>
      </c>
      <c r="AP510" s="111">
        <v>11</v>
      </c>
    </row>
    <row r="511" spans="1:42" ht="15">
      <c r="A511" s="65" t="s">
        <v>621</v>
      </c>
      <c r="B511" s="65" t="s">
        <v>553</v>
      </c>
      <c r="C511" s="66" t="s">
        <v>4651</v>
      </c>
      <c r="D511" s="67">
        <v>3</v>
      </c>
      <c r="E511" s="68"/>
      <c r="F511" s="69">
        <v>40</v>
      </c>
      <c r="G511" s="66"/>
      <c r="H511" s="70"/>
      <c r="I511" s="71"/>
      <c r="J511" s="71"/>
      <c r="K511" s="35" t="s">
        <v>65</v>
      </c>
      <c r="L511" s="79">
        <v>511</v>
      </c>
      <c r="M511" s="79"/>
      <c r="N511" s="73"/>
      <c r="O511" s="81" t="s">
        <v>844</v>
      </c>
      <c r="P511" s="81" t="s">
        <v>199</v>
      </c>
      <c r="Q511" s="84" t="s">
        <v>1335</v>
      </c>
      <c r="R511" s="81" t="s">
        <v>621</v>
      </c>
      <c r="S511" s="81" t="s">
        <v>1980</v>
      </c>
      <c r="T511" s="86" t="str">
        <f>HYPERLINK("http://www.youtube.com/channel/UCtCpsvqYYe32baaJLCRsbuA")</f>
        <v>http://www.youtube.com/channel/UCtCpsvqYYe32baaJLCRsbuA</v>
      </c>
      <c r="U511" s="81"/>
      <c r="V511" s="81" t="s">
        <v>2329</v>
      </c>
      <c r="W511" s="86" t="str">
        <f>HYPERLINK("https://www.youtube.com/watch?v=QYWNXp36O48")</f>
        <v>https://www.youtube.com/watch?v=QYWNXp36O48</v>
      </c>
      <c r="X511" s="81" t="s">
        <v>2349</v>
      </c>
      <c r="Y511" s="81">
        <v>1</v>
      </c>
      <c r="Z511" s="88">
        <v>43402.83872685185</v>
      </c>
      <c r="AA511" s="88">
        <v>43402.83872685185</v>
      </c>
      <c r="AB511" s="81"/>
      <c r="AC511" s="81"/>
      <c r="AD511" s="84" t="s">
        <v>2390</v>
      </c>
      <c r="AE511" s="82">
        <v>1</v>
      </c>
      <c r="AF511" s="83" t="str">
        <f>REPLACE(INDEX(GroupVertices[Group],MATCH(Edges[[#This Row],[Vertex 1]],GroupVertices[Vertex],0)),1,1,"")</f>
        <v>1</v>
      </c>
      <c r="AG511" s="83" t="str">
        <f>REPLACE(INDEX(GroupVertices[Group],MATCH(Edges[[#This Row],[Vertex 2]],GroupVertices[Vertex],0)),1,1,"")</f>
        <v>1</v>
      </c>
      <c r="AH511" s="111">
        <v>1</v>
      </c>
      <c r="AI511" s="112">
        <v>25</v>
      </c>
      <c r="AJ511" s="111">
        <v>0</v>
      </c>
      <c r="AK511" s="112">
        <v>0</v>
      </c>
      <c r="AL511" s="111">
        <v>0</v>
      </c>
      <c r="AM511" s="112">
        <v>0</v>
      </c>
      <c r="AN511" s="111">
        <v>3</v>
      </c>
      <c r="AO511" s="112">
        <v>75</v>
      </c>
      <c r="AP511" s="111">
        <v>4</v>
      </c>
    </row>
    <row r="512" spans="1:42" ht="15">
      <c r="A512" s="65" t="s">
        <v>622</v>
      </c>
      <c r="B512" s="65" t="s">
        <v>553</v>
      </c>
      <c r="C512" s="66" t="s">
        <v>4651</v>
      </c>
      <c r="D512" s="67">
        <v>3</v>
      </c>
      <c r="E512" s="68"/>
      <c r="F512" s="69">
        <v>40</v>
      </c>
      <c r="G512" s="66"/>
      <c r="H512" s="70"/>
      <c r="I512" s="71"/>
      <c r="J512" s="71"/>
      <c r="K512" s="35" t="s">
        <v>65</v>
      </c>
      <c r="L512" s="79">
        <v>512</v>
      </c>
      <c r="M512" s="79"/>
      <c r="N512" s="73"/>
      <c r="O512" s="81" t="s">
        <v>844</v>
      </c>
      <c r="P512" s="81" t="s">
        <v>199</v>
      </c>
      <c r="Q512" s="84" t="s">
        <v>1336</v>
      </c>
      <c r="R512" s="81" t="s">
        <v>622</v>
      </c>
      <c r="S512" s="81" t="s">
        <v>1981</v>
      </c>
      <c r="T512" s="86" t="str">
        <f>HYPERLINK("http://www.youtube.com/channel/UC59Y1UyNh5yWSP7pJvOkevw")</f>
        <v>http://www.youtube.com/channel/UC59Y1UyNh5yWSP7pJvOkevw</v>
      </c>
      <c r="U512" s="81"/>
      <c r="V512" s="81" t="s">
        <v>2329</v>
      </c>
      <c r="W512" s="86" t="str">
        <f>HYPERLINK("https://www.youtube.com/watch?v=QYWNXp36O48")</f>
        <v>https://www.youtube.com/watch?v=QYWNXp36O48</v>
      </c>
      <c r="X512" s="81" t="s">
        <v>2349</v>
      </c>
      <c r="Y512" s="81">
        <v>1</v>
      </c>
      <c r="Z512" s="88">
        <v>43494.979375</v>
      </c>
      <c r="AA512" s="88">
        <v>43494.979375</v>
      </c>
      <c r="AB512" s="81"/>
      <c r="AC512" s="81"/>
      <c r="AD512" s="84" t="s">
        <v>2390</v>
      </c>
      <c r="AE512" s="82">
        <v>1</v>
      </c>
      <c r="AF512" s="83" t="str">
        <f>REPLACE(INDEX(GroupVertices[Group],MATCH(Edges[[#This Row],[Vertex 1]],GroupVertices[Vertex],0)),1,1,"")</f>
        <v>1</v>
      </c>
      <c r="AG512" s="83" t="str">
        <f>REPLACE(INDEX(GroupVertices[Group],MATCH(Edges[[#This Row],[Vertex 2]],GroupVertices[Vertex],0)),1,1,"")</f>
        <v>1</v>
      </c>
      <c r="AH512" s="111">
        <v>0</v>
      </c>
      <c r="AI512" s="112">
        <v>0</v>
      </c>
      <c r="AJ512" s="111">
        <v>2</v>
      </c>
      <c r="AK512" s="112">
        <v>28.571428571428573</v>
      </c>
      <c r="AL512" s="111">
        <v>0</v>
      </c>
      <c r="AM512" s="112">
        <v>0</v>
      </c>
      <c r="AN512" s="111">
        <v>5</v>
      </c>
      <c r="AO512" s="112">
        <v>71.42857142857143</v>
      </c>
      <c r="AP512" s="111">
        <v>7</v>
      </c>
    </row>
    <row r="513" spans="1:42" ht="15">
      <c r="A513" s="65" t="s">
        <v>623</v>
      </c>
      <c r="B513" s="65" t="s">
        <v>624</v>
      </c>
      <c r="C513" s="66" t="s">
        <v>4613</v>
      </c>
      <c r="D513" s="67">
        <v>10</v>
      </c>
      <c r="E513" s="68"/>
      <c r="F513" s="69">
        <v>15</v>
      </c>
      <c r="G513" s="66"/>
      <c r="H513" s="70"/>
      <c r="I513" s="71"/>
      <c r="J513" s="71"/>
      <c r="K513" s="35" t="s">
        <v>65</v>
      </c>
      <c r="L513" s="79">
        <v>513</v>
      </c>
      <c r="M513" s="79"/>
      <c r="N513" s="73"/>
      <c r="O513" s="81" t="s">
        <v>845</v>
      </c>
      <c r="P513" s="81" t="s">
        <v>847</v>
      </c>
      <c r="Q513" s="84" t="s">
        <v>1337</v>
      </c>
      <c r="R513" s="81" t="s">
        <v>623</v>
      </c>
      <c r="S513" s="81" t="s">
        <v>1982</v>
      </c>
      <c r="T513" s="86" t="str">
        <f>HYPERLINK("http://www.youtube.com/channel/UCE72zxLGsm_AcyQtOqs84SQ")</f>
        <v>http://www.youtube.com/channel/UCE72zxLGsm_AcyQtOqs84SQ</v>
      </c>
      <c r="U513" s="81" t="s">
        <v>2268</v>
      </c>
      <c r="V513" s="81" t="s">
        <v>2329</v>
      </c>
      <c r="W513" s="86" t="str">
        <f>HYPERLINK("https://www.youtube.com/watch?v=QYWNXp36O48")</f>
        <v>https://www.youtube.com/watch?v=QYWNXp36O48</v>
      </c>
      <c r="X513" s="81" t="s">
        <v>2349</v>
      </c>
      <c r="Y513" s="81">
        <v>0</v>
      </c>
      <c r="Z513" s="88">
        <v>43501.85019675926</v>
      </c>
      <c r="AA513" s="88">
        <v>43501.85019675926</v>
      </c>
      <c r="AB513" s="81"/>
      <c r="AC513" s="81"/>
      <c r="AD513" s="84" t="s">
        <v>2390</v>
      </c>
      <c r="AE513" s="82">
        <v>2</v>
      </c>
      <c r="AF513" s="83" t="str">
        <f>REPLACE(INDEX(GroupVertices[Group],MATCH(Edges[[#This Row],[Vertex 1]],GroupVertices[Vertex],0)),1,1,"")</f>
        <v>1</v>
      </c>
      <c r="AG513" s="83" t="str">
        <f>REPLACE(INDEX(GroupVertices[Group],MATCH(Edges[[#This Row],[Vertex 2]],GroupVertices[Vertex],0)),1,1,"")</f>
        <v>1</v>
      </c>
      <c r="AH513" s="111">
        <v>1</v>
      </c>
      <c r="AI513" s="112">
        <v>1.8518518518518519</v>
      </c>
      <c r="AJ513" s="111">
        <v>2</v>
      </c>
      <c r="AK513" s="112">
        <v>3.7037037037037037</v>
      </c>
      <c r="AL513" s="111">
        <v>0</v>
      </c>
      <c r="AM513" s="112">
        <v>0</v>
      </c>
      <c r="AN513" s="111">
        <v>51</v>
      </c>
      <c r="AO513" s="112">
        <v>94.44444444444444</v>
      </c>
      <c r="AP513" s="111">
        <v>54</v>
      </c>
    </row>
    <row r="514" spans="1:42" ht="15">
      <c r="A514" s="65" t="s">
        <v>623</v>
      </c>
      <c r="B514" s="65" t="s">
        <v>624</v>
      </c>
      <c r="C514" s="66" t="s">
        <v>4613</v>
      </c>
      <c r="D514" s="67">
        <v>10</v>
      </c>
      <c r="E514" s="68"/>
      <c r="F514" s="69">
        <v>15</v>
      </c>
      <c r="G514" s="66"/>
      <c r="H514" s="70"/>
      <c r="I514" s="71"/>
      <c r="J514" s="71"/>
      <c r="K514" s="35" t="s">
        <v>65</v>
      </c>
      <c r="L514" s="79">
        <v>514</v>
      </c>
      <c r="M514" s="79"/>
      <c r="N514" s="73"/>
      <c r="O514" s="81" t="s">
        <v>845</v>
      </c>
      <c r="P514" s="81" t="s">
        <v>847</v>
      </c>
      <c r="Q514" s="84" t="s">
        <v>1338</v>
      </c>
      <c r="R514" s="81" t="s">
        <v>623</v>
      </c>
      <c r="S514" s="81" t="s">
        <v>1982</v>
      </c>
      <c r="T514" s="86" t="str">
        <f>HYPERLINK("http://www.youtube.com/channel/UCE72zxLGsm_AcyQtOqs84SQ")</f>
        <v>http://www.youtube.com/channel/UCE72zxLGsm_AcyQtOqs84SQ</v>
      </c>
      <c r="U514" s="81" t="s">
        <v>2268</v>
      </c>
      <c r="V514" s="81" t="s">
        <v>2329</v>
      </c>
      <c r="W514" s="86" t="str">
        <f>HYPERLINK("https://www.youtube.com/watch?v=QYWNXp36O48")</f>
        <v>https://www.youtube.com/watch?v=QYWNXp36O48</v>
      </c>
      <c r="X514" s="81" t="s">
        <v>2349</v>
      </c>
      <c r="Y514" s="81">
        <v>0</v>
      </c>
      <c r="Z514" s="88">
        <v>43501.90130787037</v>
      </c>
      <c r="AA514" s="88">
        <v>43501.90130787037</v>
      </c>
      <c r="AB514" s="81"/>
      <c r="AC514" s="81"/>
      <c r="AD514" s="84" t="s">
        <v>2390</v>
      </c>
      <c r="AE514" s="82">
        <v>2</v>
      </c>
      <c r="AF514" s="83" t="str">
        <f>REPLACE(INDEX(GroupVertices[Group],MATCH(Edges[[#This Row],[Vertex 1]],GroupVertices[Vertex],0)),1,1,"")</f>
        <v>1</v>
      </c>
      <c r="AG514" s="83" t="str">
        <f>REPLACE(INDEX(GroupVertices[Group],MATCH(Edges[[#This Row],[Vertex 2]],GroupVertices[Vertex],0)),1,1,"")</f>
        <v>1</v>
      </c>
      <c r="AH514" s="111">
        <v>0</v>
      </c>
      <c r="AI514" s="112">
        <v>0</v>
      </c>
      <c r="AJ514" s="111">
        <v>0</v>
      </c>
      <c r="AK514" s="112">
        <v>0</v>
      </c>
      <c r="AL514" s="111">
        <v>0</v>
      </c>
      <c r="AM514" s="112">
        <v>0</v>
      </c>
      <c r="AN514" s="111">
        <v>2</v>
      </c>
      <c r="AO514" s="112">
        <v>100</v>
      </c>
      <c r="AP514" s="111">
        <v>2</v>
      </c>
    </row>
    <row r="515" spans="1:42" ht="15">
      <c r="A515" s="65" t="s">
        <v>553</v>
      </c>
      <c r="B515" s="65" t="s">
        <v>624</v>
      </c>
      <c r="C515" s="66" t="s">
        <v>4651</v>
      </c>
      <c r="D515" s="67">
        <v>3</v>
      </c>
      <c r="E515" s="68"/>
      <c r="F515" s="69">
        <v>40</v>
      </c>
      <c r="G515" s="66"/>
      <c r="H515" s="70"/>
      <c r="I515" s="71"/>
      <c r="J515" s="71"/>
      <c r="K515" s="35" t="s">
        <v>66</v>
      </c>
      <c r="L515" s="79">
        <v>515</v>
      </c>
      <c r="M515" s="79"/>
      <c r="N515" s="73"/>
      <c r="O515" s="81" t="s">
        <v>845</v>
      </c>
      <c r="P515" s="81" t="s">
        <v>847</v>
      </c>
      <c r="Q515" s="84" t="s">
        <v>1339</v>
      </c>
      <c r="R515" s="81" t="s">
        <v>553</v>
      </c>
      <c r="S515" s="81" t="s">
        <v>1912</v>
      </c>
      <c r="T515" s="86" t="str">
        <f>HYPERLINK("http://www.youtube.com/channel/UCqbOeHaAUXw9Il7sBVG3_bw")</f>
        <v>http://www.youtube.com/channel/UCqbOeHaAUXw9Il7sBVG3_bw</v>
      </c>
      <c r="U515" s="81" t="s">
        <v>2268</v>
      </c>
      <c r="V515" s="81" t="s">
        <v>2329</v>
      </c>
      <c r="W515" s="86" t="str">
        <f>HYPERLINK("https://www.youtube.com/watch?v=QYWNXp36O48")</f>
        <v>https://www.youtube.com/watch?v=QYWNXp36O48</v>
      </c>
      <c r="X515" s="81" t="s">
        <v>2349</v>
      </c>
      <c r="Y515" s="81">
        <v>3</v>
      </c>
      <c r="Z515" s="88">
        <v>43501.8749537037</v>
      </c>
      <c r="AA515" s="88">
        <v>43501.8749537037</v>
      </c>
      <c r="AB515" s="81"/>
      <c r="AC515" s="81"/>
      <c r="AD515" s="84" t="s">
        <v>2390</v>
      </c>
      <c r="AE515" s="82">
        <v>1</v>
      </c>
      <c r="AF515" s="83" t="str">
        <f>REPLACE(INDEX(GroupVertices[Group],MATCH(Edges[[#This Row],[Vertex 1]],GroupVertices[Vertex],0)),1,1,"")</f>
        <v>1</v>
      </c>
      <c r="AG515" s="83" t="str">
        <f>REPLACE(INDEX(GroupVertices[Group],MATCH(Edges[[#This Row],[Vertex 2]],GroupVertices[Vertex],0)),1,1,"")</f>
        <v>1</v>
      </c>
      <c r="AH515" s="111">
        <v>3</v>
      </c>
      <c r="AI515" s="112">
        <v>4.761904761904762</v>
      </c>
      <c r="AJ515" s="111">
        <v>4</v>
      </c>
      <c r="AK515" s="112">
        <v>6.349206349206349</v>
      </c>
      <c r="AL515" s="111">
        <v>0</v>
      </c>
      <c r="AM515" s="112">
        <v>0</v>
      </c>
      <c r="AN515" s="111">
        <v>56</v>
      </c>
      <c r="AO515" s="112">
        <v>88.88888888888889</v>
      </c>
      <c r="AP515" s="111">
        <v>63</v>
      </c>
    </row>
    <row r="516" spans="1:42" ht="15">
      <c r="A516" s="65" t="s">
        <v>624</v>
      </c>
      <c r="B516" s="65" t="s">
        <v>624</v>
      </c>
      <c r="C516" s="66" t="s">
        <v>4613</v>
      </c>
      <c r="D516" s="67">
        <v>10</v>
      </c>
      <c r="E516" s="68"/>
      <c r="F516" s="69">
        <v>15</v>
      </c>
      <c r="G516" s="66"/>
      <c r="H516" s="70"/>
      <c r="I516" s="71"/>
      <c r="J516" s="71"/>
      <c r="K516" s="35" t="s">
        <v>65</v>
      </c>
      <c r="L516" s="79">
        <v>516</v>
      </c>
      <c r="M516" s="79"/>
      <c r="N516" s="73"/>
      <c r="O516" s="81" t="s">
        <v>845</v>
      </c>
      <c r="P516" s="81" t="s">
        <v>847</v>
      </c>
      <c r="Q516" s="84" t="s">
        <v>1340</v>
      </c>
      <c r="R516" s="81" t="s">
        <v>624</v>
      </c>
      <c r="S516" s="81" t="s">
        <v>1983</v>
      </c>
      <c r="T516" s="86" t="str">
        <f>HYPERLINK("http://www.youtube.com/channel/UCEbfrWiWbnQOM7KDxO_Evmg")</f>
        <v>http://www.youtube.com/channel/UCEbfrWiWbnQOM7KDxO_Evmg</v>
      </c>
      <c r="U516" s="81" t="s">
        <v>2268</v>
      </c>
      <c r="V516" s="81" t="s">
        <v>2329</v>
      </c>
      <c r="W516" s="86" t="str">
        <f>HYPERLINK("https://www.youtube.com/watch?v=QYWNXp36O48")</f>
        <v>https://www.youtube.com/watch?v=QYWNXp36O48</v>
      </c>
      <c r="X516" s="81" t="s">
        <v>2349</v>
      </c>
      <c r="Y516" s="81">
        <v>1</v>
      </c>
      <c r="Z516" s="88">
        <v>43501.882048611114</v>
      </c>
      <c r="AA516" s="88">
        <v>43501.882048611114</v>
      </c>
      <c r="AB516" s="81"/>
      <c r="AC516" s="81"/>
      <c r="AD516" s="84" t="s">
        <v>2390</v>
      </c>
      <c r="AE516" s="82">
        <v>2</v>
      </c>
      <c r="AF516" s="83" t="str">
        <f>REPLACE(INDEX(GroupVertices[Group],MATCH(Edges[[#This Row],[Vertex 1]],GroupVertices[Vertex],0)),1,1,"")</f>
        <v>1</v>
      </c>
      <c r="AG516" s="83" t="str">
        <f>REPLACE(INDEX(GroupVertices[Group],MATCH(Edges[[#This Row],[Vertex 2]],GroupVertices[Vertex],0)),1,1,"")</f>
        <v>1</v>
      </c>
      <c r="AH516" s="111">
        <v>1</v>
      </c>
      <c r="AI516" s="112">
        <v>20</v>
      </c>
      <c r="AJ516" s="111">
        <v>0</v>
      </c>
      <c r="AK516" s="112">
        <v>0</v>
      </c>
      <c r="AL516" s="111">
        <v>0</v>
      </c>
      <c r="AM516" s="112">
        <v>0</v>
      </c>
      <c r="AN516" s="111">
        <v>4</v>
      </c>
      <c r="AO516" s="112">
        <v>80</v>
      </c>
      <c r="AP516" s="111">
        <v>5</v>
      </c>
    </row>
    <row r="517" spans="1:42" ht="15">
      <c r="A517" s="65" t="s">
        <v>624</v>
      </c>
      <c r="B517" s="65" t="s">
        <v>624</v>
      </c>
      <c r="C517" s="66" t="s">
        <v>4613</v>
      </c>
      <c r="D517" s="67">
        <v>10</v>
      </c>
      <c r="E517" s="68"/>
      <c r="F517" s="69">
        <v>15</v>
      </c>
      <c r="G517" s="66"/>
      <c r="H517" s="70"/>
      <c r="I517" s="71"/>
      <c r="J517" s="71"/>
      <c r="K517" s="35" t="s">
        <v>65</v>
      </c>
      <c r="L517" s="79">
        <v>517</v>
      </c>
      <c r="M517" s="79"/>
      <c r="N517" s="73"/>
      <c r="O517" s="81" t="s">
        <v>845</v>
      </c>
      <c r="P517" s="81" t="s">
        <v>847</v>
      </c>
      <c r="Q517" s="84" t="s">
        <v>1341</v>
      </c>
      <c r="R517" s="81" t="s">
        <v>624</v>
      </c>
      <c r="S517" s="81" t="s">
        <v>1983</v>
      </c>
      <c r="T517" s="86" t="str">
        <f>HYPERLINK("http://www.youtube.com/channel/UCEbfrWiWbnQOM7KDxO_Evmg")</f>
        <v>http://www.youtube.com/channel/UCEbfrWiWbnQOM7KDxO_Evmg</v>
      </c>
      <c r="U517" s="81" t="s">
        <v>2268</v>
      </c>
      <c r="V517" s="81" t="s">
        <v>2329</v>
      </c>
      <c r="W517" s="86" t="str">
        <f>HYPERLINK("https://www.youtube.com/watch?v=QYWNXp36O48")</f>
        <v>https://www.youtube.com/watch?v=QYWNXp36O48</v>
      </c>
      <c r="X517" s="81" t="s">
        <v>2349</v>
      </c>
      <c r="Y517" s="81">
        <v>1</v>
      </c>
      <c r="Z517" s="88">
        <v>43501.88232638889</v>
      </c>
      <c r="AA517" s="88">
        <v>43501.88232638889</v>
      </c>
      <c r="AB517" s="81"/>
      <c r="AC517" s="81"/>
      <c r="AD517" s="84" t="s">
        <v>2390</v>
      </c>
      <c r="AE517" s="82">
        <v>2</v>
      </c>
      <c r="AF517" s="83" t="str">
        <f>REPLACE(INDEX(GroupVertices[Group],MATCH(Edges[[#This Row],[Vertex 1]],GroupVertices[Vertex],0)),1,1,"")</f>
        <v>1</v>
      </c>
      <c r="AG517" s="83" t="str">
        <f>REPLACE(INDEX(GroupVertices[Group],MATCH(Edges[[#This Row],[Vertex 2]],GroupVertices[Vertex],0)),1,1,"")</f>
        <v>1</v>
      </c>
      <c r="AH517" s="111">
        <v>2</v>
      </c>
      <c r="AI517" s="112">
        <v>33.333333333333336</v>
      </c>
      <c r="AJ517" s="111">
        <v>0</v>
      </c>
      <c r="AK517" s="112">
        <v>0</v>
      </c>
      <c r="AL517" s="111">
        <v>0</v>
      </c>
      <c r="AM517" s="112">
        <v>0</v>
      </c>
      <c r="AN517" s="111">
        <v>4</v>
      </c>
      <c r="AO517" s="112">
        <v>66.66666666666667</v>
      </c>
      <c r="AP517" s="111">
        <v>6</v>
      </c>
    </row>
    <row r="518" spans="1:42" ht="15">
      <c r="A518" s="65" t="s">
        <v>624</v>
      </c>
      <c r="B518" s="65" t="s">
        <v>553</v>
      </c>
      <c r="C518" s="66" t="s">
        <v>4651</v>
      </c>
      <c r="D518" s="67">
        <v>3</v>
      </c>
      <c r="E518" s="68"/>
      <c r="F518" s="69">
        <v>40</v>
      </c>
      <c r="G518" s="66"/>
      <c r="H518" s="70"/>
      <c r="I518" s="71"/>
      <c r="J518" s="71"/>
      <c r="K518" s="35" t="s">
        <v>66</v>
      </c>
      <c r="L518" s="79">
        <v>518</v>
      </c>
      <c r="M518" s="79"/>
      <c r="N518" s="73"/>
      <c r="O518" s="81" t="s">
        <v>844</v>
      </c>
      <c r="P518" s="81" t="s">
        <v>199</v>
      </c>
      <c r="Q518" s="84" t="s">
        <v>1342</v>
      </c>
      <c r="R518" s="81" t="s">
        <v>624</v>
      </c>
      <c r="S518" s="81" t="s">
        <v>1983</v>
      </c>
      <c r="T518" s="86" t="str">
        <f>HYPERLINK("http://www.youtube.com/channel/UCEbfrWiWbnQOM7KDxO_Evmg")</f>
        <v>http://www.youtube.com/channel/UCEbfrWiWbnQOM7KDxO_Evmg</v>
      </c>
      <c r="U518" s="81"/>
      <c r="V518" s="81" t="s">
        <v>2329</v>
      </c>
      <c r="W518" s="86" t="str">
        <f>HYPERLINK("https://www.youtube.com/watch?v=QYWNXp36O48")</f>
        <v>https://www.youtube.com/watch?v=QYWNXp36O48</v>
      </c>
      <c r="X518" s="81" t="s">
        <v>2349</v>
      </c>
      <c r="Y518" s="81">
        <v>0</v>
      </c>
      <c r="Z518" s="88">
        <v>43495.936064814814</v>
      </c>
      <c r="AA518" s="88">
        <v>43495.936064814814</v>
      </c>
      <c r="AB518" s="81"/>
      <c r="AC518" s="81"/>
      <c r="AD518" s="84" t="s">
        <v>2390</v>
      </c>
      <c r="AE518" s="82">
        <v>1</v>
      </c>
      <c r="AF518" s="83" t="str">
        <f>REPLACE(INDEX(GroupVertices[Group],MATCH(Edges[[#This Row],[Vertex 1]],GroupVertices[Vertex],0)),1,1,"")</f>
        <v>1</v>
      </c>
      <c r="AG518" s="83" t="str">
        <f>REPLACE(INDEX(GroupVertices[Group],MATCH(Edges[[#This Row],[Vertex 2]],GroupVertices[Vertex],0)),1,1,"")</f>
        <v>1</v>
      </c>
      <c r="AH518" s="111">
        <v>0</v>
      </c>
      <c r="AI518" s="112">
        <v>0</v>
      </c>
      <c r="AJ518" s="111">
        <v>2</v>
      </c>
      <c r="AK518" s="112">
        <v>11.764705882352942</v>
      </c>
      <c r="AL518" s="111">
        <v>0</v>
      </c>
      <c r="AM518" s="112">
        <v>0</v>
      </c>
      <c r="AN518" s="111">
        <v>15</v>
      </c>
      <c r="AO518" s="112">
        <v>88.23529411764706</v>
      </c>
      <c r="AP518" s="111">
        <v>17</v>
      </c>
    </row>
    <row r="519" spans="1:42" ht="15">
      <c r="A519" s="65" t="s">
        <v>625</v>
      </c>
      <c r="B519" s="65" t="s">
        <v>553</v>
      </c>
      <c r="C519" s="66" t="s">
        <v>4651</v>
      </c>
      <c r="D519" s="67">
        <v>3</v>
      </c>
      <c r="E519" s="68"/>
      <c r="F519" s="69">
        <v>40</v>
      </c>
      <c r="G519" s="66"/>
      <c r="H519" s="70"/>
      <c r="I519" s="71"/>
      <c r="J519" s="71"/>
      <c r="K519" s="35" t="s">
        <v>65</v>
      </c>
      <c r="L519" s="79">
        <v>519</v>
      </c>
      <c r="M519" s="79"/>
      <c r="N519" s="73"/>
      <c r="O519" s="81" t="s">
        <v>844</v>
      </c>
      <c r="P519" s="81" t="s">
        <v>199</v>
      </c>
      <c r="Q519" s="84" t="s">
        <v>1343</v>
      </c>
      <c r="R519" s="81" t="s">
        <v>625</v>
      </c>
      <c r="S519" s="81" t="s">
        <v>1984</v>
      </c>
      <c r="T519" s="86" t="str">
        <f>HYPERLINK("http://www.youtube.com/channel/UCWEnrt2wJSyJ8UF9gGLxhgA")</f>
        <v>http://www.youtube.com/channel/UCWEnrt2wJSyJ8UF9gGLxhgA</v>
      </c>
      <c r="U519" s="81"/>
      <c r="V519" s="81" t="s">
        <v>2329</v>
      </c>
      <c r="W519" s="86" t="str">
        <f>HYPERLINK("https://www.youtube.com/watch?v=QYWNXp36O48")</f>
        <v>https://www.youtube.com/watch?v=QYWNXp36O48</v>
      </c>
      <c r="X519" s="81" t="s">
        <v>2349</v>
      </c>
      <c r="Y519" s="81">
        <v>2</v>
      </c>
      <c r="Z519" s="88">
        <v>43507.99428240741</v>
      </c>
      <c r="AA519" s="88">
        <v>43507.99428240741</v>
      </c>
      <c r="AB519" s="81"/>
      <c r="AC519" s="81"/>
      <c r="AD519" s="84" t="s">
        <v>2390</v>
      </c>
      <c r="AE519" s="82">
        <v>1</v>
      </c>
      <c r="AF519" s="83" t="str">
        <f>REPLACE(INDEX(GroupVertices[Group],MATCH(Edges[[#This Row],[Vertex 1]],GroupVertices[Vertex],0)),1,1,"")</f>
        <v>1</v>
      </c>
      <c r="AG519" s="83" t="str">
        <f>REPLACE(INDEX(GroupVertices[Group],MATCH(Edges[[#This Row],[Vertex 2]],GroupVertices[Vertex],0)),1,1,"")</f>
        <v>1</v>
      </c>
      <c r="AH519" s="111">
        <v>0</v>
      </c>
      <c r="AI519" s="112">
        <v>0</v>
      </c>
      <c r="AJ519" s="111">
        <v>1</v>
      </c>
      <c r="AK519" s="112">
        <v>100</v>
      </c>
      <c r="AL519" s="111">
        <v>0</v>
      </c>
      <c r="AM519" s="112">
        <v>0</v>
      </c>
      <c r="AN519" s="111">
        <v>0</v>
      </c>
      <c r="AO519" s="112">
        <v>0</v>
      </c>
      <c r="AP519" s="111">
        <v>1</v>
      </c>
    </row>
    <row r="520" spans="1:42" ht="15">
      <c r="A520" s="65" t="s">
        <v>553</v>
      </c>
      <c r="B520" s="65" t="s">
        <v>626</v>
      </c>
      <c r="C520" s="66" t="s">
        <v>4651</v>
      </c>
      <c r="D520" s="67">
        <v>3</v>
      </c>
      <c r="E520" s="68"/>
      <c r="F520" s="69">
        <v>40</v>
      </c>
      <c r="G520" s="66"/>
      <c r="H520" s="70"/>
      <c r="I520" s="71"/>
      <c r="J520" s="71"/>
      <c r="K520" s="35" t="s">
        <v>66</v>
      </c>
      <c r="L520" s="79">
        <v>520</v>
      </c>
      <c r="M520" s="79"/>
      <c r="N520" s="73"/>
      <c r="O520" s="81" t="s">
        <v>845</v>
      </c>
      <c r="P520" s="81" t="s">
        <v>847</v>
      </c>
      <c r="Q520" s="84" t="s">
        <v>1344</v>
      </c>
      <c r="R520" s="81" t="s">
        <v>553</v>
      </c>
      <c r="S520" s="81" t="s">
        <v>1912</v>
      </c>
      <c r="T520" s="86" t="str">
        <f>HYPERLINK("http://www.youtube.com/channel/UCqbOeHaAUXw9Il7sBVG3_bw")</f>
        <v>http://www.youtube.com/channel/UCqbOeHaAUXw9Il7sBVG3_bw</v>
      </c>
      <c r="U520" s="81" t="s">
        <v>2269</v>
      </c>
      <c r="V520" s="81" t="s">
        <v>2329</v>
      </c>
      <c r="W520" s="86" t="str">
        <f>HYPERLINK("https://www.youtube.com/watch?v=QYWNXp36O48")</f>
        <v>https://www.youtube.com/watch?v=QYWNXp36O48</v>
      </c>
      <c r="X520" s="81" t="s">
        <v>2349</v>
      </c>
      <c r="Y520" s="81">
        <v>0</v>
      </c>
      <c r="Z520" s="88">
        <v>43548.69490740741</v>
      </c>
      <c r="AA520" s="88">
        <v>43548.69490740741</v>
      </c>
      <c r="AB520" s="81"/>
      <c r="AC520" s="81"/>
      <c r="AD520" s="84" t="s">
        <v>2390</v>
      </c>
      <c r="AE520" s="82">
        <v>1</v>
      </c>
      <c r="AF520" s="83" t="str">
        <f>REPLACE(INDEX(GroupVertices[Group],MATCH(Edges[[#This Row],[Vertex 1]],GroupVertices[Vertex],0)),1,1,"")</f>
        <v>1</v>
      </c>
      <c r="AG520" s="83" t="str">
        <f>REPLACE(INDEX(GroupVertices[Group],MATCH(Edges[[#This Row],[Vertex 2]],GroupVertices[Vertex],0)),1,1,"")</f>
        <v>1</v>
      </c>
      <c r="AH520" s="111">
        <v>0</v>
      </c>
      <c r="AI520" s="112">
        <v>0</v>
      </c>
      <c r="AJ520" s="111">
        <v>0</v>
      </c>
      <c r="AK520" s="112">
        <v>0</v>
      </c>
      <c r="AL520" s="111">
        <v>0</v>
      </c>
      <c r="AM520" s="112">
        <v>0</v>
      </c>
      <c r="AN520" s="111">
        <v>10</v>
      </c>
      <c r="AO520" s="112">
        <v>100</v>
      </c>
      <c r="AP520" s="111">
        <v>10</v>
      </c>
    </row>
    <row r="521" spans="1:42" ht="15">
      <c r="A521" s="65" t="s">
        <v>626</v>
      </c>
      <c r="B521" s="65" t="s">
        <v>553</v>
      </c>
      <c r="C521" s="66" t="s">
        <v>4651</v>
      </c>
      <c r="D521" s="67">
        <v>3</v>
      </c>
      <c r="E521" s="68"/>
      <c r="F521" s="69">
        <v>40</v>
      </c>
      <c r="G521" s="66"/>
      <c r="H521" s="70"/>
      <c r="I521" s="71"/>
      <c r="J521" s="71"/>
      <c r="K521" s="35" t="s">
        <v>66</v>
      </c>
      <c r="L521" s="79">
        <v>521</v>
      </c>
      <c r="M521" s="79"/>
      <c r="N521" s="73"/>
      <c r="O521" s="81" t="s">
        <v>844</v>
      </c>
      <c r="P521" s="81" t="s">
        <v>199</v>
      </c>
      <c r="Q521" s="84" t="s">
        <v>1345</v>
      </c>
      <c r="R521" s="81" t="s">
        <v>626</v>
      </c>
      <c r="S521" s="81" t="s">
        <v>1985</v>
      </c>
      <c r="T521" s="86" t="str">
        <f>HYPERLINK("http://www.youtube.com/channel/UC9FjksoBHY_UxYRP6tvNnww")</f>
        <v>http://www.youtube.com/channel/UC9FjksoBHY_UxYRP6tvNnww</v>
      </c>
      <c r="U521" s="81"/>
      <c r="V521" s="81" t="s">
        <v>2329</v>
      </c>
      <c r="W521" s="86" t="str">
        <f>HYPERLINK("https://www.youtube.com/watch?v=QYWNXp36O48")</f>
        <v>https://www.youtube.com/watch?v=QYWNXp36O48</v>
      </c>
      <c r="X521" s="81" t="s">
        <v>2349</v>
      </c>
      <c r="Y521" s="81">
        <v>1</v>
      </c>
      <c r="Z521" s="88">
        <v>43548.652974537035</v>
      </c>
      <c r="AA521" s="88">
        <v>43548.652974537035</v>
      </c>
      <c r="AB521" s="81"/>
      <c r="AC521" s="81"/>
      <c r="AD521" s="84" t="s">
        <v>2390</v>
      </c>
      <c r="AE521" s="82">
        <v>1</v>
      </c>
      <c r="AF521" s="83" t="str">
        <f>REPLACE(INDEX(GroupVertices[Group],MATCH(Edges[[#This Row],[Vertex 1]],GroupVertices[Vertex],0)),1,1,"")</f>
        <v>1</v>
      </c>
      <c r="AG521" s="83" t="str">
        <f>REPLACE(INDEX(GroupVertices[Group],MATCH(Edges[[#This Row],[Vertex 2]],GroupVertices[Vertex],0)),1,1,"")</f>
        <v>1</v>
      </c>
      <c r="AH521" s="111">
        <v>0</v>
      </c>
      <c r="AI521" s="112">
        <v>0</v>
      </c>
      <c r="AJ521" s="111">
        <v>0</v>
      </c>
      <c r="AK521" s="112">
        <v>0</v>
      </c>
      <c r="AL521" s="111">
        <v>0</v>
      </c>
      <c r="AM521" s="112">
        <v>0</v>
      </c>
      <c r="AN521" s="111">
        <v>8</v>
      </c>
      <c r="AO521" s="112">
        <v>100</v>
      </c>
      <c r="AP521" s="111">
        <v>8</v>
      </c>
    </row>
    <row r="522" spans="1:42" ht="15">
      <c r="A522" s="65" t="s">
        <v>627</v>
      </c>
      <c r="B522" s="65" t="s">
        <v>553</v>
      </c>
      <c r="C522" s="66" t="s">
        <v>4651</v>
      </c>
      <c r="D522" s="67">
        <v>3</v>
      </c>
      <c r="E522" s="68"/>
      <c r="F522" s="69">
        <v>40</v>
      </c>
      <c r="G522" s="66"/>
      <c r="H522" s="70"/>
      <c r="I522" s="71"/>
      <c r="J522" s="71"/>
      <c r="K522" s="35" t="s">
        <v>65</v>
      </c>
      <c r="L522" s="79">
        <v>522</v>
      </c>
      <c r="M522" s="79"/>
      <c r="N522" s="73"/>
      <c r="O522" s="81" t="s">
        <v>844</v>
      </c>
      <c r="P522" s="81" t="s">
        <v>199</v>
      </c>
      <c r="Q522" s="84" t="s">
        <v>1346</v>
      </c>
      <c r="R522" s="81" t="s">
        <v>627</v>
      </c>
      <c r="S522" s="81" t="s">
        <v>1986</v>
      </c>
      <c r="T522" s="86" t="str">
        <f>HYPERLINK("http://www.youtube.com/channel/UC1g2nw6FsShjFX5ycvYjKrQ")</f>
        <v>http://www.youtube.com/channel/UC1g2nw6FsShjFX5ycvYjKrQ</v>
      </c>
      <c r="U522" s="81"/>
      <c r="V522" s="81" t="s">
        <v>2329</v>
      </c>
      <c r="W522" s="86" t="str">
        <f>HYPERLINK("https://www.youtube.com/watch?v=QYWNXp36O48")</f>
        <v>https://www.youtube.com/watch?v=QYWNXp36O48</v>
      </c>
      <c r="X522" s="81" t="s">
        <v>2349</v>
      </c>
      <c r="Y522" s="81">
        <v>4</v>
      </c>
      <c r="Z522" s="88">
        <v>43564.567245370374</v>
      </c>
      <c r="AA522" s="88">
        <v>43564.567245370374</v>
      </c>
      <c r="AB522" s="81"/>
      <c r="AC522" s="81"/>
      <c r="AD522" s="84" t="s">
        <v>2390</v>
      </c>
      <c r="AE522" s="82">
        <v>1</v>
      </c>
      <c r="AF522" s="83" t="str">
        <f>REPLACE(INDEX(GroupVertices[Group],MATCH(Edges[[#This Row],[Vertex 1]],GroupVertices[Vertex],0)),1,1,"")</f>
        <v>1</v>
      </c>
      <c r="AG522" s="83" t="str">
        <f>REPLACE(INDEX(GroupVertices[Group],MATCH(Edges[[#This Row],[Vertex 2]],GroupVertices[Vertex],0)),1,1,"")</f>
        <v>1</v>
      </c>
      <c r="AH522" s="111">
        <v>2</v>
      </c>
      <c r="AI522" s="112">
        <v>28.571428571428573</v>
      </c>
      <c r="AJ522" s="111">
        <v>0</v>
      </c>
      <c r="AK522" s="112">
        <v>0</v>
      </c>
      <c r="AL522" s="111">
        <v>0</v>
      </c>
      <c r="AM522" s="112">
        <v>0</v>
      </c>
      <c r="AN522" s="111">
        <v>5</v>
      </c>
      <c r="AO522" s="112">
        <v>71.42857142857143</v>
      </c>
      <c r="AP522" s="111">
        <v>7</v>
      </c>
    </row>
    <row r="523" spans="1:42" ht="15">
      <c r="A523" s="65" t="s">
        <v>628</v>
      </c>
      <c r="B523" s="65" t="s">
        <v>553</v>
      </c>
      <c r="C523" s="66" t="s">
        <v>4651</v>
      </c>
      <c r="D523" s="67">
        <v>3</v>
      </c>
      <c r="E523" s="68"/>
      <c r="F523" s="69">
        <v>40</v>
      </c>
      <c r="G523" s="66"/>
      <c r="H523" s="70"/>
      <c r="I523" s="71"/>
      <c r="J523" s="71"/>
      <c r="K523" s="35" t="s">
        <v>65</v>
      </c>
      <c r="L523" s="79">
        <v>523</v>
      </c>
      <c r="M523" s="79"/>
      <c r="N523" s="73"/>
      <c r="O523" s="81" t="s">
        <v>844</v>
      </c>
      <c r="P523" s="81" t="s">
        <v>199</v>
      </c>
      <c r="Q523" s="84" t="s">
        <v>1347</v>
      </c>
      <c r="R523" s="81" t="s">
        <v>628</v>
      </c>
      <c r="S523" s="81" t="s">
        <v>1987</v>
      </c>
      <c r="T523" s="86" t="str">
        <f>HYPERLINK("http://www.youtube.com/channel/UCiv0P8ZBx6PUV9CptXEkWKw")</f>
        <v>http://www.youtube.com/channel/UCiv0P8ZBx6PUV9CptXEkWKw</v>
      </c>
      <c r="U523" s="81"/>
      <c r="V523" s="81" t="s">
        <v>2329</v>
      </c>
      <c r="W523" s="86" t="str">
        <f>HYPERLINK("https://www.youtube.com/watch?v=QYWNXp36O48")</f>
        <v>https://www.youtube.com/watch?v=QYWNXp36O48</v>
      </c>
      <c r="X523" s="81" t="s">
        <v>2349</v>
      </c>
      <c r="Y523" s="81">
        <v>0</v>
      </c>
      <c r="Z523" s="88">
        <v>43564.57796296296</v>
      </c>
      <c r="AA523" s="88">
        <v>43564.57796296296</v>
      </c>
      <c r="AB523" s="81"/>
      <c r="AC523" s="81"/>
      <c r="AD523" s="84" t="s">
        <v>2390</v>
      </c>
      <c r="AE523" s="82">
        <v>1</v>
      </c>
      <c r="AF523" s="83" t="str">
        <f>REPLACE(INDEX(GroupVertices[Group],MATCH(Edges[[#This Row],[Vertex 1]],GroupVertices[Vertex],0)),1,1,"")</f>
        <v>1</v>
      </c>
      <c r="AG523" s="83" t="str">
        <f>REPLACE(INDEX(GroupVertices[Group],MATCH(Edges[[#This Row],[Vertex 2]],GroupVertices[Vertex],0)),1,1,"")</f>
        <v>1</v>
      </c>
      <c r="AH523" s="111">
        <v>3</v>
      </c>
      <c r="AI523" s="112">
        <v>33.333333333333336</v>
      </c>
      <c r="AJ523" s="111">
        <v>0</v>
      </c>
      <c r="AK523" s="112">
        <v>0</v>
      </c>
      <c r="AL523" s="111">
        <v>0</v>
      </c>
      <c r="AM523" s="112">
        <v>0</v>
      </c>
      <c r="AN523" s="111">
        <v>6</v>
      </c>
      <c r="AO523" s="112">
        <v>66.66666666666667</v>
      </c>
      <c r="AP523" s="111">
        <v>9</v>
      </c>
    </row>
    <row r="524" spans="1:42" ht="15">
      <c r="A524" s="65" t="s">
        <v>629</v>
      </c>
      <c r="B524" s="65" t="s">
        <v>553</v>
      </c>
      <c r="C524" s="66" t="s">
        <v>4651</v>
      </c>
      <c r="D524" s="67">
        <v>3</v>
      </c>
      <c r="E524" s="68"/>
      <c r="F524" s="69">
        <v>40</v>
      </c>
      <c r="G524" s="66"/>
      <c r="H524" s="70"/>
      <c r="I524" s="71"/>
      <c r="J524" s="71"/>
      <c r="K524" s="35" t="s">
        <v>65</v>
      </c>
      <c r="L524" s="79">
        <v>524</v>
      </c>
      <c r="M524" s="79"/>
      <c r="N524" s="73"/>
      <c r="O524" s="81" t="s">
        <v>844</v>
      </c>
      <c r="P524" s="81" t="s">
        <v>199</v>
      </c>
      <c r="Q524" s="84" t="s">
        <v>1348</v>
      </c>
      <c r="R524" s="81" t="s">
        <v>629</v>
      </c>
      <c r="S524" s="81" t="s">
        <v>1988</v>
      </c>
      <c r="T524" s="86" t="str">
        <f>HYPERLINK("http://www.youtube.com/channel/UClzQpgwaQA51uOv-8VooFlA")</f>
        <v>http://www.youtube.com/channel/UClzQpgwaQA51uOv-8VooFlA</v>
      </c>
      <c r="U524" s="81"/>
      <c r="V524" s="81" t="s">
        <v>2329</v>
      </c>
      <c r="W524" s="86" t="str">
        <f>HYPERLINK("https://www.youtube.com/watch?v=QYWNXp36O48")</f>
        <v>https://www.youtube.com/watch?v=QYWNXp36O48</v>
      </c>
      <c r="X524" s="81" t="s">
        <v>2349</v>
      </c>
      <c r="Y524" s="81">
        <v>2</v>
      </c>
      <c r="Z524" s="88">
        <v>43564.656273148146</v>
      </c>
      <c r="AA524" s="88">
        <v>43564.656273148146</v>
      </c>
      <c r="AB524" s="81"/>
      <c r="AC524" s="81"/>
      <c r="AD524" s="84" t="s">
        <v>2390</v>
      </c>
      <c r="AE524" s="82">
        <v>1</v>
      </c>
      <c r="AF524" s="83" t="str">
        <f>REPLACE(INDEX(GroupVertices[Group],MATCH(Edges[[#This Row],[Vertex 1]],GroupVertices[Vertex],0)),1,1,"")</f>
        <v>1</v>
      </c>
      <c r="AG524" s="83" t="str">
        <f>REPLACE(INDEX(GroupVertices[Group],MATCH(Edges[[#This Row],[Vertex 2]],GroupVertices[Vertex],0)),1,1,"")</f>
        <v>1</v>
      </c>
      <c r="AH524" s="111">
        <v>2</v>
      </c>
      <c r="AI524" s="112">
        <v>28.571428571428573</v>
      </c>
      <c r="AJ524" s="111">
        <v>0</v>
      </c>
      <c r="AK524" s="112">
        <v>0</v>
      </c>
      <c r="AL524" s="111">
        <v>0</v>
      </c>
      <c r="AM524" s="112">
        <v>0</v>
      </c>
      <c r="AN524" s="111">
        <v>5</v>
      </c>
      <c r="AO524" s="112">
        <v>71.42857142857143</v>
      </c>
      <c r="AP524" s="111">
        <v>7</v>
      </c>
    </row>
    <row r="525" spans="1:42" ht="15">
      <c r="A525" s="65" t="s">
        <v>630</v>
      </c>
      <c r="B525" s="65" t="s">
        <v>631</v>
      </c>
      <c r="C525" s="66" t="s">
        <v>4651</v>
      </c>
      <c r="D525" s="67">
        <v>3</v>
      </c>
      <c r="E525" s="68"/>
      <c r="F525" s="69">
        <v>40</v>
      </c>
      <c r="G525" s="66"/>
      <c r="H525" s="70"/>
      <c r="I525" s="71"/>
      <c r="J525" s="71"/>
      <c r="K525" s="35" t="s">
        <v>65</v>
      </c>
      <c r="L525" s="79">
        <v>525</v>
      </c>
      <c r="M525" s="79"/>
      <c r="N525" s="73"/>
      <c r="O525" s="81" t="s">
        <v>845</v>
      </c>
      <c r="P525" s="81" t="s">
        <v>847</v>
      </c>
      <c r="Q525" s="84" t="s">
        <v>1349</v>
      </c>
      <c r="R525" s="81" t="s">
        <v>630</v>
      </c>
      <c r="S525" s="81" t="s">
        <v>1989</v>
      </c>
      <c r="T525" s="86" t="str">
        <f>HYPERLINK("http://www.youtube.com/channel/UC9sz15QtSp_Sr-fg48i3v6A")</f>
        <v>http://www.youtube.com/channel/UC9sz15QtSp_Sr-fg48i3v6A</v>
      </c>
      <c r="U525" s="81" t="s">
        <v>2270</v>
      </c>
      <c r="V525" s="81" t="s">
        <v>2329</v>
      </c>
      <c r="W525" s="86" t="str">
        <f>HYPERLINK("https://www.youtube.com/watch?v=QYWNXp36O48")</f>
        <v>https://www.youtube.com/watch?v=QYWNXp36O48</v>
      </c>
      <c r="X525" s="81" t="s">
        <v>2349</v>
      </c>
      <c r="Y525" s="81">
        <v>1</v>
      </c>
      <c r="Z525" s="88">
        <v>43571.49490740741</v>
      </c>
      <c r="AA525" s="88">
        <v>43571.49490740741</v>
      </c>
      <c r="AB525" s="81"/>
      <c r="AC525" s="81"/>
      <c r="AD525" s="84" t="s">
        <v>2390</v>
      </c>
      <c r="AE525" s="82">
        <v>1</v>
      </c>
      <c r="AF525" s="83" t="str">
        <f>REPLACE(INDEX(GroupVertices[Group],MATCH(Edges[[#This Row],[Vertex 1]],GroupVertices[Vertex],0)),1,1,"")</f>
        <v>1</v>
      </c>
      <c r="AG525" s="83" t="str">
        <f>REPLACE(INDEX(GroupVertices[Group],MATCH(Edges[[#This Row],[Vertex 2]],GroupVertices[Vertex],0)),1,1,"")</f>
        <v>1</v>
      </c>
      <c r="AH525" s="111">
        <v>1</v>
      </c>
      <c r="AI525" s="112">
        <v>5.555555555555555</v>
      </c>
      <c r="AJ525" s="111">
        <v>1</v>
      </c>
      <c r="AK525" s="112">
        <v>5.555555555555555</v>
      </c>
      <c r="AL525" s="111">
        <v>0</v>
      </c>
      <c r="AM525" s="112">
        <v>0</v>
      </c>
      <c r="AN525" s="111">
        <v>16</v>
      </c>
      <c r="AO525" s="112">
        <v>88.88888888888889</v>
      </c>
      <c r="AP525" s="111">
        <v>18</v>
      </c>
    </row>
    <row r="526" spans="1:42" ht="15">
      <c r="A526" s="65" t="s">
        <v>553</v>
      </c>
      <c r="B526" s="65" t="s">
        <v>631</v>
      </c>
      <c r="C526" s="66" t="s">
        <v>4651</v>
      </c>
      <c r="D526" s="67">
        <v>3</v>
      </c>
      <c r="E526" s="68"/>
      <c r="F526" s="69">
        <v>40</v>
      </c>
      <c r="G526" s="66"/>
      <c r="H526" s="70"/>
      <c r="I526" s="71"/>
      <c r="J526" s="71"/>
      <c r="K526" s="35" t="s">
        <v>66</v>
      </c>
      <c r="L526" s="79">
        <v>526</v>
      </c>
      <c r="M526" s="79"/>
      <c r="N526" s="73"/>
      <c r="O526" s="81" t="s">
        <v>845</v>
      </c>
      <c r="P526" s="81" t="s">
        <v>847</v>
      </c>
      <c r="Q526" s="84" t="s">
        <v>1350</v>
      </c>
      <c r="R526" s="81" t="s">
        <v>553</v>
      </c>
      <c r="S526" s="81" t="s">
        <v>1912</v>
      </c>
      <c r="T526" s="86" t="str">
        <f>HYPERLINK("http://www.youtube.com/channel/UCqbOeHaAUXw9Il7sBVG3_bw")</f>
        <v>http://www.youtube.com/channel/UCqbOeHaAUXw9Il7sBVG3_bw</v>
      </c>
      <c r="U526" s="81" t="s">
        <v>2270</v>
      </c>
      <c r="V526" s="81" t="s">
        <v>2329</v>
      </c>
      <c r="W526" s="86" t="str">
        <f>HYPERLINK("https://www.youtube.com/watch?v=QYWNXp36O48")</f>
        <v>https://www.youtube.com/watch?v=QYWNXp36O48</v>
      </c>
      <c r="X526" s="81" t="s">
        <v>2349</v>
      </c>
      <c r="Y526" s="81">
        <v>1</v>
      </c>
      <c r="Z526" s="88">
        <v>43569.532013888886</v>
      </c>
      <c r="AA526" s="88">
        <v>43569.532013888886</v>
      </c>
      <c r="AB526" s="81"/>
      <c r="AC526" s="81"/>
      <c r="AD526" s="84" t="s">
        <v>2390</v>
      </c>
      <c r="AE526" s="82">
        <v>1</v>
      </c>
      <c r="AF526" s="83" t="str">
        <f>REPLACE(INDEX(GroupVertices[Group],MATCH(Edges[[#This Row],[Vertex 1]],GroupVertices[Vertex],0)),1,1,"")</f>
        <v>1</v>
      </c>
      <c r="AG526" s="83" t="str">
        <f>REPLACE(INDEX(GroupVertices[Group],MATCH(Edges[[#This Row],[Vertex 2]],GroupVertices[Vertex],0)),1,1,"")</f>
        <v>1</v>
      </c>
      <c r="AH526" s="111">
        <v>0</v>
      </c>
      <c r="AI526" s="112">
        <v>0</v>
      </c>
      <c r="AJ526" s="111">
        <v>0</v>
      </c>
      <c r="AK526" s="112">
        <v>0</v>
      </c>
      <c r="AL526" s="111">
        <v>0</v>
      </c>
      <c r="AM526" s="112">
        <v>0</v>
      </c>
      <c r="AN526" s="111">
        <v>21</v>
      </c>
      <c r="AO526" s="112">
        <v>100</v>
      </c>
      <c r="AP526" s="111">
        <v>21</v>
      </c>
    </row>
    <row r="527" spans="1:42" ht="15">
      <c r="A527" s="65" t="s">
        <v>631</v>
      </c>
      <c r="B527" s="65" t="s">
        <v>631</v>
      </c>
      <c r="C527" s="66" t="s">
        <v>4651</v>
      </c>
      <c r="D527" s="67">
        <v>3</v>
      </c>
      <c r="E527" s="68"/>
      <c r="F527" s="69">
        <v>40</v>
      </c>
      <c r="G527" s="66"/>
      <c r="H527" s="70"/>
      <c r="I527" s="71"/>
      <c r="J527" s="71"/>
      <c r="K527" s="35" t="s">
        <v>65</v>
      </c>
      <c r="L527" s="79">
        <v>527</v>
      </c>
      <c r="M527" s="79"/>
      <c r="N527" s="73"/>
      <c r="O527" s="81" t="s">
        <v>845</v>
      </c>
      <c r="P527" s="81" t="s">
        <v>847</v>
      </c>
      <c r="Q527" s="84" t="s">
        <v>1351</v>
      </c>
      <c r="R527" s="81" t="s">
        <v>631</v>
      </c>
      <c r="S527" s="81" t="s">
        <v>1990</v>
      </c>
      <c r="T527" s="86" t="str">
        <f>HYPERLINK("http://www.youtube.com/channel/UCnwjwXdjfM_YgmDFTr0NChg")</f>
        <v>http://www.youtube.com/channel/UCnwjwXdjfM_YgmDFTr0NChg</v>
      </c>
      <c r="U527" s="81" t="s">
        <v>2270</v>
      </c>
      <c r="V527" s="81" t="s">
        <v>2329</v>
      </c>
      <c r="W527" s="86" t="str">
        <f>HYPERLINK("https://www.youtube.com/watch?v=QYWNXp36O48")</f>
        <v>https://www.youtube.com/watch?v=QYWNXp36O48</v>
      </c>
      <c r="X527" s="81" t="s">
        <v>2349</v>
      </c>
      <c r="Y527" s="81">
        <v>1</v>
      </c>
      <c r="Z527" s="88">
        <v>43569.53556712963</v>
      </c>
      <c r="AA527" s="88">
        <v>43569.53556712963</v>
      </c>
      <c r="AB527" s="81"/>
      <c r="AC527" s="81"/>
      <c r="AD527" s="84" t="s">
        <v>2390</v>
      </c>
      <c r="AE527" s="82">
        <v>1</v>
      </c>
      <c r="AF527" s="83" t="str">
        <f>REPLACE(INDEX(GroupVertices[Group],MATCH(Edges[[#This Row],[Vertex 1]],GroupVertices[Vertex],0)),1,1,"")</f>
        <v>1</v>
      </c>
      <c r="AG527" s="83" t="str">
        <f>REPLACE(INDEX(GroupVertices[Group],MATCH(Edges[[#This Row],[Vertex 2]],GroupVertices[Vertex],0)),1,1,"")</f>
        <v>1</v>
      </c>
      <c r="AH527" s="111">
        <v>0</v>
      </c>
      <c r="AI527" s="112">
        <v>0</v>
      </c>
      <c r="AJ527" s="111">
        <v>0</v>
      </c>
      <c r="AK527" s="112">
        <v>0</v>
      </c>
      <c r="AL527" s="111">
        <v>0</v>
      </c>
      <c r="AM527" s="112">
        <v>0</v>
      </c>
      <c r="AN527" s="111">
        <v>27</v>
      </c>
      <c r="AO527" s="112">
        <v>100</v>
      </c>
      <c r="AP527" s="111">
        <v>27</v>
      </c>
    </row>
    <row r="528" spans="1:42" ht="15">
      <c r="A528" s="65" t="s">
        <v>631</v>
      </c>
      <c r="B528" s="65" t="s">
        <v>553</v>
      </c>
      <c r="C528" s="66" t="s">
        <v>4651</v>
      </c>
      <c r="D528" s="67">
        <v>3</v>
      </c>
      <c r="E528" s="68"/>
      <c r="F528" s="69">
        <v>40</v>
      </c>
      <c r="G528" s="66"/>
      <c r="H528" s="70"/>
      <c r="I528" s="71"/>
      <c r="J528" s="71"/>
      <c r="K528" s="35" t="s">
        <v>66</v>
      </c>
      <c r="L528" s="79">
        <v>528</v>
      </c>
      <c r="M528" s="79"/>
      <c r="N528" s="73"/>
      <c r="O528" s="81" t="s">
        <v>844</v>
      </c>
      <c r="P528" s="81" t="s">
        <v>199</v>
      </c>
      <c r="Q528" s="84" t="s">
        <v>1352</v>
      </c>
      <c r="R528" s="81" t="s">
        <v>631</v>
      </c>
      <c r="S528" s="81" t="s">
        <v>1990</v>
      </c>
      <c r="T528" s="86" t="str">
        <f>HYPERLINK("http://www.youtube.com/channel/UCnwjwXdjfM_YgmDFTr0NChg")</f>
        <v>http://www.youtube.com/channel/UCnwjwXdjfM_YgmDFTr0NChg</v>
      </c>
      <c r="U528" s="81"/>
      <c r="V528" s="81" t="s">
        <v>2329</v>
      </c>
      <c r="W528" s="86" t="str">
        <f>HYPERLINK("https://www.youtube.com/watch?v=QYWNXp36O48")</f>
        <v>https://www.youtube.com/watch?v=QYWNXp36O48</v>
      </c>
      <c r="X528" s="81" t="s">
        <v>2349</v>
      </c>
      <c r="Y528" s="81">
        <v>1</v>
      </c>
      <c r="Z528" s="88">
        <v>43569.01284722222</v>
      </c>
      <c r="AA528" s="88">
        <v>43569.01284722222</v>
      </c>
      <c r="AB528" s="81"/>
      <c r="AC528" s="81"/>
      <c r="AD528" s="84" t="s">
        <v>2390</v>
      </c>
      <c r="AE528" s="82">
        <v>1</v>
      </c>
      <c r="AF528" s="83" t="str">
        <f>REPLACE(INDEX(GroupVertices[Group],MATCH(Edges[[#This Row],[Vertex 1]],GroupVertices[Vertex],0)),1,1,"")</f>
        <v>1</v>
      </c>
      <c r="AG528" s="83" t="str">
        <f>REPLACE(INDEX(GroupVertices[Group],MATCH(Edges[[#This Row],[Vertex 2]],GroupVertices[Vertex],0)),1,1,"")</f>
        <v>1</v>
      </c>
      <c r="AH528" s="111">
        <v>1</v>
      </c>
      <c r="AI528" s="112">
        <v>1.9230769230769231</v>
      </c>
      <c r="AJ528" s="111">
        <v>1</v>
      </c>
      <c r="AK528" s="112">
        <v>1.9230769230769231</v>
      </c>
      <c r="AL528" s="111">
        <v>0</v>
      </c>
      <c r="AM528" s="112">
        <v>0</v>
      </c>
      <c r="AN528" s="111">
        <v>50</v>
      </c>
      <c r="AO528" s="112">
        <v>96.15384615384616</v>
      </c>
      <c r="AP528" s="111">
        <v>52</v>
      </c>
    </row>
    <row r="529" spans="1:42" ht="15">
      <c r="A529" s="65" t="s">
        <v>615</v>
      </c>
      <c r="B529" s="65" t="s">
        <v>632</v>
      </c>
      <c r="C529" s="66" t="s">
        <v>4651</v>
      </c>
      <c r="D529" s="67">
        <v>3</v>
      </c>
      <c r="E529" s="68"/>
      <c r="F529" s="69">
        <v>40</v>
      </c>
      <c r="G529" s="66"/>
      <c r="H529" s="70"/>
      <c r="I529" s="71"/>
      <c r="J529" s="71"/>
      <c r="K529" s="35" t="s">
        <v>65</v>
      </c>
      <c r="L529" s="79">
        <v>529</v>
      </c>
      <c r="M529" s="79"/>
      <c r="N529" s="73"/>
      <c r="O529" s="81" t="s">
        <v>845</v>
      </c>
      <c r="P529" s="81" t="s">
        <v>847</v>
      </c>
      <c r="Q529" s="84" t="s">
        <v>1353</v>
      </c>
      <c r="R529" s="81" t="s">
        <v>615</v>
      </c>
      <c r="S529" s="81" t="s">
        <v>1974</v>
      </c>
      <c r="T529" s="86" t="str">
        <f>HYPERLINK("http://www.youtube.com/channel/UCpdGXkszzXE5LAkaICL6FVQ")</f>
        <v>http://www.youtube.com/channel/UCpdGXkszzXE5LAkaICL6FVQ</v>
      </c>
      <c r="U529" s="81" t="s">
        <v>2271</v>
      </c>
      <c r="V529" s="81" t="s">
        <v>2329</v>
      </c>
      <c r="W529" s="86" t="str">
        <f>HYPERLINK("https://www.youtube.com/watch?v=QYWNXp36O48")</f>
        <v>https://www.youtube.com/watch?v=QYWNXp36O48</v>
      </c>
      <c r="X529" s="81" t="s">
        <v>2349</v>
      </c>
      <c r="Y529" s="81">
        <v>0</v>
      </c>
      <c r="Z529" s="88">
        <v>43593.870405092595</v>
      </c>
      <c r="AA529" s="88">
        <v>43593.870405092595</v>
      </c>
      <c r="AB529" s="81"/>
      <c r="AC529" s="81"/>
      <c r="AD529" s="84" t="s">
        <v>2390</v>
      </c>
      <c r="AE529" s="82">
        <v>1</v>
      </c>
      <c r="AF529" s="83" t="str">
        <f>REPLACE(INDEX(GroupVertices[Group],MATCH(Edges[[#This Row],[Vertex 1]],GroupVertices[Vertex],0)),1,1,"")</f>
        <v>1</v>
      </c>
      <c r="AG529" s="83" t="str">
        <f>REPLACE(INDEX(GroupVertices[Group],MATCH(Edges[[#This Row],[Vertex 2]],GroupVertices[Vertex],0)),1,1,"")</f>
        <v>1</v>
      </c>
      <c r="AH529" s="111">
        <v>4</v>
      </c>
      <c r="AI529" s="112">
        <v>13.793103448275861</v>
      </c>
      <c r="AJ529" s="111">
        <v>0</v>
      </c>
      <c r="AK529" s="112">
        <v>0</v>
      </c>
      <c r="AL529" s="111">
        <v>0</v>
      </c>
      <c r="AM529" s="112">
        <v>0</v>
      </c>
      <c r="AN529" s="111">
        <v>25</v>
      </c>
      <c r="AO529" s="112">
        <v>86.20689655172414</v>
      </c>
      <c r="AP529" s="111">
        <v>29</v>
      </c>
    </row>
    <row r="530" spans="1:42" ht="15">
      <c r="A530" s="65" t="s">
        <v>553</v>
      </c>
      <c r="B530" s="65" t="s">
        <v>632</v>
      </c>
      <c r="C530" s="66" t="s">
        <v>4651</v>
      </c>
      <c r="D530" s="67">
        <v>3</v>
      </c>
      <c r="E530" s="68"/>
      <c r="F530" s="69">
        <v>40</v>
      </c>
      <c r="G530" s="66"/>
      <c r="H530" s="70"/>
      <c r="I530" s="71"/>
      <c r="J530" s="71"/>
      <c r="K530" s="35" t="s">
        <v>66</v>
      </c>
      <c r="L530" s="79">
        <v>530</v>
      </c>
      <c r="M530" s="79"/>
      <c r="N530" s="73"/>
      <c r="O530" s="81" t="s">
        <v>845</v>
      </c>
      <c r="P530" s="81" t="s">
        <v>847</v>
      </c>
      <c r="Q530" s="84" t="s">
        <v>1354</v>
      </c>
      <c r="R530" s="81" t="s">
        <v>553</v>
      </c>
      <c r="S530" s="81" t="s">
        <v>1912</v>
      </c>
      <c r="T530" s="86" t="str">
        <f>HYPERLINK("http://www.youtube.com/channel/UCqbOeHaAUXw9Il7sBVG3_bw")</f>
        <v>http://www.youtube.com/channel/UCqbOeHaAUXw9Il7sBVG3_bw</v>
      </c>
      <c r="U530" s="81" t="s">
        <v>2271</v>
      </c>
      <c r="V530" s="81" t="s">
        <v>2329</v>
      </c>
      <c r="W530" s="86" t="str">
        <f>HYPERLINK("https://www.youtube.com/watch?v=QYWNXp36O48")</f>
        <v>https://www.youtube.com/watch?v=QYWNXp36O48</v>
      </c>
      <c r="X530" s="81" t="s">
        <v>2349</v>
      </c>
      <c r="Y530" s="81">
        <v>0</v>
      </c>
      <c r="Z530" s="88">
        <v>43569.740902777776</v>
      </c>
      <c r="AA530" s="88">
        <v>43569.740902777776</v>
      </c>
      <c r="AB530" s="81"/>
      <c r="AC530" s="81"/>
      <c r="AD530" s="84" t="s">
        <v>2390</v>
      </c>
      <c r="AE530" s="82">
        <v>1</v>
      </c>
      <c r="AF530" s="83" t="str">
        <f>REPLACE(INDEX(GroupVertices[Group],MATCH(Edges[[#This Row],[Vertex 1]],GroupVertices[Vertex],0)),1,1,"")</f>
        <v>1</v>
      </c>
      <c r="AG530" s="83" t="str">
        <f>REPLACE(INDEX(GroupVertices[Group],MATCH(Edges[[#This Row],[Vertex 2]],GroupVertices[Vertex],0)),1,1,"")</f>
        <v>1</v>
      </c>
      <c r="AH530" s="111">
        <v>1</v>
      </c>
      <c r="AI530" s="112">
        <v>3.4482758620689653</v>
      </c>
      <c r="AJ530" s="111">
        <v>0</v>
      </c>
      <c r="AK530" s="112">
        <v>0</v>
      </c>
      <c r="AL530" s="111">
        <v>0</v>
      </c>
      <c r="AM530" s="112">
        <v>0</v>
      </c>
      <c r="AN530" s="111">
        <v>28</v>
      </c>
      <c r="AO530" s="112">
        <v>96.55172413793103</v>
      </c>
      <c r="AP530" s="111">
        <v>29</v>
      </c>
    </row>
    <row r="531" spans="1:42" ht="15">
      <c r="A531" s="65" t="s">
        <v>632</v>
      </c>
      <c r="B531" s="65" t="s">
        <v>632</v>
      </c>
      <c r="C531" s="66" t="s">
        <v>4613</v>
      </c>
      <c r="D531" s="67">
        <v>10</v>
      </c>
      <c r="E531" s="68"/>
      <c r="F531" s="69">
        <v>15</v>
      </c>
      <c r="G531" s="66"/>
      <c r="H531" s="70"/>
      <c r="I531" s="71"/>
      <c r="J531" s="71"/>
      <c r="K531" s="35" t="s">
        <v>65</v>
      </c>
      <c r="L531" s="79">
        <v>531</v>
      </c>
      <c r="M531" s="79"/>
      <c r="N531" s="73"/>
      <c r="O531" s="81" t="s">
        <v>845</v>
      </c>
      <c r="P531" s="81" t="s">
        <v>847</v>
      </c>
      <c r="Q531" s="84" t="s">
        <v>1355</v>
      </c>
      <c r="R531" s="81" t="s">
        <v>632</v>
      </c>
      <c r="S531" s="81" t="s">
        <v>1991</v>
      </c>
      <c r="T531" s="86" t="str">
        <f>HYPERLINK("http://www.youtube.com/channel/UCgC4gwzrL6yC0QKTzYqgdTQ")</f>
        <v>http://www.youtube.com/channel/UCgC4gwzrL6yC0QKTzYqgdTQ</v>
      </c>
      <c r="U531" s="81" t="s">
        <v>2271</v>
      </c>
      <c r="V531" s="81" t="s">
        <v>2329</v>
      </c>
      <c r="W531" s="86" t="str">
        <f>HYPERLINK("https://www.youtube.com/watch?v=QYWNXp36O48")</f>
        <v>https://www.youtube.com/watch?v=QYWNXp36O48</v>
      </c>
      <c r="X531" s="81" t="s">
        <v>2349</v>
      </c>
      <c r="Y531" s="81">
        <v>2</v>
      </c>
      <c r="Z531" s="88">
        <v>43571.66515046296</v>
      </c>
      <c r="AA531" s="88">
        <v>43571.66515046296</v>
      </c>
      <c r="AB531" s="81"/>
      <c r="AC531" s="81"/>
      <c r="AD531" s="84" t="s">
        <v>2390</v>
      </c>
      <c r="AE531" s="82">
        <v>2</v>
      </c>
      <c r="AF531" s="83" t="str">
        <f>REPLACE(INDEX(GroupVertices[Group],MATCH(Edges[[#This Row],[Vertex 1]],GroupVertices[Vertex],0)),1,1,"")</f>
        <v>1</v>
      </c>
      <c r="AG531" s="83" t="str">
        <f>REPLACE(INDEX(GroupVertices[Group],MATCH(Edges[[#This Row],[Vertex 2]],GroupVertices[Vertex],0)),1,1,"")</f>
        <v>1</v>
      </c>
      <c r="AH531" s="111">
        <v>0</v>
      </c>
      <c r="AI531" s="112">
        <v>0</v>
      </c>
      <c r="AJ531" s="111">
        <v>0</v>
      </c>
      <c r="AK531" s="112">
        <v>0</v>
      </c>
      <c r="AL531" s="111">
        <v>0</v>
      </c>
      <c r="AM531" s="112">
        <v>0</v>
      </c>
      <c r="AN531" s="111">
        <v>24</v>
      </c>
      <c r="AO531" s="112">
        <v>100</v>
      </c>
      <c r="AP531" s="111">
        <v>24</v>
      </c>
    </row>
    <row r="532" spans="1:42" ht="15">
      <c r="A532" s="65" t="s">
        <v>632</v>
      </c>
      <c r="B532" s="65" t="s">
        <v>632</v>
      </c>
      <c r="C532" s="66" t="s">
        <v>4613</v>
      </c>
      <c r="D532" s="67">
        <v>10</v>
      </c>
      <c r="E532" s="68"/>
      <c r="F532" s="69">
        <v>15</v>
      </c>
      <c r="G532" s="66"/>
      <c r="H532" s="70"/>
      <c r="I532" s="71"/>
      <c r="J532" s="71"/>
      <c r="K532" s="35" t="s">
        <v>65</v>
      </c>
      <c r="L532" s="79">
        <v>532</v>
      </c>
      <c r="M532" s="79"/>
      <c r="N532" s="73"/>
      <c r="O532" s="81" t="s">
        <v>845</v>
      </c>
      <c r="P532" s="81" t="s">
        <v>847</v>
      </c>
      <c r="Q532" s="84" t="s">
        <v>1356</v>
      </c>
      <c r="R532" s="81" t="s">
        <v>632</v>
      </c>
      <c r="S532" s="81" t="s">
        <v>1991</v>
      </c>
      <c r="T532" s="86" t="str">
        <f>HYPERLINK("http://www.youtube.com/channel/UCgC4gwzrL6yC0QKTzYqgdTQ")</f>
        <v>http://www.youtube.com/channel/UCgC4gwzrL6yC0QKTzYqgdTQ</v>
      </c>
      <c r="U532" s="81" t="s">
        <v>2271</v>
      </c>
      <c r="V532" s="81" t="s">
        <v>2329</v>
      </c>
      <c r="W532" s="86" t="str">
        <f>HYPERLINK("https://www.youtube.com/watch?v=QYWNXp36O48")</f>
        <v>https://www.youtube.com/watch?v=QYWNXp36O48</v>
      </c>
      <c r="X532" s="81" t="s">
        <v>2349</v>
      </c>
      <c r="Y532" s="81">
        <v>0</v>
      </c>
      <c r="Z532" s="88">
        <v>43573.65385416667</v>
      </c>
      <c r="AA532" s="88">
        <v>43573.65385416667</v>
      </c>
      <c r="AB532" s="81"/>
      <c r="AC532" s="81"/>
      <c r="AD532" s="84" t="s">
        <v>2390</v>
      </c>
      <c r="AE532" s="82">
        <v>2</v>
      </c>
      <c r="AF532" s="83" t="str">
        <f>REPLACE(INDEX(GroupVertices[Group],MATCH(Edges[[#This Row],[Vertex 1]],GroupVertices[Vertex],0)),1,1,"")</f>
        <v>1</v>
      </c>
      <c r="AG532" s="83" t="str">
        <f>REPLACE(INDEX(GroupVertices[Group],MATCH(Edges[[#This Row],[Vertex 2]],GroupVertices[Vertex],0)),1,1,"")</f>
        <v>1</v>
      </c>
      <c r="AH532" s="111">
        <v>0</v>
      </c>
      <c r="AI532" s="112">
        <v>0</v>
      </c>
      <c r="AJ532" s="111">
        <v>0</v>
      </c>
      <c r="AK532" s="112">
        <v>0</v>
      </c>
      <c r="AL532" s="111">
        <v>0</v>
      </c>
      <c r="AM532" s="112">
        <v>0</v>
      </c>
      <c r="AN532" s="111">
        <v>23</v>
      </c>
      <c r="AO532" s="112">
        <v>100</v>
      </c>
      <c r="AP532" s="111">
        <v>23</v>
      </c>
    </row>
    <row r="533" spans="1:42" ht="15">
      <c r="A533" s="65" t="s">
        <v>632</v>
      </c>
      <c r="B533" s="65" t="s">
        <v>553</v>
      </c>
      <c r="C533" s="66" t="s">
        <v>4651</v>
      </c>
      <c r="D533" s="67">
        <v>3</v>
      </c>
      <c r="E533" s="68"/>
      <c r="F533" s="69">
        <v>40</v>
      </c>
      <c r="G533" s="66"/>
      <c r="H533" s="70"/>
      <c r="I533" s="71"/>
      <c r="J533" s="71"/>
      <c r="K533" s="35" t="s">
        <v>66</v>
      </c>
      <c r="L533" s="79">
        <v>533</v>
      </c>
      <c r="M533" s="79"/>
      <c r="N533" s="73"/>
      <c r="O533" s="81" t="s">
        <v>844</v>
      </c>
      <c r="P533" s="81" t="s">
        <v>199</v>
      </c>
      <c r="Q533" s="84" t="s">
        <v>1357</v>
      </c>
      <c r="R533" s="81" t="s">
        <v>632</v>
      </c>
      <c r="S533" s="81" t="s">
        <v>1991</v>
      </c>
      <c r="T533" s="86" t="str">
        <f>HYPERLINK("http://www.youtube.com/channel/UCgC4gwzrL6yC0QKTzYqgdTQ")</f>
        <v>http://www.youtube.com/channel/UCgC4gwzrL6yC0QKTzYqgdTQ</v>
      </c>
      <c r="U533" s="81"/>
      <c r="V533" s="81" t="s">
        <v>2329</v>
      </c>
      <c r="W533" s="86" t="str">
        <f>HYPERLINK("https://www.youtube.com/watch?v=QYWNXp36O48")</f>
        <v>https://www.youtube.com/watch?v=QYWNXp36O48</v>
      </c>
      <c r="X533" s="81" t="s">
        <v>2349</v>
      </c>
      <c r="Y533" s="81">
        <v>3</v>
      </c>
      <c r="Z533" s="88">
        <v>43569.57586805556</v>
      </c>
      <c r="AA533" s="88">
        <v>43569.57586805556</v>
      </c>
      <c r="AB533" s="81"/>
      <c r="AC533" s="81"/>
      <c r="AD533" s="84" t="s">
        <v>2390</v>
      </c>
      <c r="AE533" s="82">
        <v>1</v>
      </c>
      <c r="AF533" s="83" t="str">
        <f>REPLACE(INDEX(GroupVertices[Group],MATCH(Edges[[#This Row],[Vertex 1]],GroupVertices[Vertex],0)),1,1,"")</f>
        <v>1</v>
      </c>
      <c r="AG533" s="83" t="str">
        <f>REPLACE(INDEX(GroupVertices[Group],MATCH(Edges[[#This Row],[Vertex 2]],GroupVertices[Vertex],0)),1,1,"")</f>
        <v>1</v>
      </c>
      <c r="AH533" s="111">
        <v>0</v>
      </c>
      <c r="AI533" s="112">
        <v>0</v>
      </c>
      <c r="AJ533" s="111">
        <v>0</v>
      </c>
      <c r="AK533" s="112">
        <v>0</v>
      </c>
      <c r="AL533" s="111">
        <v>0</v>
      </c>
      <c r="AM533" s="112">
        <v>0</v>
      </c>
      <c r="AN533" s="111">
        <v>18</v>
      </c>
      <c r="AO533" s="112">
        <v>100</v>
      </c>
      <c r="AP533" s="111">
        <v>18</v>
      </c>
    </row>
    <row r="534" spans="1:42" ht="15">
      <c r="A534" s="65" t="s">
        <v>633</v>
      </c>
      <c r="B534" s="65" t="s">
        <v>553</v>
      </c>
      <c r="C534" s="66" t="s">
        <v>4651</v>
      </c>
      <c r="D534" s="67">
        <v>3</v>
      </c>
      <c r="E534" s="68"/>
      <c r="F534" s="69">
        <v>40</v>
      </c>
      <c r="G534" s="66"/>
      <c r="H534" s="70"/>
      <c r="I534" s="71"/>
      <c r="J534" s="71"/>
      <c r="K534" s="35" t="s">
        <v>65</v>
      </c>
      <c r="L534" s="79">
        <v>534</v>
      </c>
      <c r="M534" s="79"/>
      <c r="N534" s="73"/>
      <c r="O534" s="81" t="s">
        <v>844</v>
      </c>
      <c r="P534" s="81" t="s">
        <v>199</v>
      </c>
      <c r="Q534" s="84" t="s">
        <v>1348</v>
      </c>
      <c r="R534" s="81" t="s">
        <v>633</v>
      </c>
      <c r="S534" s="81" t="s">
        <v>1992</v>
      </c>
      <c r="T534" s="86" t="str">
        <f>HYPERLINK("http://www.youtube.com/channel/UC21eh8XGrSD2-WounNAwuCw")</f>
        <v>http://www.youtube.com/channel/UC21eh8XGrSD2-WounNAwuCw</v>
      </c>
      <c r="U534" s="81"/>
      <c r="V534" s="81" t="s">
        <v>2329</v>
      </c>
      <c r="W534" s="86" t="str">
        <f>HYPERLINK("https://www.youtube.com/watch?v=QYWNXp36O48")</f>
        <v>https://www.youtube.com/watch?v=QYWNXp36O48</v>
      </c>
      <c r="X534" s="81" t="s">
        <v>2349</v>
      </c>
      <c r="Y534" s="81">
        <v>1</v>
      </c>
      <c r="Z534" s="88">
        <v>43577.149351851855</v>
      </c>
      <c r="AA534" s="88">
        <v>43577.149351851855</v>
      </c>
      <c r="AB534" s="81"/>
      <c r="AC534" s="81"/>
      <c r="AD534" s="84" t="s">
        <v>2390</v>
      </c>
      <c r="AE534" s="82">
        <v>1</v>
      </c>
      <c r="AF534" s="83" t="str">
        <f>REPLACE(INDEX(GroupVertices[Group],MATCH(Edges[[#This Row],[Vertex 1]],GroupVertices[Vertex],0)),1,1,"")</f>
        <v>1</v>
      </c>
      <c r="AG534" s="83" t="str">
        <f>REPLACE(INDEX(GroupVertices[Group],MATCH(Edges[[#This Row],[Vertex 2]],GroupVertices[Vertex],0)),1,1,"")</f>
        <v>1</v>
      </c>
      <c r="AH534" s="111">
        <v>2</v>
      </c>
      <c r="AI534" s="112">
        <v>28.571428571428573</v>
      </c>
      <c r="AJ534" s="111">
        <v>0</v>
      </c>
      <c r="AK534" s="112">
        <v>0</v>
      </c>
      <c r="AL534" s="111">
        <v>0</v>
      </c>
      <c r="AM534" s="112">
        <v>0</v>
      </c>
      <c r="AN534" s="111">
        <v>5</v>
      </c>
      <c r="AO534" s="112">
        <v>71.42857142857143</v>
      </c>
      <c r="AP534" s="111">
        <v>7</v>
      </c>
    </row>
    <row r="535" spans="1:42" ht="15">
      <c r="A535" s="65" t="s">
        <v>634</v>
      </c>
      <c r="B535" s="65" t="s">
        <v>553</v>
      </c>
      <c r="C535" s="66" t="s">
        <v>4651</v>
      </c>
      <c r="D535" s="67">
        <v>3</v>
      </c>
      <c r="E535" s="68"/>
      <c r="F535" s="69">
        <v>40</v>
      </c>
      <c r="G535" s="66"/>
      <c r="H535" s="70"/>
      <c r="I535" s="71"/>
      <c r="J535" s="71"/>
      <c r="K535" s="35" t="s">
        <v>65</v>
      </c>
      <c r="L535" s="79">
        <v>535</v>
      </c>
      <c r="M535" s="79"/>
      <c r="N535" s="73"/>
      <c r="O535" s="81" t="s">
        <v>844</v>
      </c>
      <c r="P535" s="81" t="s">
        <v>199</v>
      </c>
      <c r="Q535" s="84" t="s">
        <v>1358</v>
      </c>
      <c r="R535" s="81" t="s">
        <v>634</v>
      </c>
      <c r="S535" s="81" t="s">
        <v>1993</v>
      </c>
      <c r="T535" s="86" t="str">
        <f>HYPERLINK("http://www.youtube.com/channel/UC1n4O9YInmQOhlVddAdXJDQ")</f>
        <v>http://www.youtube.com/channel/UC1n4O9YInmQOhlVddAdXJDQ</v>
      </c>
      <c r="U535" s="81"/>
      <c r="V535" s="81" t="s">
        <v>2329</v>
      </c>
      <c r="W535" s="86" t="str">
        <f>HYPERLINK("https://www.youtube.com/watch?v=QYWNXp36O48")</f>
        <v>https://www.youtube.com/watch?v=QYWNXp36O48</v>
      </c>
      <c r="X535" s="81" t="s">
        <v>2349</v>
      </c>
      <c r="Y535" s="81">
        <v>3</v>
      </c>
      <c r="Z535" s="88">
        <v>43593.96505787037</v>
      </c>
      <c r="AA535" s="88">
        <v>43593.96505787037</v>
      </c>
      <c r="AB535" s="81"/>
      <c r="AC535" s="81"/>
      <c r="AD535" s="84" t="s">
        <v>2390</v>
      </c>
      <c r="AE535" s="82">
        <v>1</v>
      </c>
      <c r="AF535" s="83" t="str">
        <f>REPLACE(INDEX(GroupVertices[Group],MATCH(Edges[[#This Row],[Vertex 1]],GroupVertices[Vertex],0)),1,1,"")</f>
        <v>1</v>
      </c>
      <c r="AG535" s="83" t="str">
        <f>REPLACE(INDEX(GroupVertices[Group],MATCH(Edges[[#This Row],[Vertex 2]],GroupVertices[Vertex],0)),1,1,"")</f>
        <v>1</v>
      </c>
      <c r="AH535" s="111">
        <v>0</v>
      </c>
      <c r="AI535" s="112">
        <v>0</v>
      </c>
      <c r="AJ535" s="111">
        <v>1</v>
      </c>
      <c r="AK535" s="112">
        <v>25</v>
      </c>
      <c r="AL535" s="111">
        <v>0</v>
      </c>
      <c r="AM535" s="112">
        <v>0</v>
      </c>
      <c r="AN535" s="111">
        <v>3</v>
      </c>
      <c r="AO535" s="112">
        <v>75</v>
      </c>
      <c r="AP535" s="111">
        <v>4</v>
      </c>
    </row>
    <row r="536" spans="1:42" ht="15">
      <c r="A536" s="65" t="s">
        <v>635</v>
      </c>
      <c r="B536" s="65" t="s">
        <v>636</v>
      </c>
      <c r="C536" s="66" t="s">
        <v>4651</v>
      </c>
      <c r="D536" s="67">
        <v>3</v>
      </c>
      <c r="E536" s="68"/>
      <c r="F536" s="69">
        <v>40</v>
      </c>
      <c r="G536" s="66"/>
      <c r="H536" s="70"/>
      <c r="I536" s="71"/>
      <c r="J536" s="71"/>
      <c r="K536" s="35" t="s">
        <v>65</v>
      </c>
      <c r="L536" s="79">
        <v>536</v>
      </c>
      <c r="M536" s="79"/>
      <c r="N536" s="73"/>
      <c r="O536" s="81" t="s">
        <v>845</v>
      </c>
      <c r="P536" s="81" t="s">
        <v>847</v>
      </c>
      <c r="Q536" s="84" t="s">
        <v>1359</v>
      </c>
      <c r="R536" s="81" t="s">
        <v>635</v>
      </c>
      <c r="S536" s="81" t="s">
        <v>1994</v>
      </c>
      <c r="T536" s="86" t="str">
        <f>HYPERLINK("http://www.youtube.com/channel/UCApCzBa-q9eEYCXJ8bJly4Q")</f>
        <v>http://www.youtube.com/channel/UCApCzBa-q9eEYCXJ8bJly4Q</v>
      </c>
      <c r="U536" s="81" t="s">
        <v>2272</v>
      </c>
      <c r="V536" s="81" t="s">
        <v>2329</v>
      </c>
      <c r="W536" s="86" t="str">
        <f>HYPERLINK("https://www.youtube.com/watch?v=QYWNXp36O48")</f>
        <v>https://www.youtube.com/watch?v=QYWNXp36O48</v>
      </c>
      <c r="X536" s="81" t="s">
        <v>2349</v>
      </c>
      <c r="Y536" s="81">
        <v>10</v>
      </c>
      <c r="Z536" s="88">
        <v>44245.75592592593</v>
      </c>
      <c r="AA536" s="88">
        <v>44245.75592592593</v>
      </c>
      <c r="AB536" s="81"/>
      <c r="AC536" s="81"/>
      <c r="AD536" s="84" t="s">
        <v>2390</v>
      </c>
      <c r="AE536" s="82">
        <v>1</v>
      </c>
      <c r="AF536" s="83" t="str">
        <f>REPLACE(INDEX(GroupVertices[Group],MATCH(Edges[[#This Row],[Vertex 1]],GroupVertices[Vertex],0)),1,1,"")</f>
        <v>1</v>
      </c>
      <c r="AG536" s="83" t="str">
        <f>REPLACE(INDEX(GroupVertices[Group],MATCH(Edges[[#This Row],[Vertex 2]],GroupVertices[Vertex],0)),1,1,"")</f>
        <v>1</v>
      </c>
      <c r="AH536" s="111">
        <v>1</v>
      </c>
      <c r="AI536" s="112">
        <v>16.666666666666668</v>
      </c>
      <c r="AJ536" s="111">
        <v>0</v>
      </c>
      <c r="AK536" s="112">
        <v>0</v>
      </c>
      <c r="AL536" s="111">
        <v>0</v>
      </c>
      <c r="AM536" s="112">
        <v>0</v>
      </c>
      <c r="AN536" s="111">
        <v>5</v>
      </c>
      <c r="AO536" s="112">
        <v>83.33333333333333</v>
      </c>
      <c r="AP536" s="111">
        <v>6</v>
      </c>
    </row>
    <row r="537" spans="1:42" ht="15">
      <c r="A537" s="65" t="s">
        <v>636</v>
      </c>
      <c r="B537" s="65" t="s">
        <v>553</v>
      </c>
      <c r="C537" s="66" t="s">
        <v>4651</v>
      </c>
      <c r="D537" s="67">
        <v>3</v>
      </c>
      <c r="E537" s="68"/>
      <c r="F537" s="69">
        <v>40</v>
      </c>
      <c r="G537" s="66"/>
      <c r="H537" s="70"/>
      <c r="I537" s="71"/>
      <c r="J537" s="71"/>
      <c r="K537" s="35" t="s">
        <v>65</v>
      </c>
      <c r="L537" s="79">
        <v>537</v>
      </c>
      <c r="M537" s="79"/>
      <c r="N537" s="73"/>
      <c r="O537" s="81" t="s">
        <v>844</v>
      </c>
      <c r="P537" s="81" t="s">
        <v>199</v>
      </c>
      <c r="Q537" s="84" t="s">
        <v>1360</v>
      </c>
      <c r="R537" s="81" t="s">
        <v>636</v>
      </c>
      <c r="S537" s="81" t="s">
        <v>1995</v>
      </c>
      <c r="T537" s="86" t="str">
        <f>HYPERLINK("http://www.youtube.com/channel/UCKoD9Yq28XTm0LetSmQp7DQ")</f>
        <v>http://www.youtube.com/channel/UCKoD9Yq28XTm0LetSmQp7DQ</v>
      </c>
      <c r="U537" s="81"/>
      <c r="V537" s="81" t="s">
        <v>2329</v>
      </c>
      <c r="W537" s="86" t="str">
        <f>HYPERLINK("https://www.youtube.com/watch?v=QYWNXp36O48")</f>
        <v>https://www.youtube.com/watch?v=QYWNXp36O48</v>
      </c>
      <c r="X537" s="81" t="s">
        <v>2349</v>
      </c>
      <c r="Y537" s="81">
        <v>193</v>
      </c>
      <c r="Z537" s="88">
        <v>43596.920219907406</v>
      </c>
      <c r="AA537" s="88">
        <v>43596.920219907406</v>
      </c>
      <c r="AB537" s="81"/>
      <c r="AC537" s="81"/>
      <c r="AD537" s="84" t="s">
        <v>2390</v>
      </c>
      <c r="AE537" s="82">
        <v>1</v>
      </c>
      <c r="AF537" s="83" t="str">
        <f>REPLACE(INDEX(GroupVertices[Group],MATCH(Edges[[#This Row],[Vertex 1]],GroupVertices[Vertex],0)),1,1,"")</f>
        <v>1</v>
      </c>
      <c r="AG537" s="83" t="str">
        <f>REPLACE(INDEX(GroupVertices[Group],MATCH(Edges[[#This Row],[Vertex 2]],GroupVertices[Vertex],0)),1,1,"")</f>
        <v>1</v>
      </c>
      <c r="AH537" s="111">
        <v>0</v>
      </c>
      <c r="AI537" s="112">
        <v>0</v>
      </c>
      <c r="AJ537" s="111">
        <v>1</v>
      </c>
      <c r="AK537" s="112">
        <v>20</v>
      </c>
      <c r="AL537" s="111">
        <v>0</v>
      </c>
      <c r="AM537" s="112">
        <v>0</v>
      </c>
      <c r="AN537" s="111">
        <v>4</v>
      </c>
      <c r="AO537" s="112">
        <v>80</v>
      </c>
      <c r="AP537" s="111">
        <v>5</v>
      </c>
    </row>
    <row r="538" spans="1:42" ht="15">
      <c r="A538" s="65" t="s">
        <v>637</v>
      </c>
      <c r="B538" s="65" t="s">
        <v>553</v>
      </c>
      <c r="C538" s="66" t="s">
        <v>4651</v>
      </c>
      <c r="D538" s="67">
        <v>3</v>
      </c>
      <c r="E538" s="68"/>
      <c r="F538" s="69">
        <v>40</v>
      </c>
      <c r="G538" s="66"/>
      <c r="H538" s="70"/>
      <c r="I538" s="71"/>
      <c r="J538" s="71"/>
      <c r="K538" s="35" t="s">
        <v>65</v>
      </c>
      <c r="L538" s="79">
        <v>538</v>
      </c>
      <c r="M538" s="79"/>
      <c r="N538" s="73"/>
      <c r="O538" s="81" t="s">
        <v>844</v>
      </c>
      <c r="P538" s="81" t="s">
        <v>199</v>
      </c>
      <c r="Q538" s="84" t="s">
        <v>1361</v>
      </c>
      <c r="R538" s="81" t="s">
        <v>637</v>
      </c>
      <c r="S538" s="81" t="s">
        <v>1996</v>
      </c>
      <c r="T538" s="86" t="str">
        <f>HYPERLINK("http://www.youtube.com/channel/UCzAQ3XpcrDTCTfpcUCGc2lg")</f>
        <v>http://www.youtube.com/channel/UCzAQ3XpcrDTCTfpcUCGc2lg</v>
      </c>
      <c r="U538" s="81"/>
      <c r="V538" s="81" t="s">
        <v>2329</v>
      </c>
      <c r="W538" s="86" t="str">
        <f>HYPERLINK("https://www.youtube.com/watch?v=QYWNXp36O48")</f>
        <v>https://www.youtube.com/watch?v=QYWNXp36O48</v>
      </c>
      <c r="X538" s="81" t="s">
        <v>2349</v>
      </c>
      <c r="Y538" s="81">
        <v>67</v>
      </c>
      <c r="Z538" s="88">
        <v>43598.60091435185</v>
      </c>
      <c r="AA538" s="88">
        <v>43598.60091435185</v>
      </c>
      <c r="AB538" s="81"/>
      <c r="AC538" s="81"/>
      <c r="AD538" s="84" t="s">
        <v>2390</v>
      </c>
      <c r="AE538" s="82">
        <v>1</v>
      </c>
      <c r="AF538" s="83" t="str">
        <f>REPLACE(INDEX(GroupVertices[Group],MATCH(Edges[[#This Row],[Vertex 1]],GroupVertices[Vertex],0)),1,1,"")</f>
        <v>1</v>
      </c>
      <c r="AG538" s="83" t="str">
        <f>REPLACE(INDEX(GroupVertices[Group],MATCH(Edges[[#This Row],[Vertex 2]],GroupVertices[Vertex],0)),1,1,"")</f>
        <v>1</v>
      </c>
      <c r="AH538" s="111">
        <v>2</v>
      </c>
      <c r="AI538" s="112">
        <v>50</v>
      </c>
      <c r="AJ538" s="111">
        <v>0</v>
      </c>
      <c r="AK538" s="112">
        <v>0</v>
      </c>
      <c r="AL538" s="111">
        <v>0</v>
      </c>
      <c r="AM538" s="112">
        <v>0</v>
      </c>
      <c r="AN538" s="111">
        <v>2</v>
      </c>
      <c r="AO538" s="112">
        <v>50</v>
      </c>
      <c r="AP538" s="111">
        <v>4</v>
      </c>
    </row>
    <row r="539" spans="1:42" ht="15">
      <c r="A539" s="65" t="s">
        <v>638</v>
      </c>
      <c r="B539" s="65" t="s">
        <v>641</v>
      </c>
      <c r="C539" s="66" t="s">
        <v>4651</v>
      </c>
      <c r="D539" s="67">
        <v>3</v>
      </c>
      <c r="E539" s="68"/>
      <c r="F539" s="69">
        <v>40</v>
      </c>
      <c r="G539" s="66"/>
      <c r="H539" s="70"/>
      <c r="I539" s="71"/>
      <c r="J539" s="71"/>
      <c r="K539" s="35" t="s">
        <v>65</v>
      </c>
      <c r="L539" s="79">
        <v>539</v>
      </c>
      <c r="M539" s="79"/>
      <c r="N539" s="73"/>
      <c r="O539" s="81" t="s">
        <v>845</v>
      </c>
      <c r="P539" s="81" t="s">
        <v>847</v>
      </c>
      <c r="Q539" s="84" t="s">
        <v>1362</v>
      </c>
      <c r="R539" s="81" t="s">
        <v>638</v>
      </c>
      <c r="S539" s="81" t="s">
        <v>1997</v>
      </c>
      <c r="T539" s="86" t="str">
        <f>HYPERLINK("http://www.youtube.com/channel/UC9sHHj-4pWZqH11x8rEVxUw")</f>
        <v>http://www.youtube.com/channel/UC9sHHj-4pWZqH11x8rEVxUw</v>
      </c>
      <c r="U539" s="81" t="s">
        <v>2273</v>
      </c>
      <c r="V539" s="81" t="s">
        <v>2329</v>
      </c>
      <c r="W539" s="86" t="str">
        <f>HYPERLINK("https://www.youtube.com/watch?v=QYWNXp36O48")</f>
        <v>https://www.youtube.com/watch?v=QYWNXp36O48</v>
      </c>
      <c r="X539" s="81" t="s">
        <v>2349</v>
      </c>
      <c r="Y539" s="81">
        <v>7</v>
      </c>
      <c r="Z539" s="88">
        <v>43601.33457175926</v>
      </c>
      <c r="AA539" s="88">
        <v>43601.33457175926</v>
      </c>
      <c r="AB539" s="81"/>
      <c r="AC539" s="81"/>
      <c r="AD539" s="84" t="s">
        <v>2390</v>
      </c>
      <c r="AE539" s="82">
        <v>1</v>
      </c>
      <c r="AF539" s="83" t="str">
        <f>REPLACE(INDEX(GroupVertices[Group],MATCH(Edges[[#This Row],[Vertex 1]],GroupVertices[Vertex],0)),1,1,"")</f>
        <v>18</v>
      </c>
      <c r="AG539" s="83" t="str">
        <f>REPLACE(INDEX(GroupVertices[Group],MATCH(Edges[[#This Row],[Vertex 2]],GroupVertices[Vertex],0)),1,1,"")</f>
        <v>18</v>
      </c>
      <c r="AH539" s="111">
        <v>0</v>
      </c>
      <c r="AI539" s="112">
        <v>0</v>
      </c>
      <c r="AJ539" s="111">
        <v>0</v>
      </c>
      <c r="AK539" s="112">
        <v>0</v>
      </c>
      <c r="AL539" s="111">
        <v>0</v>
      </c>
      <c r="AM539" s="112">
        <v>0</v>
      </c>
      <c r="AN539" s="111">
        <v>4</v>
      </c>
      <c r="AO539" s="112">
        <v>100</v>
      </c>
      <c r="AP539" s="111">
        <v>4</v>
      </c>
    </row>
    <row r="540" spans="1:42" ht="15">
      <c r="A540" s="65" t="s">
        <v>639</v>
      </c>
      <c r="B540" s="65" t="s">
        <v>641</v>
      </c>
      <c r="C540" s="66" t="s">
        <v>4651</v>
      </c>
      <c r="D540" s="67">
        <v>3</v>
      </c>
      <c r="E540" s="68"/>
      <c r="F540" s="69">
        <v>40</v>
      </c>
      <c r="G540" s="66"/>
      <c r="H540" s="70"/>
      <c r="I540" s="71"/>
      <c r="J540" s="71"/>
      <c r="K540" s="35" t="s">
        <v>65</v>
      </c>
      <c r="L540" s="79">
        <v>540</v>
      </c>
      <c r="M540" s="79"/>
      <c r="N540" s="73"/>
      <c r="O540" s="81" t="s">
        <v>845</v>
      </c>
      <c r="P540" s="81" t="s">
        <v>847</v>
      </c>
      <c r="Q540" s="84" t="s">
        <v>1363</v>
      </c>
      <c r="R540" s="81" t="s">
        <v>639</v>
      </c>
      <c r="S540" s="81" t="s">
        <v>1998</v>
      </c>
      <c r="T540" s="86" t="str">
        <f>HYPERLINK("http://www.youtube.com/channel/UCp9NDK19lWNs_VDxclnH6Bg")</f>
        <v>http://www.youtube.com/channel/UCp9NDK19lWNs_VDxclnH6Bg</v>
      </c>
      <c r="U540" s="81" t="s">
        <v>2273</v>
      </c>
      <c r="V540" s="81" t="s">
        <v>2329</v>
      </c>
      <c r="W540" s="86" t="str">
        <f>HYPERLINK("https://www.youtube.com/watch?v=QYWNXp36O48")</f>
        <v>https://www.youtube.com/watch?v=QYWNXp36O48</v>
      </c>
      <c r="X540" s="81" t="s">
        <v>2349</v>
      </c>
      <c r="Y540" s="81">
        <v>6</v>
      </c>
      <c r="Z540" s="88">
        <v>43838.74631944444</v>
      </c>
      <c r="AA540" s="88">
        <v>43838.74631944444</v>
      </c>
      <c r="AB540" s="81"/>
      <c r="AC540" s="81"/>
      <c r="AD540" s="84" t="s">
        <v>2390</v>
      </c>
      <c r="AE540" s="82">
        <v>1</v>
      </c>
      <c r="AF540" s="83" t="str">
        <f>REPLACE(INDEX(GroupVertices[Group],MATCH(Edges[[#This Row],[Vertex 1]],GroupVertices[Vertex],0)),1,1,"")</f>
        <v>18</v>
      </c>
      <c r="AG540" s="83" t="str">
        <f>REPLACE(INDEX(GroupVertices[Group],MATCH(Edges[[#This Row],[Vertex 2]],GroupVertices[Vertex],0)),1,1,"")</f>
        <v>18</v>
      </c>
      <c r="AH540" s="111">
        <v>0</v>
      </c>
      <c r="AI540" s="112">
        <v>0</v>
      </c>
      <c r="AJ540" s="111">
        <v>0</v>
      </c>
      <c r="AK540" s="112">
        <v>0</v>
      </c>
      <c r="AL540" s="111">
        <v>0</v>
      </c>
      <c r="AM540" s="112">
        <v>0</v>
      </c>
      <c r="AN540" s="111">
        <v>6</v>
      </c>
      <c r="AO540" s="112">
        <v>100</v>
      </c>
      <c r="AP540" s="111">
        <v>6</v>
      </c>
    </row>
    <row r="541" spans="1:42" ht="15">
      <c r="A541" s="65" t="s">
        <v>640</v>
      </c>
      <c r="B541" s="65" t="s">
        <v>641</v>
      </c>
      <c r="C541" s="66" t="s">
        <v>4651</v>
      </c>
      <c r="D541" s="67">
        <v>3</v>
      </c>
      <c r="E541" s="68"/>
      <c r="F541" s="69">
        <v>40</v>
      </c>
      <c r="G541" s="66"/>
      <c r="H541" s="70"/>
      <c r="I541" s="71"/>
      <c r="J541" s="71"/>
      <c r="K541" s="35" t="s">
        <v>65</v>
      </c>
      <c r="L541" s="79">
        <v>541</v>
      </c>
      <c r="M541" s="79"/>
      <c r="N541" s="73"/>
      <c r="O541" s="81" t="s">
        <v>845</v>
      </c>
      <c r="P541" s="81" t="s">
        <v>847</v>
      </c>
      <c r="Q541" s="84" t="s">
        <v>1364</v>
      </c>
      <c r="R541" s="81" t="s">
        <v>640</v>
      </c>
      <c r="S541" s="81" t="s">
        <v>1999</v>
      </c>
      <c r="T541" s="86" t="str">
        <f>HYPERLINK("http://www.youtube.com/channel/UCeaFuHORWFXIM18TEF7sZKA")</f>
        <v>http://www.youtube.com/channel/UCeaFuHORWFXIM18TEF7sZKA</v>
      </c>
      <c r="U541" s="81" t="s">
        <v>2273</v>
      </c>
      <c r="V541" s="81" t="s">
        <v>2329</v>
      </c>
      <c r="W541" s="86" t="str">
        <f>HYPERLINK("https://www.youtube.com/watch?v=QYWNXp36O48")</f>
        <v>https://www.youtube.com/watch?v=QYWNXp36O48</v>
      </c>
      <c r="X541" s="81" t="s">
        <v>2349</v>
      </c>
      <c r="Y541" s="81">
        <v>8</v>
      </c>
      <c r="Z541" s="88">
        <v>43983.687939814816</v>
      </c>
      <c r="AA541" s="88">
        <v>43983.687939814816</v>
      </c>
      <c r="AB541" s="81"/>
      <c r="AC541" s="81"/>
      <c r="AD541" s="84" t="s">
        <v>2390</v>
      </c>
      <c r="AE541" s="82">
        <v>1</v>
      </c>
      <c r="AF541" s="83" t="str">
        <f>REPLACE(INDEX(GroupVertices[Group],MATCH(Edges[[#This Row],[Vertex 1]],GroupVertices[Vertex],0)),1,1,"")</f>
        <v>18</v>
      </c>
      <c r="AG541" s="83" t="str">
        <f>REPLACE(INDEX(GroupVertices[Group],MATCH(Edges[[#This Row],[Vertex 2]],GroupVertices[Vertex],0)),1,1,"")</f>
        <v>18</v>
      </c>
      <c r="AH541" s="111">
        <v>1</v>
      </c>
      <c r="AI541" s="112">
        <v>25</v>
      </c>
      <c r="AJ541" s="111">
        <v>0</v>
      </c>
      <c r="AK541" s="112">
        <v>0</v>
      </c>
      <c r="AL541" s="111">
        <v>0</v>
      </c>
      <c r="AM541" s="112">
        <v>0</v>
      </c>
      <c r="AN541" s="111">
        <v>3</v>
      </c>
      <c r="AO541" s="112">
        <v>75</v>
      </c>
      <c r="AP541" s="111">
        <v>4</v>
      </c>
    </row>
    <row r="542" spans="1:42" ht="15">
      <c r="A542" s="65" t="s">
        <v>641</v>
      </c>
      <c r="B542" s="65" t="s">
        <v>553</v>
      </c>
      <c r="C542" s="66" t="s">
        <v>4651</v>
      </c>
      <c r="D542" s="67">
        <v>3</v>
      </c>
      <c r="E542" s="68"/>
      <c r="F542" s="69">
        <v>40</v>
      </c>
      <c r="G542" s="66"/>
      <c r="H542" s="70"/>
      <c r="I542" s="71"/>
      <c r="J542" s="71"/>
      <c r="K542" s="35" t="s">
        <v>65</v>
      </c>
      <c r="L542" s="79">
        <v>542</v>
      </c>
      <c r="M542" s="79"/>
      <c r="N542" s="73"/>
      <c r="O542" s="81" t="s">
        <v>844</v>
      </c>
      <c r="P542" s="81" t="s">
        <v>199</v>
      </c>
      <c r="Q542" s="84" t="s">
        <v>1365</v>
      </c>
      <c r="R542" s="81" t="s">
        <v>641</v>
      </c>
      <c r="S542" s="81" t="s">
        <v>2000</v>
      </c>
      <c r="T542" s="86" t="str">
        <f>HYPERLINK("http://www.youtube.com/channel/UCf84n15qrTY7cWJ-a4mgasQ")</f>
        <v>http://www.youtube.com/channel/UCf84n15qrTY7cWJ-a4mgasQ</v>
      </c>
      <c r="U542" s="81"/>
      <c r="V542" s="81" t="s">
        <v>2329</v>
      </c>
      <c r="W542" s="86" t="str">
        <f>HYPERLINK("https://www.youtube.com/watch?v=QYWNXp36O48")</f>
        <v>https://www.youtube.com/watch?v=QYWNXp36O48</v>
      </c>
      <c r="X542" s="81" t="s">
        <v>2349</v>
      </c>
      <c r="Y542" s="81">
        <v>251</v>
      </c>
      <c r="Z542" s="88">
        <v>43598.77721064815</v>
      </c>
      <c r="AA542" s="88">
        <v>43598.77721064815</v>
      </c>
      <c r="AB542" s="81"/>
      <c r="AC542" s="81"/>
      <c r="AD542" s="84" t="s">
        <v>2390</v>
      </c>
      <c r="AE542" s="82">
        <v>1</v>
      </c>
      <c r="AF542" s="83" t="str">
        <f>REPLACE(INDEX(GroupVertices[Group],MATCH(Edges[[#This Row],[Vertex 1]],GroupVertices[Vertex],0)),1,1,"")</f>
        <v>18</v>
      </c>
      <c r="AG542" s="83" t="str">
        <f>REPLACE(INDEX(GroupVertices[Group],MATCH(Edges[[#This Row],[Vertex 2]],GroupVertices[Vertex],0)),1,1,"")</f>
        <v>1</v>
      </c>
      <c r="AH542" s="111">
        <v>0</v>
      </c>
      <c r="AI542" s="112">
        <v>0</v>
      </c>
      <c r="AJ542" s="111">
        <v>0</v>
      </c>
      <c r="AK542" s="112">
        <v>0</v>
      </c>
      <c r="AL542" s="111">
        <v>0</v>
      </c>
      <c r="AM542" s="112">
        <v>0</v>
      </c>
      <c r="AN542" s="111">
        <v>5</v>
      </c>
      <c r="AO542" s="112">
        <v>100</v>
      </c>
      <c r="AP542" s="111">
        <v>5</v>
      </c>
    </row>
    <row r="543" spans="1:42" ht="15">
      <c r="A543" s="65" t="s">
        <v>642</v>
      </c>
      <c r="B543" s="65" t="s">
        <v>553</v>
      </c>
      <c r="C543" s="66" t="s">
        <v>4651</v>
      </c>
      <c r="D543" s="67">
        <v>3</v>
      </c>
      <c r="E543" s="68"/>
      <c r="F543" s="69">
        <v>40</v>
      </c>
      <c r="G543" s="66"/>
      <c r="H543" s="70"/>
      <c r="I543" s="71"/>
      <c r="J543" s="71"/>
      <c r="K543" s="35" t="s">
        <v>65</v>
      </c>
      <c r="L543" s="79">
        <v>543</v>
      </c>
      <c r="M543" s="79"/>
      <c r="N543" s="73"/>
      <c r="O543" s="81" t="s">
        <v>844</v>
      </c>
      <c r="P543" s="81" t="s">
        <v>199</v>
      </c>
      <c r="Q543" s="84" t="s">
        <v>1366</v>
      </c>
      <c r="R543" s="81" t="s">
        <v>642</v>
      </c>
      <c r="S543" s="81" t="s">
        <v>2001</v>
      </c>
      <c r="T543" s="86" t="str">
        <f>HYPERLINK("http://www.youtube.com/channel/UCWsgRwPyheJrA0I7r78zcJw")</f>
        <v>http://www.youtube.com/channel/UCWsgRwPyheJrA0I7r78zcJw</v>
      </c>
      <c r="U543" s="81"/>
      <c r="V543" s="81" t="s">
        <v>2329</v>
      </c>
      <c r="W543" s="86" t="str">
        <f>HYPERLINK("https://www.youtube.com/watch?v=QYWNXp36O48")</f>
        <v>https://www.youtube.com/watch?v=QYWNXp36O48</v>
      </c>
      <c r="X543" s="81" t="s">
        <v>2349</v>
      </c>
      <c r="Y543" s="81">
        <v>2</v>
      </c>
      <c r="Z543" s="88">
        <v>43598.81726851852</v>
      </c>
      <c r="AA543" s="88">
        <v>43598.81726851852</v>
      </c>
      <c r="AB543" s="81"/>
      <c r="AC543" s="81"/>
      <c r="AD543" s="84" t="s">
        <v>2390</v>
      </c>
      <c r="AE543" s="82">
        <v>1</v>
      </c>
      <c r="AF543" s="83" t="str">
        <f>REPLACE(INDEX(GroupVertices[Group],MATCH(Edges[[#This Row],[Vertex 1]],GroupVertices[Vertex],0)),1,1,"")</f>
        <v>1</v>
      </c>
      <c r="AG543" s="83" t="str">
        <f>REPLACE(INDEX(GroupVertices[Group],MATCH(Edges[[#This Row],[Vertex 2]],GroupVertices[Vertex],0)),1,1,"")</f>
        <v>1</v>
      </c>
      <c r="AH543" s="111">
        <v>0</v>
      </c>
      <c r="AI543" s="112">
        <v>0</v>
      </c>
      <c r="AJ543" s="111">
        <v>0</v>
      </c>
      <c r="AK543" s="112">
        <v>0</v>
      </c>
      <c r="AL543" s="111">
        <v>0</v>
      </c>
      <c r="AM543" s="112">
        <v>0</v>
      </c>
      <c r="AN543" s="111">
        <v>4</v>
      </c>
      <c r="AO543" s="112">
        <v>100</v>
      </c>
      <c r="AP543" s="111">
        <v>4</v>
      </c>
    </row>
    <row r="544" spans="1:42" ht="15">
      <c r="A544" s="65" t="s">
        <v>643</v>
      </c>
      <c r="B544" s="65" t="s">
        <v>645</v>
      </c>
      <c r="C544" s="66" t="s">
        <v>4651</v>
      </c>
      <c r="D544" s="67">
        <v>3</v>
      </c>
      <c r="E544" s="68"/>
      <c r="F544" s="69">
        <v>40</v>
      </c>
      <c r="G544" s="66"/>
      <c r="H544" s="70"/>
      <c r="I544" s="71"/>
      <c r="J544" s="71"/>
      <c r="K544" s="35" t="s">
        <v>65</v>
      </c>
      <c r="L544" s="79">
        <v>544</v>
      </c>
      <c r="M544" s="79"/>
      <c r="N544" s="73"/>
      <c r="O544" s="81" t="s">
        <v>845</v>
      </c>
      <c r="P544" s="81" t="s">
        <v>847</v>
      </c>
      <c r="Q544" s="84" t="s">
        <v>1362</v>
      </c>
      <c r="R544" s="81" t="s">
        <v>643</v>
      </c>
      <c r="S544" s="81" t="s">
        <v>2002</v>
      </c>
      <c r="T544" s="86" t="str">
        <f>HYPERLINK("http://www.youtube.com/channel/UCHD8xkFhaVaTqgpwoX7Luyg")</f>
        <v>http://www.youtube.com/channel/UCHD8xkFhaVaTqgpwoX7Luyg</v>
      </c>
      <c r="U544" s="81" t="s">
        <v>2274</v>
      </c>
      <c r="V544" s="81" t="s">
        <v>2329</v>
      </c>
      <c r="W544" s="86" t="str">
        <f>HYPERLINK("https://www.youtube.com/watch?v=QYWNXp36O48")</f>
        <v>https://www.youtube.com/watch?v=QYWNXp36O48</v>
      </c>
      <c r="X544" s="81" t="s">
        <v>2349</v>
      </c>
      <c r="Y544" s="81">
        <v>6</v>
      </c>
      <c r="Z544" s="88">
        <v>44112.73716435185</v>
      </c>
      <c r="AA544" s="88">
        <v>44112.73716435185</v>
      </c>
      <c r="AB544" s="81"/>
      <c r="AC544" s="81"/>
      <c r="AD544" s="84" t="s">
        <v>2390</v>
      </c>
      <c r="AE544" s="82">
        <v>1</v>
      </c>
      <c r="AF544" s="83" t="str">
        <f>REPLACE(INDEX(GroupVertices[Group],MATCH(Edges[[#This Row],[Vertex 1]],GroupVertices[Vertex],0)),1,1,"")</f>
        <v>1</v>
      </c>
      <c r="AG544" s="83" t="str">
        <f>REPLACE(INDEX(GroupVertices[Group],MATCH(Edges[[#This Row],[Vertex 2]],GroupVertices[Vertex],0)),1,1,"")</f>
        <v>1</v>
      </c>
      <c r="AH544" s="111">
        <v>0</v>
      </c>
      <c r="AI544" s="112">
        <v>0</v>
      </c>
      <c r="AJ544" s="111">
        <v>0</v>
      </c>
      <c r="AK544" s="112">
        <v>0</v>
      </c>
      <c r="AL544" s="111">
        <v>0</v>
      </c>
      <c r="AM544" s="112">
        <v>0</v>
      </c>
      <c r="AN544" s="111">
        <v>4</v>
      </c>
      <c r="AO544" s="112">
        <v>100</v>
      </c>
      <c r="AP544" s="111">
        <v>4</v>
      </c>
    </row>
    <row r="545" spans="1:42" ht="15">
      <c r="A545" s="65" t="s">
        <v>644</v>
      </c>
      <c r="B545" s="65" t="s">
        <v>645</v>
      </c>
      <c r="C545" s="66" t="s">
        <v>4651</v>
      </c>
      <c r="D545" s="67">
        <v>3</v>
      </c>
      <c r="E545" s="68"/>
      <c r="F545" s="69">
        <v>40</v>
      </c>
      <c r="G545" s="66"/>
      <c r="H545" s="70"/>
      <c r="I545" s="71"/>
      <c r="J545" s="71"/>
      <c r="K545" s="35" t="s">
        <v>65</v>
      </c>
      <c r="L545" s="79">
        <v>545</v>
      </c>
      <c r="M545" s="79"/>
      <c r="N545" s="73"/>
      <c r="O545" s="81" t="s">
        <v>845</v>
      </c>
      <c r="P545" s="81" t="s">
        <v>847</v>
      </c>
      <c r="Q545" s="84" t="s">
        <v>1367</v>
      </c>
      <c r="R545" s="81" t="s">
        <v>644</v>
      </c>
      <c r="S545" s="81" t="s">
        <v>2003</v>
      </c>
      <c r="T545" s="86" t="str">
        <f>HYPERLINK("http://www.youtube.com/channel/UCTXz4iyQyRwhY_dIYOXsqTQ")</f>
        <v>http://www.youtube.com/channel/UCTXz4iyQyRwhY_dIYOXsqTQ</v>
      </c>
      <c r="U545" s="81" t="s">
        <v>2274</v>
      </c>
      <c r="V545" s="81" t="s">
        <v>2329</v>
      </c>
      <c r="W545" s="86" t="str">
        <f>HYPERLINK("https://www.youtube.com/watch?v=QYWNXp36O48")</f>
        <v>https://www.youtube.com/watch?v=QYWNXp36O48</v>
      </c>
      <c r="X545" s="81" t="s">
        <v>2349</v>
      </c>
      <c r="Y545" s="81">
        <v>0</v>
      </c>
      <c r="Z545" s="88">
        <v>44158.842986111114</v>
      </c>
      <c r="AA545" s="88">
        <v>44158.842986111114</v>
      </c>
      <c r="AB545" s="81"/>
      <c r="AC545" s="81"/>
      <c r="AD545" s="84" t="s">
        <v>2390</v>
      </c>
      <c r="AE545" s="82">
        <v>1</v>
      </c>
      <c r="AF545" s="83" t="str">
        <f>REPLACE(INDEX(GroupVertices[Group],MATCH(Edges[[#This Row],[Vertex 1]],GroupVertices[Vertex],0)),1,1,"")</f>
        <v>1</v>
      </c>
      <c r="AG545" s="83" t="str">
        <f>REPLACE(INDEX(GroupVertices[Group],MATCH(Edges[[#This Row],[Vertex 2]],GroupVertices[Vertex],0)),1,1,"")</f>
        <v>1</v>
      </c>
      <c r="AH545" s="111">
        <v>2</v>
      </c>
      <c r="AI545" s="112">
        <v>33.333333333333336</v>
      </c>
      <c r="AJ545" s="111">
        <v>0</v>
      </c>
      <c r="AK545" s="112">
        <v>0</v>
      </c>
      <c r="AL545" s="111">
        <v>0</v>
      </c>
      <c r="AM545" s="112">
        <v>0</v>
      </c>
      <c r="AN545" s="111">
        <v>4</v>
      </c>
      <c r="AO545" s="112">
        <v>66.66666666666667</v>
      </c>
      <c r="AP545" s="111">
        <v>6</v>
      </c>
    </row>
    <row r="546" spans="1:42" ht="15">
      <c r="A546" s="65" t="s">
        <v>645</v>
      </c>
      <c r="B546" s="65" t="s">
        <v>553</v>
      </c>
      <c r="C546" s="66" t="s">
        <v>4651</v>
      </c>
      <c r="D546" s="67">
        <v>3</v>
      </c>
      <c r="E546" s="68"/>
      <c r="F546" s="69">
        <v>40</v>
      </c>
      <c r="G546" s="66"/>
      <c r="H546" s="70"/>
      <c r="I546" s="71"/>
      <c r="J546" s="71"/>
      <c r="K546" s="35" t="s">
        <v>65</v>
      </c>
      <c r="L546" s="79">
        <v>546</v>
      </c>
      <c r="M546" s="79"/>
      <c r="N546" s="73"/>
      <c r="O546" s="81" t="s">
        <v>844</v>
      </c>
      <c r="P546" s="81" t="s">
        <v>199</v>
      </c>
      <c r="Q546" s="84" t="s">
        <v>1368</v>
      </c>
      <c r="R546" s="81" t="s">
        <v>645</v>
      </c>
      <c r="S546" s="81" t="s">
        <v>2004</v>
      </c>
      <c r="T546" s="86" t="str">
        <f>HYPERLINK("http://www.youtube.com/channel/UCMKzekcw_tX5Ne1WY4btIaw")</f>
        <v>http://www.youtube.com/channel/UCMKzekcw_tX5Ne1WY4btIaw</v>
      </c>
      <c r="U546" s="81"/>
      <c r="V546" s="81" t="s">
        <v>2329</v>
      </c>
      <c r="W546" s="86" t="str">
        <f>HYPERLINK("https://www.youtube.com/watch?v=QYWNXp36O48")</f>
        <v>https://www.youtube.com/watch?v=QYWNXp36O48</v>
      </c>
      <c r="X546" s="81" t="s">
        <v>2349</v>
      </c>
      <c r="Y546" s="81">
        <v>183</v>
      </c>
      <c r="Z546" s="88">
        <v>43598.82733796296</v>
      </c>
      <c r="AA546" s="88">
        <v>43598.82733796296</v>
      </c>
      <c r="AB546" s="81"/>
      <c r="AC546" s="81"/>
      <c r="AD546" s="84" t="s">
        <v>2390</v>
      </c>
      <c r="AE546" s="82">
        <v>1</v>
      </c>
      <c r="AF546" s="83" t="str">
        <f>REPLACE(INDEX(GroupVertices[Group],MATCH(Edges[[#This Row],[Vertex 1]],GroupVertices[Vertex],0)),1,1,"")</f>
        <v>1</v>
      </c>
      <c r="AG546" s="83" t="str">
        <f>REPLACE(INDEX(GroupVertices[Group],MATCH(Edges[[#This Row],[Vertex 2]],GroupVertices[Vertex],0)),1,1,"")</f>
        <v>1</v>
      </c>
      <c r="AH546" s="111">
        <v>1</v>
      </c>
      <c r="AI546" s="112">
        <v>5.555555555555555</v>
      </c>
      <c r="AJ546" s="111">
        <v>0</v>
      </c>
      <c r="AK546" s="112">
        <v>0</v>
      </c>
      <c r="AL546" s="111">
        <v>0</v>
      </c>
      <c r="AM546" s="112">
        <v>0</v>
      </c>
      <c r="AN546" s="111">
        <v>17</v>
      </c>
      <c r="AO546" s="112">
        <v>94.44444444444444</v>
      </c>
      <c r="AP546" s="111">
        <v>18</v>
      </c>
    </row>
    <row r="547" spans="1:42" ht="15">
      <c r="A547" s="65" t="s">
        <v>646</v>
      </c>
      <c r="B547" s="65" t="s">
        <v>553</v>
      </c>
      <c r="C547" s="66" t="s">
        <v>4651</v>
      </c>
      <c r="D547" s="67">
        <v>3</v>
      </c>
      <c r="E547" s="68"/>
      <c r="F547" s="69">
        <v>40</v>
      </c>
      <c r="G547" s="66"/>
      <c r="H547" s="70"/>
      <c r="I547" s="71"/>
      <c r="J547" s="71"/>
      <c r="K547" s="35" t="s">
        <v>65</v>
      </c>
      <c r="L547" s="79">
        <v>547</v>
      </c>
      <c r="M547" s="79"/>
      <c r="N547" s="73"/>
      <c r="O547" s="81" t="s">
        <v>844</v>
      </c>
      <c r="P547" s="81" t="s">
        <v>199</v>
      </c>
      <c r="Q547" s="84" t="s">
        <v>1369</v>
      </c>
      <c r="R547" s="81" t="s">
        <v>646</v>
      </c>
      <c r="S547" s="81" t="s">
        <v>2005</v>
      </c>
      <c r="T547" s="86" t="str">
        <f>HYPERLINK("http://www.youtube.com/channel/UCIw-SUOHuMMyUvWcWmDBPVA")</f>
        <v>http://www.youtube.com/channel/UCIw-SUOHuMMyUvWcWmDBPVA</v>
      </c>
      <c r="U547" s="81"/>
      <c r="V547" s="81" t="s">
        <v>2329</v>
      </c>
      <c r="W547" s="86" t="str">
        <f>HYPERLINK("https://www.youtube.com/watch?v=QYWNXp36O48")</f>
        <v>https://www.youtube.com/watch?v=QYWNXp36O48</v>
      </c>
      <c r="X547" s="81" t="s">
        <v>2349</v>
      </c>
      <c r="Y547" s="81">
        <v>1</v>
      </c>
      <c r="Z547" s="88">
        <v>43598.84935185185</v>
      </c>
      <c r="AA547" s="88">
        <v>43598.84935185185</v>
      </c>
      <c r="AB547" s="81"/>
      <c r="AC547" s="81"/>
      <c r="AD547" s="84" t="s">
        <v>2390</v>
      </c>
      <c r="AE547" s="82">
        <v>1</v>
      </c>
      <c r="AF547" s="83" t="str">
        <f>REPLACE(INDEX(GroupVertices[Group],MATCH(Edges[[#This Row],[Vertex 1]],GroupVertices[Vertex],0)),1,1,"")</f>
        <v>1</v>
      </c>
      <c r="AG547" s="83" t="str">
        <f>REPLACE(INDEX(GroupVertices[Group],MATCH(Edges[[#This Row],[Vertex 2]],GroupVertices[Vertex],0)),1,1,"")</f>
        <v>1</v>
      </c>
      <c r="AH547" s="111">
        <v>0</v>
      </c>
      <c r="AI547" s="112">
        <v>0</v>
      </c>
      <c r="AJ547" s="111">
        <v>0</v>
      </c>
      <c r="AK547" s="112">
        <v>0</v>
      </c>
      <c r="AL547" s="111">
        <v>0</v>
      </c>
      <c r="AM547" s="112">
        <v>0</v>
      </c>
      <c r="AN547" s="111">
        <v>7</v>
      </c>
      <c r="AO547" s="112">
        <v>100</v>
      </c>
      <c r="AP547" s="111">
        <v>7</v>
      </c>
    </row>
    <row r="548" spans="1:42" ht="15">
      <c r="A548" s="65" t="s">
        <v>647</v>
      </c>
      <c r="B548" s="65" t="s">
        <v>648</v>
      </c>
      <c r="C548" s="66" t="s">
        <v>4651</v>
      </c>
      <c r="D548" s="67">
        <v>3</v>
      </c>
      <c r="E548" s="68"/>
      <c r="F548" s="69">
        <v>40</v>
      </c>
      <c r="G548" s="66"/>
      <c r="H548" s="70"/>
      <c r="I548" s="71"/>
      <c r="J548" s="71"/>
      <c r="K548" s="35" t="s">
        <v>65</v>
      </c>
      <c r="L548" s="79">
        <v>548</v>
      </c>
      <c r="M548" s="79"/>
      <c r="N548" s="73"/>
      <c r="O548" s="81" t="s">
        <v>845</v>
      </c>
      <c r="P548" s="81" t="s">
        <v>847</v>
      </c>
      <c r="Q548" s="84" t="s">
        <v>1370</v>
      </c>
      <c r="R548" s="81" t="s">
        <v>647</v>
      </c>
      <c r="S548" s="81" t="s">
        <v>2006</v>
      </c>
      <c r="T548" s="86" t="str">
        <f>HYPERLINK("http://www.youtube.com/channel/UClO8NWqdXkP9gia74DBErJw")</f>
        <v>http://www.youtube.com/channel/UClO8NWqdXkP9gia74DBErJw</v>
      </c>
      <c r="U548" s="81" t="s">
        <v>2275</v>
      </c>
      <c r="V548" s="81" t="s">
        <v>2329</v>
      </c>
      <c r="W548" s="86" t="str">
        <f>HYPERLINK("https://www.youtube.com/watch?v=QYWNXp36O48")</f>
        <v>https://www.youtube.com/watch?v=QYWNXp36O48</v>
      </c>
      <c r="X548" s="81" t="s">
        <v>2349</v>
      </c>
      <c r="Y548" s="81">
        <v>0</v>
      </c>
      <c r="Z548" s="88">
        <v>43809.326886574076</v>
      </c>
      <c r="AA548" s="88">
        <v>43809.326886574076</v>
      </c>
      <c r="AB548" s="81"/>
      <c r="AC548" s="81"/>
      <c r="AD548" s="84" t="s">
        <v>2390</v>
      </c>
      <c r="AE548" s="82">
        <v>1</v>
      </c>
      <c r="AF548" s="83" t="str">
        <f>REPLACE(INDEX(GroupVertices[Group],MATCH(Edges[[#This Row],[Vertex 1]],GroupVertices[Vertex],0)),1,1,"")</f>
        <v>1</v>
      </c>
      <c r="AG548" s="83" t="str">
        <f>REPLACE(INDEX(GroupVertices[Group],MATCH(Edges[[#This Row],[Vertex 2]],GroupVertices[Vertex],0)),1,1,"")</f>
        <v>1</v>
      </c>
      <c r="AH548" s="111">
        <v>0</v>
      </c>
      <c r="AI548" s="112">
        <v>0</v>
      </c>
      <c r="AJ548" s="111">
        <v>0</v>
      </c>
      <c r="AK548" s="112">
        <v>0</v>
      </c>
      <c r="AL548" s="111">
        <v>0</v>
      </c>
      <c r="AM548" s="112">
        <v>0</v>
      </c>
      <c r="AN548" s="111">
        <v>3</v>
      </c>
      <c r="AO548" s="112">
        <v>100</v>
      </c>
      <c r="AP548" s="111">
        <v>3</v>
      </c>
    </row>
    <row r="549" spans="1:42" ht="15">
      <c r="A549" s="65" t="s">
        <v>648</v>
      </c>
      <c r="B549" s="65" t="s">
        <v>553</v>
      </c>
      <c r="C549" s="66" t="s">
        <v>4651</v>
      </c>
      <c r="D549" s="67">
        <v>3</v>
      </c>
      <c r="E549" s="68"/>
      <c r="F549" s="69">
        <v>40</v>
      </c>
      <c r="G549" s="66"/>
      <c r="H549" s="70"/>
      <c r="I549" s="71"/>
      <c r="J549" s="71"/>
      <c r="K549" s="35" t="s">
        <v>65</v>
      </c>
      <c r="L549" s="79">
        <v>549</v>
      </c>
      <c r="M549" s="79"/>
      <c r="N549" s="73"/>
      <c r="O549" s="81" t="s">
        <v>844</v>
      </c>
      <c r="P549" s="81" t="s">
        <v>199</v>
      </c>
      <c r="Q549" s="84" t="s">
        <v>1371</v>
      </c>
      <c r="R549" s="81" t="s">
        <v>648</v>
      </c>
      <c r="S549" s="81" t="s">
        <v>2007</v>
      </c>
      <c r="T549" s="86" t="str">
        <f>HYPERLINK("http://www.youtube.com/channel/UCvrlwBjjKeorZbGPZuwQinw")</f>
        <v>http://www.youtube.com/channel/UCvrlwBjjKeorZbGPZuwQinw</v>
      </c>
      <c r="U549" s="81"/>
      <c r="V549" s="81" t="s">
        <v>2329</v>
      </c>
      <c r="W549" s="86" t="str">
        <f>HYPERLINK("https://www.youtube.com/watch?v=QYWNXp36O48")</f>
        <v>https://www.youtube.com/watch?v=QYWNXp36O48</v>
      </c>
      <c r="X549" s="81" t="s">
        <v>2349</v>
      </c>
      <c r="Y549" s="81">
        <v>4</v>
      </c>
      <c r="Z549" s="88">
        <v>43598.869305555556</v>
      </c>
      <c r="AA549" s="88">
        <v>43598.869305555556</v>
      </c>
      <c r="AB549" s="81"/>
      <c r="AC549" s="81"/>
      <c r="AD549" s="84" t="s">
        <v>2390</v>
      </c>
      <c r="AE549" s="82">
        <v>1</v>
      </c>
      <c r="AF549" s="83" t="str">
        <f>REPLACE(INDEX(GroupVertices[Group],MATCH(Edges[[#This Row],[Vertex 1]],GroupVertices[Vertex],0)),1,1,"")</f>
        <v>1</v>
      </c>
      <c r="AG549" s="83" t="str">
        <f>REPLACE(INDEX(GroupVertices[Group],MATCH(Edges[[#This Row],[Vertex 2]],GroupVertices[Vertex],0)),1,1,"")</f>
        <v>1</v>
      </c>
      <c r="AH549" s="111">
        <v>0</v>
      </c>
      <c r="AI549" s="112">
        <v>0</v>
      </c>
      <c r="AJ549" s="111">
        <v>0</v>
      </c>
      <c r="AK549" s="112">
        <v>0</v>
      </c>
      <c r="AL549" s="111">
        <v>0</v>
      </c>
      <c r="AM549" s="112">
        <v>0</v>
      </c>
      <c r="AN549" s="111">
        <v>5</v>
      </c>
      <c r="AO549" s="112">
        <v>100</v>
      </c>
      <c r="AP549" s="111">
        <v>5</v>
      </c>
    </row>
    <row r="550" spans="1:42" ht="15">
      <c r="A550" s="65" t="s">
        <v>649</v>
      </c>
      <c r="B550" s="65" t="s">
        <v>553</v>
      </c>
      <c r="C550" s="66" t="s">
        <v>4651</v>
      </c>
      <c r="D550" s="67">
        <v>3</v>
      </c>
      <c r="E550" s="68"/>
      <c r="F550" s="69">
        <v>40</v>
      </c>
      <c r="G550" s="66"/>
      <c r="H550" s="70"/>
      <c r="I550" s="71"/>
      <c r="J550" s="71"/>
      <c r="K550" s="35" t="s">
        <v>65</v>
      </c>
      <c r="L550" s="79">
        <v>550</v>
      </c>
      <c r="M550" s="79"/>
      <c r="N550" s="73"/>
      <c r="O550" s="81" t="s">
        <v>844</v>
      </c>
      <c r="P550" s="81" t="s">
        <v>199</v>
      </c>
      <c r="Q550" s="84" t="s">
        <v>1372</v>
      </c>
      <c r="R550" s="81" t="s">
        <v>649</v>
      </c>
      <c r="S550" s="81" t="s">
        <v>2008</v>
      </c>
      <c r="T550" s="86" t="str">
        <f>HYPERLINK("http://www.youtube.com/channel/UCpt8FjNWOfMDjMIRumx8pgw")</f>
        <v>http://www.youtube.com/channel/UCpt8FjNWOfMDjMIRumx8pgw</v>
      </c>
      <c r="U550" s="81"/>
      <c r="V550" s="81" t="s">
        <v>2329</v>
      </c>
      <c r="W550" s="86" t="str">
        <f>HYPERLINK("https://www.youtube.com/watch?v=QYWNXp36O48")</f>
        <v>https://www.youtube.com/watch?v=QYWNXp36O48</v>
      </c>
      <c r="X550" s="81" t="s">
        <v>2349</v>
      </c>
      <c r="Y550" s="81">
        <v>2</v>
      </c>
      <c r="Z550" s="88">
        <v>43598.90523148148</v>
      </c>
      <c r="AA550" s="88">
        <v>43598.91045138889</v>
      </c>
      <c r="AB550" s="81"/>
      <c r="AC550" s="81"/>
      <c r="AD550" s="84" t="s">
        <v>2390</v>
      </c>
      <c r="AE550" s="82">
        <v>1</v>
      </c>
      <c r="AF550" s="83" t="str">
        <f>REPLACE(INDEX(GroupVertices[Group],MATCH(Edges[[#This Row],[Vertex 1]],GroupVertices[Vertex],0)),1,1,"")</f>
        <v>1</v>
      </c>
      <c r="AG550" s="83" t="str">
        <f>REPLACE(INDEX(GroupVertices[Group],MATCH(Edges[[#This Row],[Vertex 2]],GroupVertices[Vertex],0)),1,1,"")</f>
        <v>1</v>
      </c>
      <c r="AH550" s="111">
        <v>0</v>
      </c>
      <c r="AI550" s="112">
        <v>0</v>
      </c>
      <c r="AJ550" s="111">
        <v>0</v>
      </c>
      <c r="AK550" s="112">
        <v>0</v>
      </c>
      <c r="AL550" s="111">
        <v>0</v>
      </c>
      <c r="AM550" s="112">
        <v>0</v>
      </c>
      <c r="AN550" s="111">
        <v>7</v>
      </c>
      <c r="AO550" s="112">
        <v>100</v>
      </c>
      <c r="AP550" s="111">
        <v>7</v>
      </c>
    </row>
    <row r="551" spans="1:42" ht="15">
      <c r="A551" s="65" t="s">
        <v>650</v>
      </c>
      <c r="B551" s="65" t="s">
        <v>553</v>
      </c>
      <c r="C551" s="66" t="s">
        <v>4651</v>
      </c>
      <c r="D551" s="67">
        <v>3</v>
      </c>
      <c r="E551" s="68"/>
      <c r="F551" s="69">
        <v>40</v>
      </c>
      <c r="G551" s="66"/>
      <c r="H551" s="70"/>
      <c r="I551" s="71"/>
      <c r="J551" s="71"/>
      <c r="K551" s="35" t="s">
        <v>65</v>
      </c>
      <c r="L551" s="79">
        <v>551</v>
      </c>
      <c r="M551" s="79"/>
      <c r="N551" s="73"/>
      <c r="O551" s="81" t="s">
        <v>844</v>
      </c>
      <c r="P551" s="81" t="s">
        <v>199</v>
      </c>
      <c r="Q551" s="84" t="s">
        <v>1373</v>
      </c>
      <c r="R551" s="81" t="s">
        <v>650</v>
      </c>
      <c r="S551" s="81" t="s">
        <v>2009</v>
      </c>
      <c r="T551" s="86" t="str">
        <f>HYPERLINK("http://www.youtube.com/channel/UCA12YVPW2dPuYgJI_g0szuQ")</f>
        <v>http://www.youtube.com/channel/UCA12YVPW2dPuYgJI_g0szuQ</v>
      </c>
      <c r="U551" s="81"/>
      <c r="V551" s="81" t="s">
        <v>2329</v>
      </c>
      <c r="W551" s="86" t="str">
        <f>HYPERLINK("https://www.youtube.com/watch?v=QYWNXp36O48")</f>
        <v>https://www.youtube.com/watch?v=QYWNXp36O48</v>
      </c>
      <c r="X551" s="81" t="s">
        <v>2349</v>
      </c>
      <c r="Y551" s="81">
        <v>2</v>
      </c>
      <c r="Z551" s="88">
        <v>43598.94899305556</v>
      </c>
      <c r="AA551" s="88">
        <v>43598.94899305556</v>
      </c>
      <c r="AB551" s="81" t="s">
        <v>2372</v>
      </c>
      <c r="AC551" s="81" t="s">
        <v>2379</v>
      </c>
      <c r="AD551" s="84" t="s">
        <v>2390</v>
      </c>
      <c r="AE551" s="82">
        <v>1</v>
      </c>
      <c r="AF551" s="83" t="str">
        <f>REPLACE(INDEX(GroupVertices[Group],MATCH(Edges[[#This Row],[Vertex 1]],GroupVertices[Vertex],0)),1,1,"")</f>
        <v>1</v>
      </c>
      <c r="AG551" s="83" t="str">
        <f>REPLACE(INDEX(GroupVertices[Group],MATCH(Edges[[#This Row],[Vertex 2]],GroupVertices[Vertex],0)),1,1,"")</f>
        <v>1</v>
      </c>
      <c r="AH551" s="111">
        <v>0</v>
      </c>
      <c r="AI551" s="112">
        <v>0</v>
      </c>
      <c r="AJ551" s="111">
        <v>0</v>
      </c>
      <c r="AK551" s="112">
        <v>0</v>
      </c>
      <c r="AL551" s="111">
        <v>0</v>
      </c>
      <c r="AM551" s="112">
        <v>0</v>
      </c>
      <c r="AN551" s="111">
        <v>16</v>
      </c>
      <c r="AO551" s="112">
        <v>100</v>
      </c>
      <c r="AP551" s="111">
        <v>16</v>
      </c>
    </row>
    <row r="552" spans="1:42" ht="15">
      <c r="A552" s="65" t="s">
        <v>651</v>
      </c>
      <c r="B552" s="65" t="s">
        <v>553</v>
      </c>
      <c r="C552" s="66" t="s">
        <v>4651</v>
      </c>
      <c r="D552" s="67">
        <v>3</v>
      </c>
      <c r="E552" s="68"/>
      <c r="F552" s="69">
        <v>40</v>
      </c>
      <c r="G552" s="66"/>
      <c r="H552" s="70"/>
      <c r="I552" s="71"/>
      <c r="J552" s="71"/>
      <c r="K552" s="35" t="s">
        <v>65</v>
      </c>
      <c r="L552" s="79">
        <v>552</v>
      </c>
      <c r="M552" s="79"/>
      <c r="N552" s="73"/>
      <c r="O552" s="81" t="s">
        <v>844</v>
      </c>
      <c r="P552" s="81" t="s">
        <v>199</v>
      </c>
      <c r="Q552" s="84" t="s">
        <v>1374</v>
      </c>
      <c r="R552" s="81" t="s">
        <v>651</v>
      </c>
      <c r="S552" s="81" t="s">
        <v>2010</v>
      </c>
      <c r="T552" s="86" t="str">
        <f>HYPERLINK("http://www.youtube.com/channel/UChJiLn9jB5O_rwknHyL9Jgw")</f>
        <v>http://www.youtube.com/channel/UChJiLn9jB5O_rwknHyL9Jgw</v>
      </c>
      <c r="U552" s="81"/>
      <c r="V552" s="81" t="s">
        <v>2329</v>
      </c>
      <c r="W552" s="86" t="str">
        <f>HYPERLINK("https://www.youtube.com/watch?v=QYWNXp36O48")</f>
        <v>https://www.youtube.com/watch?v=QYWNXp36O48</v>
      </c>
      <c r="X552" s="81" t="s">
        <v>2349</v>
      </c>
      <c r="Y552" s="81">
        <v>1</v>
      </c>
      <c r="Z552" s="88">
        <v>43599.298946759256</v>
      </c>
      <c r="AA552" s="88">
        <v>43599.298946759256</v>
      </c>
      <c r="AB552" s="81"/>
      <c r="AC552" s="81"/>
      <c r="AD552" s="84" t="s">
        <v>2390</v>
      </c>
      <c r="AE552" s="82">
        <v>1</v>
      </c>
      <c r="AF552" s="83" t="str">
        <f>REPLACE(INDEX(GroupVertices[Group],MATCH(Edges[[#This Row],[Vertex 1]],GroupVertices[Vertex],0)),1,1,"")</f>
        <v>1</v>
      </c>
      <c r="AG552" s="83" t="str">
        <f>REPLACE(INDEX(GroupVertices[Group],MATCH(Edges[[#This Row],[Vertex 2]],GroupVertices[Vertex],0)),1,1,"")</f>
        <v>1</v>
      </c>
      <c r="AH552" s="111">
        <v>2</v>
      </c>
      <c r="AI552" s="112">
        <v>66.66666666666667</v>
      </c>
      <c r="AJ552" s="111">
        <v>0</v>
      </c>
      <c r="AK552" s="112">
        <v>0</v>
      </c>
      <c r="AL552" s="111">
        <v>0</v>
      </c>
      <c r="AM552" s="112">
        <v>0</v>
      </c>
      <c r="AN552" s="111">
        <v>1</v>
      </c>
      <c r="AO552" s="112">
        <v>33.333333333333336</v>
      </c>
      <c r="AP552" s="111">
        <v>3</v>
      </c>
    </row>
    <row r="553" spans="1:42" ht="15">
      <c r="A553" s="65" t="s">
        <v>652</v>
      </c>
      <c r="B553" s="65" t="s">
        <v>553</v>
      </c>
      <c r="C553" s="66" t="s">
        <v>4651</v>
      </c>
      <c r="D553" s="67">
        <v>3</v>
      </c>
      <c r="E553" s="68"/>
      <c r="F553" s="69">
        <v>40</v>
      </c>
      <c r="G553" s="66"/>
      <c r="H553" s="70"/>
      <c r="I553" s="71"/>
      <c r="J553" s="71"/>
      <c r="K553" s="35" t="s">
        <v>65</v>
      </c>
      <c r="L553" s="79">
        <v>553</v>
      </c>
      <c r="M553" s="79"/>
      <c r="N553" s="73"/>
      <c r="O553" s="81" t="s">
        <v>844</v>
      </c>
      <c r="P553" s="81" t="s">
        <v>199</v>
      </c>
      <c r="Q553" s="84" t="s">
        <v>1375</v>
      </c>
      <c r="R553" s="81" t="s">
        <v>652</v>
      </c>
      <c r="S553" s="81" t="s">
        <v>2011</v>
      </c>
      <c r="T553" s="86" t="str">
        <f>HYPERLINK("http://www.youtube.com/channel/UCJpbhVtWvqn4OYkYhdtkDsg")</f>
        <v>http://www.youtube.com/channel/UCJpbhVtWvqn4OYkYhdtkDsg</v>
      </c>
      <c r="U553" s="81"/>
      <c r="V553" s="81" t="s">
        <v>2329</v>
      </c>
      <c r="W553" s="86" t="str">
        <f>HYPERLINK("https://www.youtube.com/watch?v=QYWNXp36O48")</f>
        <v>https://www.youtube.com/watch?v=QYWNXp36O48</v>
      </c>
      <c r="X553" s="81" t="s">
        <v>2349</v>
      </c>
      <c r="Y553" s="81">
        <v>4</v>
      </c>
      <c r="Z553" s="88">
        <v>43599.353738425925</v>
      </c>
      <c r="AA553" s="88">
        <v>43599.353738425925</v>
      </c>
      <c r="AB553" s="81"/>
      <c r="AC553" s="81"/>
      <c r="AD553" s="84" t="s">
        <v>2390</v>
      </c>
      <c r="AE553" s="82">
        <v>1</v>
      </c>
      <c r="AF553" s="83" t="str">
        <f>REPLACE(INDEX(GroupVertices[Group],MATCH(Edges[[#This Row],[Vertex 1]],GroupVertices[Vertex],0)),1,1,"")</f>
        <v>1</v>
      </c>
      <c r="AG553" s="83" t="str">
        <f>REPLACE(INDEX(GroupVertices[Group],MATCH(Edges[[#This Row],[Vertex 2]],GroupVertices[Vertex],0)),1,1,"")</f>
        <v>1</v>
      </c>
      <c r="AH553" s="111">
        <v>2</v>
      </c>
      <c r="AI553" s="112">
        <v>28.571428571428573</v>
      </c>
      <c r="AJ553" s="111">
        <v>0</v>
      </c>
      <c r="AK553" s="112">
        <v>0</v>
      </c>
      <c r="AL553" s="111">
        <v>0</v>
      </c>
      <c r="AM553" s="112">
        <v>0</v>
      </c>
      <c r="AN553" s="111">
        <v>5</v>
      </c>
      <c r="AO553" s="112">
        <v>71.42857142857143</v>
      </c>
      <c r="AP553" s="111">
        <v>7</v>
      </c>
    </row>
    <row r="554" spans="1:42" ht="15">
      <c r="A554" s="65" t="s">
        <v>653</v>
      </c>
      <c r="B554" s="65" t="s">
        <v>553</v>
      </c>
      <c r="C554" s="66" t="s">
        <v>4651</v>
      </c>
      <c r="D554" s="67">
        <v>3</v>
      </c>
      <c r="E554" s="68"/>
      <c r="F554" s="69">
        <v>40</v>
      </c>
      <c r="G554" s="66"/>
      <c r="H554" s="70"/>
      <c r="I554" s="71"/>
      <c r="J554" s="71"/>
      <c r="K554" s="35" t="s">
        <v>65</v>
      </c>
      <c r="L554" s="79">
        <v>554</v>
      </c>
      <c r="M554" s="79"/>
      <c r="N554" s="73"/>
      <c r="O554" s="81" t="s">
        <v>844</v>
      </c>
      <c r="P554" s="81" t="s">
        <v>199</v>
      </c>
      <c r="Q554" s="84" t="s">
        <v>1376</v>
      </c>
      <c r="R554" s="81" t="s">
        <v>653</v>
      </c>
      <c r="S554" s="81" t="s">
        <v>2012</v>
      </c>
      <c r="T554" s="86" t="str">
        <f>HYPERLINK("http://www.youtube.com/channel/UCfUNn3pCTUiMSeOyJcvDiFw")</f>
        <v>http://www.youtube.com/channel/UCfUNn3pCTUiMSeOyJcvDiFw</v>
      </c>
      <c r="U554" s="81"/>
      <c r="V554" s="81" t="s">
        <v>2329</v>
      </c>
      <c r="W554" s="86" t="str">
        <f>HYPERLINK("https://www.youtube.com/watch?v=QYWNXp36O48")</f>
        <v>https://www.youtube.com/watch?v=QYWNXp36O48</v>
      </c>
      <c r="X554" s="81" t="s">
        <v>2349</v>
      </c>
      <c r="Y554" s="81">
        <v>0</v>
      </c>
      <c r="Z554" s="88">
        <v>43599.361979166664</v>
      </c>
      <c r="AA554" s="88">
        <v>43599.361979166664</v>
      </c>
      <c r="AB554" s="81"/>
      <c r="AC554" s="81"/>
      <c r="AD554" s="84" t="s">
        <v>2390</v>
      </c>
      <c r="AE554" s="82">
        <v>1</v>
      </c>
      <c r="AF554" s="83" t="str">
        <f>REPLACE(INDEX(GroupVertices[Group],MATCH(Edges[[#This Row],[Vertex 1]],GroupVertices[Vertex],0)),1,1,"")</f>
        <v>1</v>
      </c>
      <c r="AG554" s="83" t="str">
        <f>REPLACE(INDEX(GroupVertices[Group],MATCH(Edges[[#This Row],[Vertex 2]],GroupVertices[Vertex],0)),1,1,"")</f>
        <v>1</v>
      </c>
      <c r="AH554" s="111">
        <v>2</v>
      </c>
      <c r="AI554" s="112">
        <v>33.333333333333336</v>
      </c>
      <c r="AJ554" s="111">
        <v>0</v>
      </c>
      <c r="AK554" s="112">
        <v>0</v>
      </c>
      <c r="AL554" s="111">
        <v>0</v>
      </c>
      <c r="AM554" s="112">
        <v>0</v>
      </c>
      <c r="AN554" s="111">
        <v>4</v>
      </c>
      <c r="AO554" s="112">
        <v>66.66666666666667</v>
      </c>
      <c r="AP554" s="111">
        <v>6</v>
      </c>
    </row>
    <row r="555" spans="1:42" ht="15">
      <c r="A555" s="65" t="s">
        <v>654</v>
      </c>
      <c r="B555" s="65" t="s">
        <v>553</v>
      </c>
      <c r="C555" s="66" t="s">
        <v>4651</v>
      </c>
      <c r="D555" s="67">
        <v>3</v>
      </c>
      <c r="E555" s="68"/>
      <c r="F555" s="69">
        <v>40</v>
      </c>
      <c r="G555" s="66"/>
      <c r="H555" s="70"/>
      <c r="I555" s="71"/>
      <c r="J555" s="71"/>
      <c r="K555" s="35" t="s">
        <v>65</v>
      </c>
      <c r="L555" s="79">
        <v>555</v>
      </c>
      <c r="M555" s="79"/>
      <c r="N555" s="73"/>
      <c r="O555" s="81" t="s">
        <v>844</v>
      </c>
      <c r="P555" s="81" t="s">
        <v>199</v>
      </c>
      <c r="Q555" s="84" t="s">
        <v>1377</v>
      </c>
      <c r="R555" s="81" t="s">
        <v>654</v>
      </c>
      <c r="S555" s="81" t="s">
        <v>2013</v>
      </c>
      <c r="T555" s="86" t="str">
        <f>HYPERLINK("http://www.youtube.com/channel/UCdqrohw_NmlHlyOEq2jHCWA")</f>
        <v>http://www.youtube.com/channel/UCdqrohw_NmlHlyOEq2jHCWA</v>
      </c>
      <c r="U555" s="81"/>
      <c r="V555" s="81" t="s">
        <v>2329</v>
      </c>
      <c r="W555" s="86" t="str">
        <f>HYPERLINK("https://www.youtube.com/watch?v=QYWNXp36O48")</f>
        <v>https://www.youtube.com/watch?v=QYWNXp36O48</v>
      </c>
      <c r="X555" s="81" t="s">
        <v>2349</v>
      </c>
      <c r="Y555" s="81">
        <v>0</v>
      </c>
      <c r="Z555" s="88">
        <v>43599.444386574076</v>
      </c>
      <c r="AA555" s="88">
        <v>43599.444386574076</v>
      </c>
      <c r="AB555" s="81"/>
      <c r="AC555" s="81"/>
      <c r="AD555" s="84" t="s">
        <v>2390</v>
      </c>
      <c r="AE555" s="82">
        <v>1</v>
      </c>
      <c r="AF555" s="83" t="str">
        <f>REPLACE(INDEX(GroupVertices[Group],MATCH(Edges[[#This Row],[Vertex 1]],GroupVertices[Vertex],0)),1,1,"")</f>
        <v>1</v>
      </c>
      <c r="AG555" s="83" t="str">
        <f>REPLACE(INDEX(GroupVertices[Group],MATCH(Edges[[#This Row],[Vertex 2]],GroupVertices[Vertex],0)),1,1,"")</f>
        <v>1</v>
      </c>
      <c r="AH555" s="111">
        <v>0</v>
      </c>
      <c r="AI555" s="112">
        <v>0</v>
      </c>
      <c r="AJ555" s="111">
        <v>0</v>
      </c>
      <c r="AK555" s="112">
        <v>0</v>
      </c>
      <c r="AL555" s="111">
        <v>0</v>
      </c>
      <c r="AM555" s="112">
        <v>0</v>
      </c>
      <c r="AN555" s="111">
        <v>2</v>
      </c>
      <c r="AO555" s="112">
        <v>100</v>
      </c>
      <c r="AP555" s="111">
        <v>2</v>
      </c>
    </row>
    <row r="556" spans="1:42" ht="15">
      <c r="A556" s="65" t="s">
        <v>655</v>
      </c>
      <c r="B556" s="65" t="s">
        <v>553</v>
      </c>
      <c r="C556" s="66" t="s">
        <v>4651</v>
      </c>
      <c r="D556" s="67">
        <v>3</v>
      </c>
      <c r="E556" s="68"/>
      <c r="F556" s="69">
        <v>40</v>
      </c>
      <c r="G556" s="66"/>
      <c r="H556" s="70"/>
      <c r="I556" s="71"/>
      <c r="J556" s="71"/>
      <c r="K556" s="35" t="s">
        <v>65</v>
      </c>
      <c r="L556" s="79">
        <v>556</v>
      </c>
      <c r="M556" s="79"/>
      <c r="N556" s="73"/>
      <c r="O556" s="81" t="s">
        <v>844</v>
      </c>
      <c r="P556" s="81" t="s">
        <v>199</v>
      </c>
      <c r="Q556" s="84" t="s">
        <v>1378</v>
      </c>
      <c r="R556" s="81" t="s">
        <v>655</v>
      </c>
      <c r="S556" s="81" t="s">
        <v>2014</v>
      </c>
      <c r="T556" s="86" t="str">
        <f>HYPERLINK("http://www.youtube.com/channel/UC4BJaDRvnalVBUUFZXiCkoQ")</f>
        <v>http://www.youtube.com/channel/UC4BJaDRvnalVBUUFZXiCkoQ</v>
      </c>
      <c r="U556" s="81"/>
      <c r="V556" s="81" t="s">
        <v>2329</v>
      </c>
      <c r="W556" s="86" t="str">
        <f>HYPERLINK("https://www.youtube.com/watch?v=QYWNXp36O48")</f>
        <v>https://www.youtube.com/watch?v=QYWNXp36O48</v>
      </c>
      <c r="X556" s="81" t="s">
        <v>2349</v>
      </c>
      <c r="Y556" s="81">
        <v>28</v>
      </c>
      <c r="Z556" s="88">
        <v>43599.456828703704</v>
      </c>
      <c r="AA556" s="88">
        <v>43599.456828703704</v>
      </c>
      <c r="AB556" s="81"/>
      <c r="AC556" s="81"/>
      <c r="AD556" s="84" t="s">
        <v>2390</v>
      </c>
      <c r="AE556" s="82">
        <v>1</v>
      </c>
      <c r="AF556" s="83" t="str">
        <f>REPLACE(INDEX(GroupVertices[Group],MATCH(Edges[[#This Row],[Vertex 1]],GroupVertices[Vertex],0)),1,1,"")</f>
        <v>1</v>
      </c>
      <c r="AG556" s="83" t="str">
        <f>REPLACE(INDEX(GroupVertices[Group],MATCH(Edges[[#This Row],[Vertex 2]],GroupVertices[Vertex],0)),1,1,"")</f>
        <v>1</v>
      </c>
      <c r="AH556" s="111">
        <v>2</v>
      </c>
      <c r="AI556" s="112">
        <v>28.571428571428573</v>
      </c>
      <c r="AJ556" s="111">
        <v>0</v>
      </c>
      <c r="AK556" s="112">
        <v>0</v>
      </c>
      <c r="AL556" s="111">
        <v>0</v>
      </c>
      <c r="AM556" s="112">
        <v>0</v>
      </c>
      <c r="AN556" s="111">
        <v>5</v>
      </c>
      <c r="AO556" s="112">
        <v>71.42857142857143</v>
      </c>
      <c r="AP556" s="111">
        <v>7</v>
      </c>
    </row>
    <row r="557" spans="1:42" ht="15">
      <c r="A557" s="65" t="s">
        <v>656</v>
      </c>
      <c r="B557" s="65" t="s">
        <v>657</v>
      </c>
      <c r="C557" s="66" t="s">
        <v>4651</v>
      </c>
      <c r="D557" s="67">
        <v>3</v>
      </c>
      <c r="E557" s="68"/>
      <c r="F557" s="69">
        <v>40</v>
      </c>
      <c r="G557" s="66"/>
      <c r="H557" s="70"/>
      <c r="I557" s="71"/>
      <c r="J557" s="71"/>
      <c r="K557" s="35" t="s">
        <v>65</v>
      </c>
      <c r="L557" s="79">
        <v>557</v>
      </c>
      <c r="M557" s="79"/>
      <c r="N557" s="73"/>
      <c r="O557" s="81" t="s">
        <v>845</v>
      </c>
      <c r="P557" s="81" t="s">
        <v>847</v>
      </c>
      <c r="Q557" s="84" t="s">
        <v>1379</v>
      </c>
      <c r="R557" s="81" t="s">
        <v>656</v>
      </c>
      <c r="S557" s="81" t="s">
        <v>2015</v>
      </c>
      <c r="T557" s="86" t="str">
        <f>HYPERLINK("http://www.youtube.com/channel/UCVDCckhaMS9_DCcgrWI4PWw")</f>
        <v>http://www.youtube.com/channel/UCVDCckhaMS9_DCcgrWI4PWw</v>
      </c>
      <c r="U557" s="81" t="s">
        <v>2276</v>
      </c>
      <c r="V557" s="81" t="s">
        <v>2329</v>
      </c>
      <c r="W557" s="86" t="str">
        <f>HYPERLINK("https://www.youtube.com/watch?v=QYWNXp36O48")</f>
        <v>https://www.youtube.com/watch?v=QYWNXp36O48</v>
      </c>
      <c r="X557" s="81" t="s">
        <v>2349</v>
      </c>
      <c r="Y557" s="81">
        <v>0</v>
      </c>
      <c r="Z557" s="88">
        <v>43907.90728009259</v>
      </c>
      <c r="AA557" s="88">
        <v>43907.90728009259</v>
      </c>
      <c r="AB557" s="81"/>
      <c r="AC557" s="81"/>
      <c r="AD557" s="84" t="s">
        <v>2390</v>
      </c>
      <c r="AE557" s="82">
        <v>1</v>
      </c>
      <c r="AF557" s="83" t="str">
        <f>REPLACE(INDEX(GroupVertices[Group],MATCH(Edges[[#This Row],[Vertex 1]],GroupVertices[Vertex],0)),1,1,"")</f>
        <v>1</v>
      </c>
      <c r="AG557" s="83" t="str">
        <f>REPLACE(INDEX(GroupVertices[Group],MATCH(Edges[[#This Row],[Vertex 2]],GroupVertices[Vertex],0)),1,1,"")</f>
        <v>1</v>
      </c>
      <c r="AH557" s="111">
        <v>0</v>
      </c>
      <c r="AI557" s="112">
        <v>0</v>
      </c>
      <c r="AJ557" s="111">
        <v>0</v>
      </c>
      <c r="AK557" s="112">
        <v>0</v>
      </c>
      <c r="AL557" s="111">
        <v>0</v>
      </c>
      <c r="AM557" s="112">
        <v>0</v>
      </c>
      <c r="AN557" s="111">
        <v>5</v>
      </c>
      <c r="AO557" s="112">
        <v>100</v>
      </c>
      <c r="AP557" s="111">
        <v>5</v>
      </c>
    </row>
    <row r="558" spans="1:42" ht="15">
      <c r="A558" s="65" t="s">
        <v>657</v>
      </c>
      <c r="B558" s="65" t="s">
        <v>553</v>
      </c>
      <c r="C558" s="66" t="s">
        <v>4651</v>
      </c>
      <c r="D558" s="67">
        <v>3</v>
      </c>
      <c r="E558" s="68"/>
      <c r="F558" s="69">
        <v>40</v>
      </c>
      <c r="G558" s="66"/>
      <c r="H558" s="70"/>
      <c r="I558" s="71"/>
      <c r="J558" s="71"/>
      <c r="K558" s="35" t="s">
        <v>65</v>
      </c>
      <c r="L558" s="79">
        <v>558</v>
      </c>
      <c r="M558" s="79"/>
      <c r="N558" s="73"/>
      <c r="O558" s="81" t="s">
        <v>844</v>
      </c>
      <c r="P558" s="81" t="s">
        <v>199</v>
      </c>
      <c r="Q558" s="84" t="s">
        <v>1380</v>
      </c>
      <c r="R558" s="81" t="s">
        <v>657</v>
      </c>
      <c r="S558" s="81" t="s">
        <v>2016</v>
      </c>
      <c r="T558" s="86" t="str">
        <f>HYPERLINK("http://www.youtube.com/channel/UCTcHD2VmpjSvYcWkN14SRUA")</f>
        <v>http://www.youtube.com/channel/UCTcHD2VmpjSvYcWkN14SRUA</v>
      </c>
      <c r="U558" s="81"/>
      <c r="V558" s="81" t="s">
        <v>2329</v>
      </c>
      <c r="W558" s="86" t="str">
        <f>HYPERLINK("https://www.youtube.com/watch?v=QYWNXp36O48")</f>
        <v>https://www.youtube.com/watch?v=QYWNXp36O48</v>
      </c>
      <c r="X558" s="81" t="s">
        <v>2349</v>
      </c>
      <c r="Y558" s="81">
        <v>3</v>
      </c>
      <c r="Z558" s="88">
        <v>43599.47666666667</v>
      </c>
      <c r="AA558" s="88">
        <v>43599.47666666667</v>
      </c>
      <c r="AB558" s="81"/>
      <c r="AC558" s="81"/>
      <c r="AD558" s="84" t="s">
        <v>2390</v>
      </c>
      <c r="AE558" s="82">
        <v>1</v>
      </c>
      <c r="AF558" s="83" t="str">
        <f>REPLACE(INDEX(GroupVertices[Group],MATCH(Edges[[#This Row],[Vertex 1]],GroupVertices[Vertex],0)),1,1,"")</f>
        <v>1</v>
      </c>
      <c r="AG558" s="83" t="str">
        <f>REPLACE(INDEX(GroupVertices[Group],MATCH(Edges[[#This Row],[Vertex 2]],GroupVertices[Vertex],0)),1,1,"")</f>
        <v>1</v>
      </c>
      <c r="AH558" s="111">
        <v>2</v>
      </c>
      <c r="AI558" s="112">
        <v>33.333333333333336</v>
      </c>
      <c r="AJ558" s="111">
        <v>0</v>
      </c>
      <c r="AK558" s="112">
        <v>0</v>
      </c>
      <c r="AL558" s="111">
        <v>0</v>
      </c>
      <c r="AM558" s="112">
        <v>0</v>
      </c>
      <c r="AN558" s="111">
        <v>4</v>
      </c>
      <c r="AO558" s="112">
        <v>66.66666666666667</v>
      </c>
      <c r="AP558" s="111">
        <v>6</v>
      </c>
    </row>
    <row r="559" spans="1:42" ht="15">
      <c r="A559" s="65" t="s">
        <v>658</v>
      </c>
      <c r="B559" s="65" t="s">
        <v>553</v>
      </c>
      <c r="C559" s="66" t="s">
        <v>4651</v>
      </c>
      <c r="D559" s="67">
        <v>3</v>
      </c>
      <c r="E559" s="68"/>
      <c r="F559" s="69">
        <v>40</v>
      </c>
      <c r="G559" s="66"/>
      <c r="H559" s="70"/>
      <c r="I559" s="71"/>
      <c r="J559" s="71"/>
      <c r="K559" s="35" t="s">
        <v>65</v>
      </c>
      <c r="L559" s="79">
        <v>559</v>
      </c>
      <c r="M559" s="79"/>
      <c r="N559" s="73"/>
      <c r="O559" s="81" t="s">
        <v>844</v>
      </c>
      <c r="P559" s="81" t="s">
        <v>199</v>
      </c>
      <c r="Q559" s="84" t="s">
        <v>1381</v>
      </c>
      <c r="R559" s="81" t="s">
        <v>658</v>
      </c>
      <c r="S559" s="81" t="s">
        <v>2017</v>
      </c>
      <c r="T559" s="86" t="str">
        <f>HYPERLINK("http://www.youtube.com/channel/UC_utpvdX3jUjizP3SoATdtQ")</f>
        <v>http://www.youtube.com/channel/UC_utpvdX3jUjizP3SoATdtQ</v>
      </c>
      <c r="U559" s="81"/>
      <c r="V559" s="81" t="s">
        <v>2329</v>
      </c>
      <c r="W559" s="86" t="str">
        <f>HYPERLINK("https://www.youtube.com/watch?v=QYWNXp36O48")</f>
        <v>https://www.youtube.com/watch?v=QYWNXp36O48</v>
      </c>
      <c r="X559" s="81" t="s">
        <v>2349</v>
      </c>
      <c r="Y559" s="81">
        <v>2</v>
      </c>
      <c r="Z559" s="88">
        <v>43599.521203703705</v>
      </c>
      <c r="AA559" s="88">
        <v>43599.521203703705</v>
      </c>
      <c r="AB559" s="81"/>
      <c r="AC559" s="81"/>
      <c r="AD559" s="84" t="s">
        <v>2390</v>
      </c>
      <c r="AE559" s="82">
        <v>1</v>
      </c>
      <c r="AF559" s="83" t="str">
        <f>REPLACE(INDEX(GroupVertices[Group],MATCH(Edges[[#This Row],[Vertex 1]],GroupVertices[Vertex],0)),1,1,"")</f>
        <v>1</v>
      </c>
      <c r="AG559" s="83" t="str">
        <f>REPLACE(INDEX(GroupVertices[Group],MATCH(Edges[[#This Row],[Vertex 2]],GroupVertices[Vertex],0)),1,1,"")</f>
        <v>1</v>
      </c>
      <c r="AH559" s="111">
        <v>0</v>
      </c>
      <c r="AI559" s="112">
        <v>0</v>
      </c>
      <c r="AJ559" s="111">
        <v>0</v>
      </c>
      <c r="AK559" s="112">
        <v>0</v>
      </c>
      <c r="AL559" s="111">
        <v>0</v>
      </c>
      <c r="AM559" s="112">
        <v>0</v>
      </c>
      <c r="AN559" s="111">
        <v>5</v>
      </c>
      <c r="AO559" s="112">
        <v>100</v>
      </c>
      <c r="AP559" s="111">
        <v>5</v>
      </c>
    </row>
    <row r="560" spans="1:42" ht="15">
      <c r="A560" s="65" t="s">
        <v>659</v>
      </c>
      <c r="B560" s="65" t="s">
        <v>553</v>
      </c>
      <c r="C560" s="66" t="s">
        <v>4651</v>
      </c>
      <c r="D560" s="67">
        <v>3</v>
      </c>
      <c r="E560" s="68"/>
      <c r="F560" s="69">
        <v>40</v>
      </c>
      <c r="G560" s="66"/>
      <c r="H560" s="70"/>
      <c r="I560" s="71"/>
      <c r="J560" s="71"/>
      <c r="K560" s="35" t="s">
        <v>65</v>
      </c>
      <c r="L560" s="79">
        <v>560</v>
      </c>
      <c r="M560" s="79"/>
      <c r="N560" s="73"/>
      <c r="O560" s="81" t="s">
        <v>844</v>
      </c>
      <c r="P560" s="81" t="s">
        <v>199</v>
      </c>
      <c r="Q560" s="84" t="s">
        <v>1382</v>
      </c>
      <c r="R560" s="81" t="s">
        <v>659</v>
      </c>
      <c r="S560" s="81" t="s">
        <v>2018</v>
      </c>
      <c r="T560" s="86" t="str">
        <f>HYPERLINK("http://www.youtube.com/channel/UCTMzvf8g1c1Hl3l9buaIMeg")</f>
        <v>http://www.youtube.com/channel/UCTMzvf8g1c1Hl3l9buaIMeg</v>
      </c>
      <c r="U560" s="81"/>
      <c r="V560" s="81" t="s">
        <v>2329</v>
      </c>
      <c r="W560" s="86" t="str">
        <f>HYPERLINK("https://www.youtube.com/watch?v=QYWNXp36O48")</f>
        <v>https://www.youtube.com/watch?v=QYWNXp36O48</v>
      </c>
      <c r="X560" s="81" t="s">
        <v>2349</v>
      </c>
      <c r="Y560" s="81">
        <v>2</v>
      </c>
      <c r="Z560" s="88">
        <v>43599.739699074074</v>
      </c>
      <c r="AA560" s="88">
        <v>43599.739699074074</v>
      </c>
      <c r="AB560" s="81"/>
      <c r="AC560" s="81"/>
      <c r="AD560" s="84" t="s">
        <v>2390</v>
      </c>
      <c r="AE560" s="82">
        <v>1</v>
      </c>
      <c r="AF560" s="83" t="str">
        <f>REPLACE(INDEX(GroupVertices[Group],MATCH(Edges[[#This Row],[Vertex 1]],GroupVertices[Vertex],0)),1,1,"")</f>
        <v>1</v>
      </c>
      <c r="AG560" s="83" t="str">
        <f>REPLACE(INDEX(GroupVertices[Group],MATCH(Edges[[#This Row],[Vertex 2]],GroupVertices[Vertex],0)),1,1,"")</f>
        <v>1</v>
      </c>
      <c r="AH560" s="111">
        <v>0</v>
      </c>
      <c r="AI560" s="112">
        <v>0</v>
      </c>
      <c r="AJ560" s="111">
        <v>0</v>
      </c>
      <c r="AK560" s="112">
        <v>0</v>
      </c>
      <c r="AL560" s="111">
        <v>0</v>
      </c>
      <c r="AM560" s="112">
        <v>0</v>
      </c>
      <c r="AN560" s="111">
        <v>4</v>
      </c>
      <c r="AO560" s="112">
        <v>100</v>
      </c>
      <c r="AP560" s="111">
        <v>4</v>
      </c>
    </row>
    <row r="561" spans="1:42" ht="15">
      <c r="A561" s="65" t="s">
        <v>660</v>
      </c>
      <c r="B561" s="65" t="s">
        <v>553</v>
      </c>
      <c r="C561" s="66" t="s">
        <v>4651</v>
      </c>
      <c r="D561" s="67">
        <v>3</v>
      </c>
      <c r="E561" s="68"/>
      <c r="F561" s="69">
        <v>40</v>
      </c>
      <c r="G561" s="66"/>
      <c r="H561" s="70"/>
      <c r="I561" s="71"/>
      <c r="J561" s="71"/>
      <c r="K561" s="35" t="s">
        <v>65</v>
      </c>
      <c r="L561" s="79">
        <v>561</v>
      </c>
      <c r="M561" s="79"/>
      <c r="N561" s="73"/>
      <c r="O561" s="81" t="s">
        <v>844</v>
      </c>
      <c r="P561" s="81" t="s">
        <v>199</v>
      </c>
      <c r="Q561" s="84" t="s">
        <v>1383</v>
      </c>
      <c r="R561" s="81" t="s">
        <v>660</v>
      </c>
      <c r="S561" s="81" t="s">
        <v>2019</v>
      </c>
      <c r="T561" s="86" t="str">
        <f>HYPERLINK("http://www.youtube.com/channel/UCLi9I77I67kG_JV0aT1PCqQ")</f>
        <v>http://www.youtube.com/channel/UCLi9I77I67kG_JV0aT1PCqQ</v>
      </c>
      <c r="U561" s="81"/>
      <c r="V561" s="81" t="s">
        <v>2329</v>
      </c>
      <c r="W561" s="86" t="str">
        <f>HYPERLINK("https://www.youtube.com/watch?v=QYWNXp36O48")</f>
        <v>https://www.youtube.com/watch?v=QYWNXp36O48</v>
      </c>
      <c r="X561" s="81" t="s">
        <v>2349</v>
      </c>
      <c r="Y561" s="81">
        <v>5</v>
      </c>
      <c r="Z561" s="88">
        <v>43605.0890625</v>
      </c>
      <c r="AA561" s="88">
        <v>43605.0890625</v>
      </c>
      <c r="AB561" s="81"/>
      <c r="AC561" s="81"/>
      <c r="AD561" s="84" t="s">
        <v>2390</v>
      </c>
      <c r="AE561" s="82">
        <v>1</v>
      </c>
      <c r="AF561" s="83" t="str">
        <f>REPLACE(INDEX(GroupVertices[Group],MATCH(Edges[[#This Row],[Vertex 1]],GroupVertices[Vertex],0)),1,1,"")</f>
        <v>1</v>
      </c>
      <c r="AG561" s="83" t="str">
        <f>REPLACE(INDEX(GroupVertices[Group],MATCH(Edges[[#This Row],[Vertex 2]],GroupVertices[Vertex],0)),1,1,"")</f>
        <v>1</v>
      </c>
      <c r="AH561" s="111">
        <v>0</v>
      </c>
      <c r="AI561" s="112">
        <v>0</v>
      </c>
      <c r="AJ561" s="111">
        <v>1</v>
      </c>
      <c r="AK561" s="112">
        <v>10</v>
      </c>
      <c r="AL561" s="111">
        <v>0</v>
      </c>
      <c r="AM561" s="112">
        <v>0</v>
      </c>
      <c r="AN561" s="111">
        <v>9</v>
      </c>
      <c r="AO561" s="112">
        <v>90</v>
      </c>
      <c r="AP561" s="111">
        <v>10</v>
      </c>
    </row>
    <row r="562" spans="1:42" ht="15">
      <c r="A562" s="65" t="s">
        <v>661</v>
      </c>
      <c r="B562" s="65" t="s">
        <v>553</v>
      </c>
      <c r="C562" s="66" t="s">
        <v>4651</v>
      </c>
      <c r="D562" s="67">
        <v>3</v>
      </c>
      <c r="E562" s="68"/>
      <c r="F562" s="69">
        <v>40</v>
      </c>
      <c r="G562" s="66"/>
      <c r="H562" s="70"/>
      <c r="I562" s="71"/>
      <c r="J562" s="71"/>
      <c r="K562" s="35" t="s">
        <v>65</v>
      </c>
      <c r="L562" s="79">
        <v>562</v>
      </c>
      <c r="M562" s="79"/>
      <c r="N562" s="73"/>
      <c r="O562" s="81" t="s">
        <v>844</v>
      </c>
      <c r="P562" s="81" t="s">
        <v>199</v>
      </c>
      <c r="Q562" s="84" t="s">
        <v>1384</v>
      </c>
      <c r="R562" s="81" t="s">
        <v>661</v>
      </c>
      <c r="S562" s="81" t="s">
        <v>2020</v>
      </c>
      <c r="T562" s="86" t="str">
        <f>HYPERLINK("http://www.youtube.com/channel/UCjN7LTeOOdilDQYZ-eC1xpg")</f>
        <v>http://www.youtube.com/channel/UCjN7LTeOOdilDQYZ-eC1xpg</v>
      </c>
      <c r="U562" s="81"/>
      <c r="V562" s="81" t="s">
        <v>2329</v>
      </c>
      <c r="W562" s="86" t="str">
        <f>HYPERLINK("https://www.youtube.com/watch?v=QYWNXp36O48")</f>
        <v>https://www.youtube.com/watch?v=QYWNXp36O48</v>
      </c>
      <c r="X562" s="81" t="s">
        <v>2349</v>
      </c>
      <c r="Y562" s="81">
        <v>4</v>
      </c>
      <c r="Z562" s="88">
        <v>43627.761967592596</v>
      </c>
      <c r="AA562" s="88">
        <v>43627.761967592596</v>
      </c>
      <c r="AB562" s="81"/>
      <c r="AC562" s="81"/>
      <c r="AD562" s="84" t="s">
        <v>2390</v>
      </c>
      <c r="AE562" s="82">
        <v>1</v>
      </c>
      <c r="AF562" s="83" t="str">
        <f>REPLACE(INDEX(GroupVertices[Group],MATCH(Edges[[#This Row],[Vertex 1]],GroupVertices[Vertex],0)),1,1,"")</f>
        <v>1</v>
      </c>
      <c r="AG562" s="83" t="str">
        <f>REPLACE(INDEX(GroupVertices[Group],MATCH(Edges[[#This Row],[Vertex 2]],GroupVertices[Vertex],0)),1,1,"")</f>
        <v>1</v>
      </c>
      <c r="AH562" s="111">
        <v>2</v>
      </c>
      <c r="AI562" s="112">
        <v>5.128205128205129</v>
      </c>
      <c r="AJ562" s="111">
        <v>0</v>
      </c>
      <c r="AK562" s="112">
        <v>0</v>
      </c>
      <c r="AL562" s="111">
        <v>0</v>
      </c>
      <c r="AM562" s="112">
        <v>0</v>
      </c>
      <c r="AN562" s="111">
        <v>37</v>
      </c>
      <c r="AO562" s="112">
        <v>94.87179487179488</v>
      </c>
      <c r="AP562" s="111">
        <v>39</v>
      </c>
    </row>
    <row r="563" spans="1:42" ht="15">
      <c r="A563" s="65" t="s">
        <v>662</v>
      </c>
      <c r="B563" s="65" t="s">
        <v>553</v>
      </c>
      <c r="C563" s="66" t="s">
        <v>4651</v>
      </c>
      <c r="D563" s="67">
        <v>3</v>
      </c>
      <c r="E563" s="68"/>
      <c r="F563" s="69">
        <v>40</v>
      </c>
      <c r="G563" s="66"/>
      <c r="H563" s="70"/>
      <c r="I563" s="71"/>
      <c r="J563" s="71"/>
      <c r="K563" s="35" t="s">
        <v>65</v>
      </c>
      <c r="L563" s="79">
        <v>563</v>
      </c>
      <c r="M563" s="79"/>
      <c r="N563" s="73"/>
      <c r="O563" s="81" t="s">
        <v>844</v>
      </c>
      <c r="P563" s="81" t="s">
        <v>199</v>
      </c>
      <c r="Q563" s="84" t="s">
        <v>1385</v>
      </c>
      <c r="R563" s="81" t="s">
        <v>662</v>
      </c>
      <c r="S563" s="81" t="s">
        <v>2021</v>
      </c>
      <c r="T563" s="86" t="str">
        <f>HYPERLINK("http://www.youtube.com/channel/UCOuxgaoH-DORb6EsvIVz2tQ")</f>
        <v>http://www.youtube.com/channel/UCOuxgaoH-DORb6EsvIVz2tQ</v>
      </c>
      <c r="U563" s="81"/>
      <c r="V563" s="81" t="s">
        <v>2329</v>
      </c>
      <c r="W563" s="86" t="str">
        <f>HYPERLINK("https://www.youtube.com/watch?v=QYWNXp36O48")</f>
        <v>https://www.youtube.com/watch?v=QYWNXp36O48</v>
      </c>
      <c r="X563" s="81" t="s">
        <v>2349</v>
      </c>
      <c r="Y563" s="81">
        <v>1</v>
      </c>
      <c r="Z563" s="88">
        <v>43630.44987268518</v>
      </c>
      <c r="AA563" s="88">
        <v>43630.44987268518</v>
      </c>
      <c r="AB563" s="81"/>
      <c r="AC563" s="81"/>
      <c r="AD563" s="84" t="s">
        <v>2390</v>
      </c>
      <c r="AE563" s="82">
        <v>1</v>
      </c>
      <c r="AF563" s="83" t="str">
        <f>REPLACE(INDEX(GroupVertices[Group],MATCH(Edges[[#This Row],[Vertex 1]],GroupVertices[Vertex],0)),1,1,"")</f>
        <v>1</v>
      </c>
      <c r="AG563" s="83" t="str">
        <f>REPLACE(INDEX(GroupVertices[Group],MATCH(Edges[[#This Row],[Vertex 2]],GroupVertices[Vertex],0)),1,1,"")</f>
        <v>1</v>
      </c>
      <c r="AH563" s="111">
        <v>0</v>
      </c>
      <c r="AI563" s="112">
        <v>0</v>
      </c>
      <c r="AJ563" s="111">
        <v>0</v>
      </c>
      <c r="AK563" s="112">
        <v>0</v>
      </c>
      <c r="AL563" s="111">
        <v>0</v>
      </c>
      <c r="AM563" s="112">
        <v>0</v>
      </c>
      <c r="AN563" s="111">
        <v>9</v>
      </c>
      <c r="AO563" s="112">
        <v>100</v>
      </c>
      <c r="AP563" s="111">
        <v>9</v>
      </c>
    </row>
    <row r="564" spans="1:42" ht="15">
      <c r="A564" s="65" t="s">
        <v>663</v>
      </c>
      <c r="B564" s="65" t="s">
        <v>553</v>
      </c>
      <c r="C564" s="66" t="s">
        <v>4651</v>
      </c>
      <c r="D564" s="67">
        <v>3</v>
      </c>
      <c r="E564" s="68"/>
      <c r="F564" s="69">
        <v>40</v>
      </c>
      <c r="G564" s="66"/>
      <c r="H564" s="70"/>
      <c r="I564" s="71"/>
      <c r="J564" s="71"/>
      <c r="K564" s="35" t="s">
        <v>65</v>
      </c>
      <c r="L564" s="79">
        <v>564</v>
      </c>
      <c r="M564" s="79"/>
      <c r="N564" s="73"/>
      <c r="O564" s="81" t="s">
        <v>844</v>
      </c>
      <c r="P564" s="81" t="s">
        <v>199</v>
      </c>
      <c r="Q564" s="84" t="s">
        <v>1386</v>
      </c>
      <c r="R564" s="81" t="s">
        <v>663</v>
      </c>
      <c r="S564" s="81" t="s">
        <v>2022</v>
      </c>
      <c r="T564" s="86" t="str">
        <f>HYPERLINK("http://www.youtube.com/channel/UCkyhQjfYcfZUau9Biy8SWVQ")</f>
        <v>http://www.youtube.com/channel/UCkyhQjfYcfZUau9Biy8SWVQ</v>
      </c>
      <c r="U564" s="81"/>
      <c r="V564" s="81" t="s">
        <v>2329</v>
      </c>
      <c r="W564" s="86" t="str">
        <f>HYPERLINK("https://www.youtube.com/watch?v=QYWNXp36O48")</f>
        <v>https://www.youtube.com/watch?v=QYWNXp36O48</v>
      </c>
      <c r="X564" s="81" t="s">
        <v>2349</v>
      </c>
      <c r="Y564" s="81">
        <v>6</v>
      </c>
      <c r="Z564" s="88">
        <v>43633.956666666665</v>
      </c>
      <c r="AA564" s="88">
        <v>43633.956666666665</v>
      </c>
      <c r="AB564" s="81"/>
      <c r="AC564" s="81"/>
      <c r="AD564" s="84" t="s">
        <v>2390</v>
      </c>
      <c r="AE564" s="82">
        <v>1</v>
      </c>
      <c r="AF564" s="83" t="str">
        <f>REPLACE(INDEX(GroupVertices[Group],MATCH(Edges[[#This Row],[Vertex 1]],GroupVertices[Vertex],0)),1,1,"")</f>
        <v>1</v>
      </c>
      <c r="AG564" s="83" t="str">
        <f>REPLACE(INDEX(GroupVertices[Group],MATCH(Edges[[#This Row],[Vertex 2]],GroupVertices[Vertex],0)),1,1,"")</f>
        <v>1</v>
      </c>
      <c r="AH564" s="111">
        <v>0</v>
      </c>
      <c r="AI564" s="112">
        <v>0</v>
      </c>
      <c r="AJ564" s="111">
        <v>0</v>
      </c>
      <c r="AK564" s="112">
        <v>0</v>
      </c>
      <c r="AL564" s="111">
        <v>0</v>
      </c>
      <c r="AM564" s="112">
        <v>0</v>
      </c>
      <c r="AN564" s="111">
        <v>7</v>
      </c>
      <c r="AO564" s="112">
        <v>100</v>
      </c>
      <c r="AP564" s="111">
        <v>7</v>
      </c>
    </row>
    <row r="565" spans="1:42" ht="15">
      <c r="A565" s="65" t="s">
        <v>597</v>
      </c>
      <c r="B565" s="65" t="s">
        <v>553</v>
      </c>
      <c r="C565" s="66" t="s">
        <v>4651</v>
      </c>
      <c r="D565" s="67">
        <v>3</v>
      </c>
      <c r="E565" s="68"/>
      <c r="F565" s="69">
        <v>40</v>
      </c>
      <c r="G565" s="66"/>
      <c r="H565" s="70"/>
      <c r="I565" s="71"/>
      <c r="J565" s="71"/>
      <c r="K565" s="35" t="s">
        <v>65</v>
      </c>
      <c r="L565" s="79">
        <v>565</v>
      </c>
      <c r="M565" s="79"/>
      <c r="N565" s="73"/>
      <c r="O565" s="81" t="s">
        <v>844</v>
      </c>
      <c r="P565" s="81" t="s">
        <v>199</v>
      </c>
      <c r="Q565" s="84" t="s">
        <v>1387</v>
      </c>
      <c r="R565" s="81" t="s">
        <v>597</v>
      </c>
      <c r="S565" s="81" t="s">
        <v>1956</v>
      </c>
      <c r="T565" s="86" t="str">
        <f>HYPERLINK("http://www.youtube.com/channel/UCdgATLC3qPTQSezm2lpPRiw")</f>
        <v>http://www.youtube.com/channel/UCdgATLC3qPTQSezm2lpPRiw</v>
      </c>
      <c r="U565" s="81"/>
      <c r="V565" s="81" t="s">
        <v>2329</v>
      </c>
      <c r="W565" s="86" t="str">
        <f>HYPERLINK("https://www.youtube.com/watch?v=QYWNXp36O48")</f>
        <v>https://www.youtube.com/watch?v=QYWNXp36O48</v>
      </c>
      <c r="X565" s="81" t="s">
        <v>2349</v>
      </c>
      <c r="Y565" s="81">
        <v>3</v>
      </c>
      <c r="Z565" s="88">
        <v>43633.959398148145</v>
      </c>
      <c r="AA565" s="88">
        <v>43633.959398148145</v>
      </c>
      <c r="AB565" s="81"/>
      <c r="AC565" s="81"/>
      <c r="AD565" s="84" t="s">
        <v>2390</v>
      </c>
      <c r="AE565" s="82">
        <v>1</v>
      </c>
      <c r="AF565" s="83" t="str">
        <f>REPLACE(INDEX(GroupVertices[Group],MATCH(Edges[[#This Row],[Vertex 1]],GroupVertices[Vertex],0)),1,1,"")</f>
        <v>1</v>
      </c>
      <c r="AG565" s="83" t="str">
        <f>REPLACE(INDEX(GroupVertices[Group],MATCH(Edges[[#This Row],[Vertex 2]],GroupVertices[Vertex],0)),1,1,"")</f>
        <v>1</v>
      </c>
      <c r="AH565" s="111">
        <v>0</v>
      </c>
      <c r="AI565" s="112">
        <v>0</v>
      </c>
      <c r="AJ565" s="111">
        <v>1</v>
      </c>
      <c r="AK565" s="112">
        <v>7.6923076923076925</v>
      </c>
      <c r="AL565" s="111">
        <v>0</v>
      </c>
      <c r="AM565" s="112">
        <v>0</v>
      </c>
      <c r="AN565" s="111">
        <v>12</v>
      </c>
      <c r="AO565" s="112">
        <v>92.3076923076923</v>
      </c>
      <c r="AP565" s="111">
        <v>13</v>
      </c>
    </row>
    <row r="566" spans="1:42" ht="15">
      <c r="A566" s="65" t="s">
        <v>664</v>
      </c>
      <c r="B566" s="65" t="s">
        <v>667</v>
      </c>
      <c r="C566" s="66" t="s">
        <v>4651</v>
      </c>
      <c r="D566" s="67">
        <v>3</v>
      </c>
      <c r="E566" s="68"/>
      <c r="F566" s="69">
        <v>40</v>
      </c>
      <c r="G566" s="66"/>
      <c r="H566" s="70"/>
      <c r="I566" s="71"/>
      <c r="J566" s="71"/>
      <c r="K566" s="35" t="s">
        <v>65</v>
      </c>
      <c r="L566" s="79">
        <v>566</v>
      </c>
      <c r="M566" s="79"/>
      <c r="N566" s="73"/>
      <c r="O566" s="81" t="s">
        <v>845</v>
      </c>
      <c r="P566" s="81" t="s">
        <v>847</v>
      </c>
      <c r="Q566" s="84" t="s">
        <v>1388</v>
      </c>
      <c r="R566" s="81" t="s">
        <v>664</v>
      </c>
      <c r="S566" s="81" t="s">
        <v>2023</v>
      </c>
      <c r="T566" s="86" t="str">
        <f>HYPERLINK("http://www.youtube.com/channel/UCHvnH0Fq28LF9CX-LOOWwCg")</f>
        <v>http://www.youtube.com/channel/UCHvnH0Fq28LF9CX-LOOWwCg</v>
      </c>
      <c r="U566" s="81" t="s">
        <v>2277</v>
      </c>
      <c r="V566" s="81" t="s">
        <v>2329</v>
      </c>
      <c r="W566" s="86" t="str">
        <f>HYPERLINK("https://www.youtube.com/watch?v=QYWNXp36O48")</f>
        <v>https://www.youtube.com/watch?v=QYWNXp36O48</v>
      </c>
      <c r="X566" s="81" t="s">
        <v>2349</v>
      </c>
      <c r="Y566" s="81">
        <v>2</v>
      </c>
      <c r="Z566" s="88">
        <v>43778.69417824074</v>
      </c>
      <c r="AA566" s="88">
        <v>43778.69417824074</v>
      </c>
      <c r="AB566" s="81"/>
      <c r="AC566" s="81"/>
      <c r="AD566" s="84" t="s">
        <v>2390</v>
      </c>
      <c r="AE566" s="82">
        <v>1</v>
      </c>
      <c r="AF566" s="83" t="str">
        <f>REPLACE(INDEX(GroupVertices[Group],MATCH(Edges[[#This Row],[Vertex 1]],GroupVertices[Vertex],0)),1,1,"")</f>
        <v>17</v>
      </c>
      <c r="AG566" s="83" t="str">
        <f>REPLACE(INDEX(GroupVertices[Group],MATCH(Edges[[#This Row],[Vertex 2]],GroupVertices[Vertex],0)),1,1,"")</f>
        <v>17</v>
      </c>
      <c r="AH566" s="111">
        <v>1</v>
      </c>
      <c r="AI566" s="112">
        <v>10</v>
      </c>
      <c r="AJ566" s="111">
        <v>1</v>
      </c>
      <c r="AK566" s="112">
        <v>10</v>
      </c>
      <c r="AL566" s="111">
        <v>0</v>
      </c>
      <c r="AM566" s="112">
        <v>0</v>
      </c>
      <c r="AN566" s="111">
        <v>8</v>
      </c>
      <c r="AO566" s="112">
        <v>80</v>
      </c>
      <c r="AP566" s="111">
        <v>10</v>
      </c>
    </row>
    <row r="567" spans="1:42" ht="15">
      <c r="A567" s="65" t="s">
        <v>665</v>
      </c>
      <c r="B567" s="65" t="s">
        <v>667</v>
      </c>
      <c r="C567" s="66" t="s">
        <v>4651</v>
      </c>
      <c r="D567" s="67">
        <v>3</v>
      </c>
      <c r="E567" s="68"/>
      <c r="F567" s="69">
        <v>40</v>
      </c>
      <c r="G567" s="66"/>
      <c r="H567" s="70"/>
      <c r="I567" s="71"/>
      <c r="J567" s="71"/>
      <c r="K567" s="35" t="s">
        <v>65</v>
      </c>
      <c r="L567" s="79">
        <v>567</v>
      </c>
      <c r="M567" s="79"/>
      <c r="N567" s="73"/>
      <c r="O567" s="81" t="s">
        <v>845</v>
      </c>
      <c r="P567" s="81" t="s">
        <v>847</v>
      </c>
      <c r="Q567" s="84" t="s">
        <v>1389</v>
      </c>
      <c r="R567" s="81" t="s">
        <v>665</v>
      </c>
      <c r="S567" s="81" t="s">
        <v>2024</v>
      </c>
      <c r="T567" s="86" t="str">
        <f>HYPERLINK("http://www.youtube.com/channel/UCKdb07gLpfoaRFEHOwmsMDQ")</f>
        <v>http://www.youtube.com/channel/UCKdb07gLpfoaRFEHOwmsMDQ</v>
      </c>
      <c r="U567" s="81" t="s">
        <v>2277</v>
      </c>
      <c r="V567" s="81" t="s">
        <v>2329</v>
      </c>
      <c r="W567" s="86" t="str">
        <f>HYPERLINK("https://www.youtube.com/watch?v=QYWNXp36O48")</f>
        <v>https://www.youtube.com/watch?v=QYWNXp36O48</v>
      </c>
      <c r="X567" s="81" t="s">
        <v>2349</v>
      </c>
      <c r="Y567" s="81">
        <v>1</v>
      </c>
      <c r="Z567" s="88">
        <v>43782.88792824074</v>
      </c>
      <c r="AA567" s="88">
        <v>43782.88792824074</v>
      </c>
      <c r="AB567" s="81"/>
      <c r="AC567" s="81"/>
      <c r="AD567" s="84" t="s">
        <v>2390</v>
      </c>
      <c r="AE567" s="82">
        <v>1</v>
      </c>
      <c r="AF567" s="83" t="str">
        <f>REPLACE(INDEX(GroupVertices[Group],MATCH(Edges[[#This Row],[Vertex 1]],GroupVertices[Vertex],0)),1,1,"")</f>
        <v>17</v>
      </c>
      <c r="AG567" s="83" t="str">
        <f>REPLACE(INDEX(GroupVertices[Group],MATCH(Edges[[#This Row],[Vertex 2]],GroupVertices[Vertex],0)),1,1,"")</f>
        <v>17</v>
      </c>
      <c r="AH567" s="111">
        <v>1</v>
      </c>
      <c r="AI567" s="112">
        <v>6.25</v>
      </c>
      <c r="AJ567" s="111">
        <v>1</v>
      </c>
      <c r="AK567" s="112">
        <v>6.25</v>
      </c>
      <c r="AL567" s="111">
        <v>0</v>
      </c>
      <c r="AM567" s="112">
        <v>0</v>
      </c>
      <c r="AN567" s="111">
        <v>14</v>
      </c>
      <c r="AO567" s="112">
        <v>87.5</v>
      </c>
      <c r="AP567" s="111">
        <v>16</v>
      </c>
    </row>
    <row r="568" spans="1:42" ht="15">
      <c r="A568" s="65" t="s">
        <v>666</v>
      </c>
      <c r="B568" s="65" t="s">
        <v>667</v>
      </c>
      <c r="C568" s="66" t="s">
        <v>4651</v>
      </c>
      <c r="D568" s="67">
        <v>3</v>
      </c>
      <c r="E568" s="68"/>
      <c r="F568" s="69">
        <v>40</v>
      </c>
      <c r="G568" s="66"/>
      <c r="H568" s="70"/>
      <c r="I568" s="71"/>
      <c r="J568" s="71"/>
      <c r="K568" s="35" t="s">
        <v>65</v>
      </c>
      <c r="L568" s="79">
        <v>568</v>
      </c>
      <c r="M568" s="79"/>
      <c r="N568" s="73"/>
      <c r="O568" s="81" t="s">
        <v>845</v>
      </c>
      <c r="P568" s="81" t="s">
        <v>847</v>
      </c>
      <c r="Q568" s="84" t="s">
        <v>1390</v>
      </c>
      <c r="R568" s="81" t="s">
        <v>666</v>
      </c>
      <c r="S568" s="81" t="s">
        <v>2025</v>
      </c>
      <c r="T568" s="86" t="str">
        <f>HYPERLINK("http://www.youtube.com/channel/UCkdMu2dHteksfRJgJRvgeXA")</f>
        <v>http://www.youtube.com/channel/UCkdMu2dHteksfRJgJRvgeXA</v>
      </c>
      <c r="U568" s="81" t="s">
        <v>2277</v>
      </c>
      <c r="V568" s="81" t="s">
        <v>2329</v>
      </c>
      <c r="W568" s="86" t="str">
        <f>HYPERLINK("https://www.youtube.com/watch?v=QYWNXp36O48")</f>
        <v>https://www.youtube.com/watch?v=QYWNXp36O48</v>
      </c>
      <c r="X568" s="81" t="s">
        <v>2349</v>
      </c>
      <c r="Y568" s="81">
        <v>0</v>
      </c>
      <c r="Z568" s="88">
        <v>43926.74109953704</v>
      </c>
      <c r="AA568" s="88">
        <v>43926.74109953704</v>
      </c>
      <c r="AB568" s="81"/>
      <c r="AC568" s="81"/>
      <c r="AD568" s="84" t="s">
        <v>2390</v>
      </c>
      <c r="AE568" s="82">
        <v>1</v>
      </c>
      <c r="AF568" s="83" t="str">
        <f>REPLACE(INDEX(GroupVertices[Group],MATCH(Edges[[#This Row],[Vertex 1]],GroupVertices[Vertex],0)),1,1,"")</f>
        <v>17</v>
      </c>
      <c r="AG568" s="83" t="str">
        <f>REPLACE(INDEX(GroupVertices[Group],MATCH(Edges[[#This Row],[Vertex 2]],GroupVertices[Vertex],0)),1,1,"")</f>
        <v>17</v>
      </c>
      <c r="AH568" s="111">
        <v>2</v>
      </c>
      <c r="AI568" s="112">
        <v>25</v>
      </c>
      <c r="AJ568" s="111">
        <v>0</v>
      </c>
      <c r="AK568" s="112">
        <v>0</v>
      </c>
      <c r="AL568" s="111">
        <v>0</v>
      </c>
      <c r="AM568" s="112">
        <v>0</v>
      </c>
      <c r="AN568" s="111">
        <v>6</v>
      </c>
      <c r="AO568" s="112">
        <v>75</v>
      </c>
      <c r="AP568" s="111">
        <v>8</v>
      </c>
    </row>
    <row r="569" spans="1:42" ht="15">
      <c r="A569" s="65" t="s">
        <v>667</v>
      </c>
      <c r="B569" s="65" t="s">
        <v>553</v>
      </c>
      <c r="C569" s="66" t="s">
        <v>4651</v>
      </c>
      <c r="D569" s="67">
        <v>3</v>
      </c>
      <c r="E569" s="68"/>
      <c r="F569" s="69">
        <v>40</v>
      </c>
      <c r="G569" s="66"/>
      <c r="H569" s="70"/>
      <c r="I569" s="71"/>
      <c r="J569" s="71"/>
      <c r="K569" s="35" t="s">
        <v>65</v>
      </c>
      <c r="L569" s="79">
        <v>569</v>
      </c>
      <c r="M569" s="79"/>
      <c r="N569" s="73"/>
      <c r="O569" s="81" t="s">
        <v>844</v>
      </c>
      <c r="P569" s="81" t="s">
        <v>199</v>
      </c>
      <c r="Q569" s="84" t="s">
        <v>1391</v>
      </c>
      <c r="R569" s="81" t="s">
        <v>667</v>
      </c>
      <c r="S569" s="81" t="s">
        <v>2026</v>
      </c>
      <c r="T569" s="86" t="str">
        <f>HYPERLINK("http://www.youtube.com/channel/UCIbOrSyowVO5brivr77P7Qw")</f>
        <v>http://www.youtube.com/channel/UCIbOrSyowVO5brivr77P7Qw</v>
      </c>
      <c r="U569" s="81"/>
      <c r="V569" s="81" t="s">
        <v>2329</v>
      </c>
      <c r="W569" s="86" t="str">
        <f>HYPERLINK("https://www.youtube.com/watch?v=QYWNXp36O48")</f>
        <v>https://www.youtube.com/watch?v=QYWNXp36O48</v>
      </c>
      <c r="X569" s="81" t="s">
        <v>2349</v>
      </c>
      <c r="Y569" s="81">
        <v>4</v>
      </c>
      <c r="Z569" s="88">
        <v>43693.560902777775</v>
      </c>
      <c r="AA569" s="88">
        <v>43693.560902777775</v>
      </c>
      <c r="AB569" s="81"/>
      <c r="AC569" s="81"/>
      <c r="AD569" s="84" t="s">
        <v>2390</v>
      </c>
      <c r="AE569" s="82">
        <v>1</v>
      </c>
      <c r="AF569" s="83" t="str">
        <f>REPLACE(INDEX(GroupVertices[Group],MATCH(Edges[[#This Row],[Vertex 1]],GroupVertices[Vertex],0)),1,1,"")</f>
        <v>17</v>
      </c>
      <c r="AG569" s="83" t="str">
        <f>REPLACE(INDEX(GroupVertices[Group],MATCH(Edges[[#This Row],[Vertex 2]],GroupVertices[Vertex],0)),1,1,"")</f>
        <v>1</v>
      </c>
      <c r="AH569" s="111">
        <v>0</v>
      </c>
      <c r="AI569" s="112">
        <v>0</v>
      </c>
      <c r="AJ569" s="111">
        <v>0</v>
      </c>
      <c r="AK569" s="112">
        <v>0</v>
      </c>
      <c r="AL569" s="111">
        <v>0</v>
      </c>
      <c r="AM569" s="112">
        <v>0</v>
      </c>
      <c r="AN569" s="111">
        <v>14</v>
      </c>
      <c r="AO569" s="112">
        <v>100</v>
      </c>
      <c r="AP569" s="111">
        <v>14</v>
      </c>
    </row>
    <row r="570" spans="1:42" ht="15">
      <c r="A570" s="65" t="s">
        <v>668</v>
      </c>
      <c r="B570" s="65" t="s">
        <v>669</v>
      </c>
      <c r="C570" s="66" t="s">
        <v>4651</v>
      </c>
      <c r="D570" s="67">
        <v>3</v>
      </c>
      <c r="E570" s="68"/>
      <c r="F570" s="69">
        <v>40</v>
      </c>
      <c r="G570" s="66"/>
      <c r="H570" s="70"/>
      <c r="I570" s="71"/>
      <c r="J570" s="71"/>
      <c r="K570" s="35" t="s">
        <v>65</v>
      </c>
      <c r="L570" s="79">
        <v>570</v>
      </c>
      <c r="M570" s="79"/>
      <c r="N570" s="73"/>
      <c r="O570" s="81" t="s">
        <v>845</v>
      </c>
      <c r="P570" s="81" t="s">
        <v>847</v>
      </c>
      <c r="Q570" s="84" t="s">
        <v>1392</v>
      </c>
      <c r="R570" s="81" t="s">
        <v>668</v>
      </c>
      <c r="S570" s="81" t="s">
        <v>2027</v>
      </c>
      <c r="T570" s="86" t="str">
        <f>HYPERLINK("http://www.youtube.com/channel/UCrvq4-9ue3zD7zQbC1FhHxQ")</f>
        <v>http://www.youtube.com/channel/UCrvq4-9ue3zD7zQbC1FhHxQ</v>
      </c>
      <c r="U570" s="81" t="s">
        <v>2278</v>
      </c>
      <c r="V570" s="81" t="s">
        <v>2329</v>
      </c>
      <c r="W570" s="86" t="str">
        <f>HYPERLINK("https://www.youtube.com/watch?v=QYWNXp36O48")</f>
        <v>https://www.youtube.com/watch?v=QYWNXp36O48</v>
      </c>
      <c r="X570" s="81" t="s">
        <v>2349</v>
      </c>
      <c r="Y570" s="81">
        <v>2</v>
      </c>
      <c r="Z570" s="88">
        <v>44268.659108796295</v>
      </c>
      <c r="AA570" s="88">
        <v>44268.659108796295</v>
      </c>
      <c r="AB570" s="81"/>
      <c r="AC570" s="81"/>
      <c r="AD570" s="84" t="s">
        <v>2390</v>
      </c>
      <c r="AE570" s="82">
        <v>1</v>
      </c>
      <c r="AF570" s="83" t="str">
        <f>REPLACE(INDEX(GroupVertices[Group],MATCH(Edges[[#This Row],[Vertex 1]],GroupVertices[Vertex],0)),1,1,"")</f>
        <v>1</v>
      </c>
      <c r="AG570" s="83" t="str">
        <f>REPLACE(INDEX(GroupVertices[Group],MATCH(Edges[[#This Row],[Vertex 2]],GroupVertices[Vertex],0)),1,1,"")</f>
        <v>1</v>
      </c>
      <c r="AH570" s="111">
        <v>0</v>
      </c>
      <c r="AI570" s="112">
        <v>0</v>
      </c>
      <c r="AJ570" s="111">
        <v>0</v>
      </c>
      <c r="AK570" s="112">
        <v>0</v>
      </c>
      <c r="AL570" s="111">
        <v>0</v>
      </c>
      <c r="AM570" s="112">
        <v>0</v>
      </c>
      <c r="AN570" s="111">
        <v>8</v>
      </c>
      <c r="AO570" s="112">
        <v>100</v>
      </c>
      <c r="AP570" s="111">
        <v>8</v>
      </c>
    </row>
    <row r="571" spans="1:42" ht="15">
      <c r="A571" s="65" t="s">
        <v>669</v>
      </c>
      <c r="B571" s="65" t="s">
        <v>553</v>
      </c>
      <c r="C571" s="66" t="s">
        <v>4651</v>
      </c>
      <c r="D571" s="67">
        <v>3</v>
      </c>
      <c r="E571" s="68"/>
      <c r="F571" s="69">
        <v>40</v>
      </c>
      <c r="G571" s="66"/>
      <c r="H571" s="70"/>
      <c r="I571" s="71"/>
      <c r="J571" s="71"/>
      <c r="K571" s="35" t="s">
        <v>65</v>
      </c>
      <c r="L571" s="79">
        <v>571</v>
      </c>
      <c r="M571" s="79"/>
      <c r="N571" s="73"/>
      <c r="O571" s="81" t="s">
        <v>844</v>
      </c>
      <c r="P571" s="81" t="s">
        <v>199</v>
      </c>
      <c r="Q571" s="84" t="s">
        <v>1393</v>
      </c>
      <c r="R571" s="81" t="s">
        <v>669</v>
      </c>
      <c r="S571" s="81" t="s">
        <v>2028</v>
      </c>
      <c r="T571" s="86" t="str">
        <f>HYPERLINK("http://www.youtube.com/channel/UC5KdbVBELGZM5PzMhwz_4wA")</f>
        <v>http://www.youtube.com/channel/UC5KdbVBELGZM5PzMhwz_4wA</v>
      </c>
      <c r="U571" s="81"/>
      <c r="V571" s="81" t="s">
        <v>2329</v>
      </c>
      <c r="W571" s="86" t="str">
        <f>HYPERLINK("https://www.youtube.com/watch?v=QYWNXp36O48")</f>
        <v>https://www.youtube.com/watch?v=QYWNXp36O48</v>
      </c>
      <c r="X571" s="81" t="s">
        <v>2349</v>
      </c>
      <c r="Y571" s="81">
        <v>81</v>
      </c>
      <c r="Z571" s="88">
        <v>43747.92135416667</v>
      </c>
      <c r="AA571" s="88">
        <v>43747.92135416667</v>
      </c>
      <c r="AB571" s="81"/>
      <c r="AC571" s="81"/>
      <c r="AD571" s="84" t="s">
        <v>2390</v>
      </c>
      <c r="AE571" s="82">
        <v>1</v>
      </c>
      <c r="AF571" s="83" t="str">
        <f>REPLACE(INDEX(GroupVertices[Group],MATCH(Edges[[#This Row],[Vertex 1]],GroupVertices[Vertex],0)),1,1,"")</f>
        <v>1</v>
      </c>
      <c r="AG571" s="83" t="str">
        <f>REPLACE(INDEX(GroupVertices[Group],MATCH(Edges[[#This Row],[Vertex 2]],GroupVertices[Vertex],0)),1,1,"")</f>
        <v>1</v>
      </c>
      <c r="AH571" s="111">
        <v>0</v>
      </c>
      <c r="AI571" s="112">
        <v>0</v>
      </c>
      <c r="AJ571" s="111">
        <v>0</v>
      </c>
      <c r="AK571" s="112">
        <v>0</v>
      </c>
      <c r="AL571" s="111">
        <v>0</v>
      </c>
      <c r="AM571" s="112">
        <v>0</v>
      </c>
      <c r="AN571" s="111">
        <v>6</v>
      </c>
      <c r="AO571" s="112">
        <v>100</v>
      </c>
      <c r="AP571" s="111">
        <v>6</v>
      </c>
    </row>
    <row r="572" spans="1:42" ht="15">
      <c r="A572" s="65" t="s">
        <v>670</v>
      </c>
      <c r="B572" s="65" t="s">
        <v>553</v>
      </c>
      <c r="C572" s="66" t="s">
        <v>4651</v>
      </c>
      <c r="D572" s="67">
        <v>3</v>
      </c>
      <c r="E572" s="68"/>
      <c r="F572" s="69">
        <v>40</v>
      </c>
      <c r="G572" s="66"/>
      <c r="H572" s="70"/>
      <c r="I572" s="71"/>
      <c r="J572" s="71"/>
      <c r="K572" s="35" t="s">
        <v>65</v>
      </c>
      <c r="L572" s="79">
        <v>572</v>
      </c>
      <c r="M572" s="79"/>
      <c r="N572" s="73"/>
      <c r="O572" s="81" t="s">
        <v>844</v>
      </c>
      <c r="P572" s="81" t="s">
        <v>199</v>
      </c>
      <c r="Q572" s="84" t="s">
        <v>1394</v>
      </c>
      <c r="R572" s="81" t="s">
        <v>670</v>
      </c>
      <c r="S572" s="81" t="s">
        <v>2029</v>
      </c>
      <c r="T572" s="86" t="str">
        <f>HYPERLINK("http://www.youtube.com/channel/UC48sVYoCWpdhnNhGvTaK81Q")</f>
        <v>http://www.youtube.com/channel/UC48sVYoCWpdhnNhGvTaK81Q</v>
      </c>
      <c r="U572" s="81"/>
      <c r="V572" s="81" t="s">
        <v>2329</v>
      </c>
      <c r="W572" s="86" t="str">
        <f>HYPERLINK("https://www.youtube.com/watch?v=QYWNXp36O48")</f>
        <v>https://www.youtube.com/watch?v=QYWNXp36O48</v>
      </c>
      <c r="X572" s="81" t="s">
        <v>2349</v>
      </c>
      <c r="Y572" s="81">
        <v>5</v>
      </c>
      <c r="Z572" s="88">
        <v>43779.433969907404</v>
      </c>
      <c r="AA572" s="88">
        <v>43779.433969907404</v>
      </c>
      <c r="AB572" s="81"/>
      <c r="AC572" s="81"/>
      <c r="AD572" s="84" t="s">
        <v>2390</v>
      </c>
      <c r="AE572" s="82">
        <v>1</v>
      </c>
      <c r="AF572" s="83" t="str">
        <f>REPLACE(INDEX(GroupVertices[Group],MATCH(Edges[[#This Row],[Vertex 1]],GroupVertices[Vertex],0)),1,1,"")</f>
        <v>1</v>
      </c>
      <c r="AG572" s="83" t="str">
        <f>REPLACE(INDEX(GroupVertices[Group],MATCH(Edges[[#This Row],[Vertex 2]],GroupVertices[Vertex],0)),1,1,"")</f>
        <v>1</v>
      </c>
      <c r="AH572" s="111">
        <v>0</v>
      </c>
      <c r="AI572" s="112">
        <v>0</v>
      </c>
      <c r="AJ572" s="111">
        <v>0</v>
      </c>
      <c r="AK572" s="112">
        <v>0</v>
      </c>
      <c r="AL572" s="111">
        <v>0</v>
      </c>
      <c r="AM572" s="112">
        <v>0</v>
      </c>
      <c r="AN572" s="111">
        <v>6</v>
      </c>
      <c r="AO572" s="112">
        <v>100</v>
      </c>
      <c r="AP572" s="111">
        <v>6</v>
      </c>
    </row>
    <row r="573" spans="1:42" ht="15">
      <c r="A573" s="65" t="s">
        <v>671</v>
      </c>
      <c r="B573" s="65" t="s">
        <v>553</v>
      </c>
      <c r="C573" s="66" t="s">
        <v>4651</v>
      </c>
      <c r="D573" s="67">
        <v>3</v>
      </c>
      <c r="E573" s="68"/>
      <c r="F573" s="69">
        <v>40</v>
      </c>
      <c r="G573" s="66"/>
      <c r="H573" s="70"/>
      <c r="I573" s="71"/>
      <c r="J573" s="71"/>
      <c r="K573" s="35" t="s">
        <v>65</v>
      </c>
      <c r="L573" s="79">
        <v>573</v>
      </c>
      <c r="M573" s="79"/>
      <c r="N573" s="73"/>
      <c r="O573" s="81" t="s">
        <v>844</v>
      </c>
      <c r="P573" s="81" t="s">
        <v>199</v>
      </c>
      <c r="Q573" s="84" t="s">
        <v>1395</v>
      </c>
      <c r="R573" s="81" t="s">
        <v>671</v>
      </c>
      <c r="S573" s="81" t="s">
        <v>2030</v>
      </c>
      <c r="T573" s="86" t="str">
        <f>HYPERLINK("http://www.youtube.com/channel/UCITVf0ZheF8SsTFvr4P1QmA")</f>
        <v>http://www.youtube.com/channel/UCITVf0ZheF8SsTFvr4P1QmA</v>
      </c>
      <c r="U573" s="81"/>
      <c r="V573" s="81" t="s">
        <v>2329</v>
      </c>
      <c r="W573" s="86" t="str">
        <f>HYPERLINK("https://www.youtube.com/watch?v=QYWNXp36O48")</f>
        <v>https://www.youtube.com/watch?v=QYWNXp36O48</v>
      </c>
      <c r="X573" s="81" t="s">
        <v>2349</v>
      </c>
      <c r="Y573" s="81">
        <v>63</v>
      </c>
      <c r="Z573" s="88">
        <v>43787.06662037037</v>
      </c>
      <c r="AA573" s="88">
        <v>43787.06662037037</v>
      </c>
      <c r="AB573" s="81"/>
      <c r="AC573" s="81"/>
      <c r="AD573" s="84" t="s">
        <v>2390</v>
      </c>
      <c r="AE573" s="82">
        <v>1</v>
      </c>
      <c r="AF573" s="83" t="str">
        <f>REPLACE(INDEX(GroupVertices[Group],MATCH(Edges[[#This Row],[Vertex 1]],GroupVertices[Vertex],0)),1,1,"")</f>
        <v>1</v>
      </c>
      <c r="AG573" s="83" t="str">
        <f>REPLACE(INDEX(GroupVertices[Group],MATCH(Edges[[#This Row],[Vertex 2]],GroupVertices[Vertex],0)),1,1,"")</f>
        <v>1</v>
      </c>
      <c r="AH573" s="111">
        <v>1</v>
      </c>
      <c r="AI573" s="112">
        <v>4</v>
      </c>
      <c r="AJ573" s="111">
        <v>0</v>
      </c>
      <c r="AK573" s="112">
        <v>0</v>
      </c>
      <c r="AL573" s="111">
        <v>0</v>
      </c>
      <c r="AM573" s="112">
        <v>0</v>
      </c>
      <c r="AN573" s="111">
        <v>24</v>
      </c>
      <c r="AO573" s="112">
        <v>96</v>
      </c>
      <c r="AP573" s="111">
        <v>25</v>
      </c>
    </row>
    <row r="574" spans="1:42" ht="15">
      <c r="A574" s="65" t="s">
        <v>672</v>
      </c>
      <c r="B574" s="65" t="s">
        <v>553</v>
      </c>
      <c r="C574" s="66" t="s">
        <v>4651</v>
      </c>
      <c r="D574" s="67">
        <v>3</v>
      </c>
      <c r="E574" s="68"/>
      <c r="F574" s="69">
        <v>40</v>
      </c>
      <c r="G574" s="66"/>
      <c r="H574" s="70"/>
      <c r="I574" s="71"/>
      <c r="J574" s="71"/>
      <c r="K574" s="35" t="s">
        <v>65</v>
      </c>
      <c r="L574" s="79">
        <v>574</v>
      </c>
      <c r="M574" s="79"/>
      <c r="N574" s="73"/>
      <c r="O574" s="81" t="s">
        <v>844</v>
      </c>
      <c r="P574" s="81" t="s">
        <v>199</v>
      </c>
      <c r="Q574" s="84" t="s">
        <v>1396</v>
      </c>
      <c r="R574" s="81" t="s">
        <v>672</v>
      </c>
      <c r="S574" s="81" t="s">
        <v>2031</v>
      </c>
      <c r="T574" s="86" t="str">
        <f>HYPERLINK("http://www.youtube.com/channel/UCrmJq1swDtEgpnj8Ea89Ksw")</f>
        <v>http://www.youtube.com/channel/UCrmJq1swDtEgpnj8Ea89Ksw</v>
      </c>
      <c r="U574" s="81"/>
      <c r="V574" s="81" t="s">
        <v>2329</v>
      </c>
      <c r="W574" s="86" t="str">
        <f>HYPERLINK("https://www.youtube.com/watch?v=QYWNXp36O48")</f>
        <v>https://www.youtube.com/watch?v=QYWNXp36O48</v>
      </c>
      <c r="X574" s="81" t="s">
        <v>2349</v>
      </c>
      <c r="Y574" s="81">
        <v>21</v>
      </c>
      <c r="Z574" s="88">
        <v>43814.97604166667</v>
      </c>
      <c r="AA574" s="88">
        <v>43814.97604166667</v>
      </c>
      <c r="AB574" s="81"/>
      <c r="AC574" s="81"/>
      <c r="AD574" s="84" t="s">
        <v>2390</v>
      </c>
      <c r="AE574" s="82">
        <v>1</v>
      </c>
      <c r="AF574" s="83" t="str">
        <f>REPLACE(INDEX(GroupVertices[Group],MATCH(Edges[[#This Row],[Vertex 1]],GroupVertices[Vertex],0)),1,1,"")</f>
        <v>1</v>
      </c>
      <c r="AG574" s="83" t="str">
        <f>REPLACE(INDEX(GroupVertices[Group],MATCH(Edges[[#This Row],[Vertex 2]],GroupVertices[Vertex],0)),1,1,"")</f>
        <v>1</v>
      </c>
      <c r="AH574" s="111">
        <v>0</v>
      </c>
      <c r="AI574" s="112">
        <v>0</v>
      </c>
      <c r="AJ574" s="111">
        <v>0</v>
      </c>
      <c r="AK574" s="112">
        <v>0</v>
      </c>
      <c r="AL574" s="111">
        <v>0</v>
      </c>
      <c r="AM574" s="112">
        <v>0</v>
      </c>
      <c r="AN574" s="111">
        <v>9</v>
      </c>
      <c r="AO574" s="112">
        <v>100</v>
      </c>
      <c r="AP574" s="111">
        <v>9</v>
      </c>
    </row>
    <row r="575" spans="1:42" ht="15">
      <c r="A575" s="65" t="s">
        <v>673</v>
      </c>
      <c r="B575" s="65" t="s">
        <v>553</v>
      </c>
      <c r="C575" s="66" t="s">
        <v>4651</v>
      </c>
      <c r="D575" s="67">
        <v>3</v>
      </c>
      <c r="E575" s="68"/>
      <c r="F575" s="69">
        <v>40</v>
      </c>
      <c r="G575" s="66"/>
      <c r="H575" s="70"/>
      <c r="I575" s="71"/>
      <c r="J575" s="71"/>
      <c r="K575" s="35" t="s">
        <v>65</v>
      </c>
      <c r="L575" s="79">
        <v>575</v>
      </c>
      <c r="M575" s="79"/>
      <c r="N575" s="73"/>
      <c r="O575" s="81" t="s">
        <v>844</v>
      </c>
      <c r="P575" s="81" t="s">
        <v>199</v>
      </c>
      <c r="Q575" s="84" t="s">
        <v>1109</v>
      </c>
      <c r="R575" s="81" t="s">
        <v>673</v>
      </c>
      <c r="S575" s="81" t="s">
        <v>2032</v>
      </c>
      <c r="T575" s="86" t="str">
        <f>HYPERLINK("http://www.youtube.com/channel/UC15ptciKdMDVT7X_JU0ly-Q")</f>
        <v>http://www.youtube.com/channel/UC15ptciKdMDVT7X_JU0ly-Q</v>
      </c>
      <c r="U575" s="81"/>
      <c r="V575" s="81" t="s">
        <v>2329</v>
      </c>
      <c r="W575" s="86" t="str">
        <f>HYPERLINK("https://www.youtube.com/watch?v=QYWNXp36O48")</f>
        <v>https://www.youtube.com/watch?v=QYWNXp36O48</v>
      </c>
      <c r="X575" s="81" t="s">
        <v>2349</v>
      </c>
      <c r="Y575" s="81">
        <v>1</v>
      </c>
      <c r="Z575" s="88">
        <v>43836.34275462963</v>
      </c>
      <c r="AA575" s="88">
        <v>43836.34275462963</v>
      </c>
      <c r="AB575" s="81"/>
      <c r="AC575" s="81"/>
      <c r="AD575" s="84" t="s">
        <v>2390</v>
      </c>
      <c r="AE575" s="82">
        <v>1</v>
      </c>
      <c r="AF575" s="83" t="str">
        <f>REPLACE(INDEX(GroupVertices[Group],MATCH(Edges[[#This Row],[Vertex 1]],GroupVertices[Vertex],0)),1,1,"")</f>
        <v>1</v>
      </c>
      <c r="AG575" s="83" t="str">
        <f>REPLACE(INDEX(GroupVertices[Group],MATCH(Edges[[#This Row],[Vertex 2]],GroupVertices[Vertex],0)),1,1,"")</f>
        <v>1</v>
      </c>
      <c r="AH575" s="111">
        <v>0</v>
      </c>
      <c r="AI575" s="112">
        <v>0</v>
      </c>
      <c r="AJ575" s="111">
        <v>0</v>
      </c>
      <c r="AK575" s="112">
        <v>0</v>
      </c>
      <c r="AL575" s="111">
        <v>0</v>
      </c>
      <c r="AM575" s="112">
        <v>0</v>
      </c>
      <c r="AN575" s="111">
        <v>0</v>
      </c>
      <c r="AO575" s="112">
        <v>0</v>
      </c>
      <c r="AP575" s="111">
        <v>0</v>
      </c>
    </row>
    <row r="576" spans="1:42" ht="15">
      <c r="A576" s="65" t="s">
        <v>674</v>
      </c>
      <c r="B576" s="65" t="s">
        <v>553</v>
      </c>
      <c r="C576" s="66" t="s">
        <v>4651</v>
      </c>
      <c r="D576" s="67">
        <v>3</v>
      </c>
      <c r="E576" s="68"/>
      <c r="F576" s="69">
        <v>40</v>
      </c>
      <c r="G576" s="66"/>
      <c r="H576" s="70"/>
      <c r="I576" s="71"/>
      <c r="J576" s="71"/>
      <c r="K576" s="35" t="s">
        <v>65</v>
      </c>
      <c r="L576" s="79">
        <v>576</v>
      </c>
      <c r="M576" s="79"/>
      <c r="N576" s="73"/>
      <c r="O576" s="81" t="s">
        <v>844</v>
      </c>
      <c r="P576" s="81" t="s">
        <v>199</v>
      </c>
      <c r="Q576" s="84" t="s">
        <v>1397</v>
      </c>
      <c r="R576" s="81" t="s">
        <v>674</v>
      </c>
      <c r="S576" s="81" t="s">
        <v>2033</v>
      </c>
      <c r="T576" s="86" t="str">
        <f>HYPERLINK("http://www.youtube.com/channel/UCeEIcvCp29Ahvn-pX3MuU2g")</f>
        <v>http://www.youtube.com/channel/UCeEIcvCp29Ahvn-pX3MuU2g</v>
      </c>
      <c r="U576" s="81"/>
      <c r="V576" s="81" t="s">
        <v>2329</v>
      </c>
      <c r="W576" s="86" t="str">
        <f>HYPERLINK("https://www.youtube.com/watch?v=QYWNXp36O48")</f>
        <v>https://www.youtube.com/watch?v=QYWNXp36O48</v>
      </c>
      <c r="X576" s="81" t="s">
        <v>2349</v>
      </c>
      <c r="Y576" s="81">
        <v>16</v>
      </c>
      <c r="Z576" s="88">
        <v>43879.45508101852</v>
      </c>
      <c r="AA576" s="88">
        <v>43879.45508101852</v>
      </c>
      <c r="AB576" s="81"/>
      <c r="AC576" s="81"/>
      <c r="AD576" s="84" t="s">
        <v>2390</v>
      </c>
      <c r="AE576" s="82">
        <v>1</v>
      </c>
      <c r="AF576" s="83" t="str">
        <f>REPLACE(INDEX(GroupVertices[Group],MATCH(Edges[[#This Row],[Vertex 1]],GroupVertices[Vertex],0)),1,1,"")</f>
        <v>1</v>
      </c>
      <c r="AG576" s="83" t="str">
        <f>REPLACE(INDEX(GroupVertices[Group],MATCH(Edges[[#This Row],[Vertex 2]],GroupVertices[Vertex],0)),1,1,"")</f>
        <v>1</v>
      </c>
      <c r="AH576" s="111">
        <v>0</v>
      </c>
      <c r="AI576" s="112">
        <v>0</v>
      </c>
      <c r="AJ576" s="111">
        <v>2</v>
      </c>
      <c r="AK576" s="112">
        <v>16.666666666666668</v>
      </c>
      <c r="AL576" s="111">
        <v>0</v>
      </c>
      <c r="AM576" s="112">
        <v>0</v>
      </c>
      <c r="AN576" s="111">
        <v>10</v>
      </c>
      <c r="AO576" s="112">
        <v>83.33333333333333</v>
      </c>
      <c r="AP576" s="111">
        <v>12</v>
      </c>
    </row>
    <row r="577" spans="1:42" ht="15">
      <c r="A577" s="65" t="s">
        <v>675</v>
      </c>
      <c r="B577" s="65" t="s">
        <v>553</v>
      </c>
      <c r="C577" s="66" t="s">
        <v>4651</v>
      </c>
      <c r="D577" s="67">
        <v>3</v>
      </c>
      <c r="E577" s="68"/>
      <c r="F577" s="69">
        <v>40</v>
      </c>
      <c r="G577" s="66"/>
      <c r="H577" s="70"/>
      <c r="I577" s="71"/>
      <c r="J577" s="71"/>
      <c r="K577" s="35" t="s">
        <v>65</v>
      </c>
      <c r="L577" s="79">
        <v>577</v>
      </c>
      <c r="M577" s="79"/>
      <c r="N577" s="73"/>
      <c r="O577" s="81" t="s">
        <v>844</v>
      </c>
      <c r="P577" s="81" t="s">
        <v>199</v>
      </c>
      <c r="Q577" s="84" t="s">
        <v>1398</v>
      </c>
      <c r="R577" s="81" t="s">
        <v>675</v>
      </c>
      <c r="S577" s="81" t="s">
        <v>2034</v>
      </c>
      <c r="T577" s="86" t="str">
        <f>HYPERLINK("http://www.youtube.com/channel/UC78MDprcXiyqLsbcVxuysgw")</f>
        <v>http://www.youtube.com/channel/UC78MDprcXiyqLsbcVxuysgw</v>
      </c>
      <c r="U577" s="81"/>
      <c r="V577" s="81" t="s">
        <v>2329</v>
      </c>
      <c r="W577" s="86" t="str">
        <f>HYPERLINK("https://www.youtube.com/watch?v=QYWNXp36O48")</f>
        <v>https://www.youtube.com/watch?v=QYWNXp36O48</v>
      </c>
      <c r="X577" s="81" t="s">
        <v>2349</v>
      </c>
      <c r="Y577" s="81">
        <v>6</v>
      </c>
      <c r="Z577" s="88">
        <v>43907.82144675926</v>
      </c>
      <c r="AA577" s="88">
        <v>43907.82144675926</v>
      </c>
      <c r="AB577" s="81"/>
      <c r="AC577" s="81"/>
      <c r="AD577" s="84" t="s">
        <v>2390</v>
      </c>
      <c r="AE577" s="82">
        <v>1</v>
      </c>
      <c r="AF577" s="83" t="str">
        <f>REPLACE(INDEX(GroupVertices[Group],MATCH(Edges[[#This Row],[Vertex 1]],GroupVertices[Vertex],0)),1,1,"")</f>
        <v>1</v>
      </c>
      <c r="AG577" s="83" t="str">
        <f>REPLACE(INDEX(GroupVertices[Group],MATCH(Edges[[#This Row],[Vertex 2]],GroupVertices[Vertex],0)),1,1,"")</f>
        <v>1</v>
      </c>
      <c r="AH577" s="111">
        <v>0</v>
      </c>
      <c r="AI577" s="112">
        <v>0</v>
      </c>
      <c r="AJ577" s="111">
        <v>1</v>
      </c>
      <c r="AK577" s="112">
        <v>14.285714285714286</v>
      </c>
      <c r="AL577" s="111">
        <v>0</v>
      </c>
      <c r="AM577" s="112">
        <v>0</v>
      </c>
      <c r="AN577" s="111">
        <v>6</v>
      </c>
      <c r="AO577" s="112">
        <v>85.71428571428571</v>
      </c>
      <c r="AP577" s="111">
        <v>7</v>
      </c>
    </row>
    <row r="578" spans="1:42" ht="15">
      <c r="A578" s="65" t="s">
        <v>676</v>
      </c>
      <c r="B578" s="65" t="s">
        <v>677</v>
      </c>
      <c r="C578" s="66" t="s">
        <v>4651</v>
      </c>
      <c r="D578" s="67">
        <v>3</v>
      </c>
      <c r="E578" s="68"/>
      <c r="F578" s="69">
        <v>40</v>
      </c>
      <c r="G578" s="66"/>
      <c r="H578" s="70"/>
      <c r="I578" s="71"/>
      <c r="J578" s="71"/>
      <c r="K578" s="35" t="s">
        <v>65</v>
      </c>
      <c r="L578" s="79">
        <v>578</v>
      </c>
      <c r="M578" s="79"/>
      <c r="N578" s="73"/>
      <c r="O578" s="81" t="s">
        <v>845</v>
      </c>
      <c r="P578" s="81" t="s">
        <v>847</v>
      </c>
      <c r="Q578" s="84" t="s">
        <v>1399</v>
      </c>
      <c r="R578" s="81" t="s">
        <v>676</v>
      </c>
      <c r="S578" s="81" t="s">
        <v>2035</v>
      </c>
      <c r="T578" s="86" t="str">
        <f>HYPERLINK("http://www.youtube.com/channel/UCJpZnHucve5c5fedvmEovsA")</f>
        <v>http://www.youtube.com/channel/UCJpZnHucve5c5fedvmEovsA</v>
      </c>
      <c r="U578" s="81" t="s">
        <v>2279</v>
      </c>
      <c r="V578" s="81" t="s">
        <v>2329</v>
      </c>
      <c r="W578" s="86" t="str">
        <f>HYPERLINK("https://www.youtube.com/watch?v=QYWNXp36O48")</f>
        <v>https://www.youtube.com/watch?v=QYWNXp36O48</v>
      </c>
      <c r="X578" s="81" t="s">
        <v>2349</v>
      </c>
      <c r="Y578" s="81">
        <v>3</v>
      </c>
      <c r="Z578" s="88">
        <v>43932.8428125</v>
      </c>
      <c r="AA578" s="88">
        <v>43932.8428125</v>
      </c>
      <c r="AB578" s="81"/>
      <c r="AC578" s="81"/>
      <c r="AD578" s="84" t="s">
        <v>2390</v>
      </c>
      <c r="AE578" s="82">
        <v>1</v>
      </c>
      <c r="AF578" s="83" t="str">
        <f>REPLACE(INDEX(GroupVertices[Group],MATCH(Edges[[#This Row],[Vertex 1]],GroupVertices[Vertex],0)),1,1,"")</f>
        <v>1</v>
      </c>
      <c r="AG578" s="83" t="str">
        <f>REPLACE(INDEX(GroupVertices[Group],MATCH(Edges[[#This Row],[Vertex 2]],GroupVertices[Vertex],0)),1,1,"")</f>
        <v>1</v>
      </c>
      <c r="AH578" s="111">
        <v>0</v>
      </c>
      <c r="AI578" s="112">
        <v>0</v>
      </c>
      <c r="AJ578" s="111">
        <v>1</v>
      </c>
      <c r="AK578" s="112">
        <v>25</v>
      </c>
      <c r="AL578" s="111">
        <v>0</v>
      </c>
      <c r="AM578" s="112">
        <v>0</v>
      </c>
      <c r="AN578" s="111">
        <v>3</v>
      </c>
      <c r="AO578" s="112">
        <v>75</v>
      </c>
      <c r="AP578" s="111">
        <v>4</v>
      </c>
    </row>
    <row r="579" spans="1:42" ht="15">
      <c r="A579" s="65" t="s">
        <v>677</v>
      </c>
      <c r="B579" s="65" t="s">
        <v>553</v>
      </c>
      <c r="C579" s="66" t="s">
        <v>4651</v>
      </c>
      <c r="D579" s="67">
        <v>3</v>
      </c>
      <c r="E579" s="68"/>
      <c r="F579" s="69">
        <v>40</v>
      </c>
      <c r="G579" s="66"/>
      <c r="H579" s="70"/>
      <c r="I579" s="71"/>
      <c r="J579" s="71"/>
      <c r="K579" s="35" t="s">
        <v>65</v>
      </c>
      <c r="L579" s="79">
        <v>579</v>
      </c>
      <c r="M579" s="79"/>
      <c r="N579" s="73"/>
      <c r="O579" s="81" t="s">
        <v>844</v>
      </c>
      <c r="P579" s="81" t="s">
        <v>199</v>
      </c>
      <c r="Q579" s="84" t="s">
        <v>1400</v>
      </c>
      <c r="R579" s="81" t="s">
        <v>677</v>
      </c>
      <c r="S579" s="81" t="s">
        <v>2036</v>
      </c>
      <c r="T579" s="86" t="str">
        <f>HYPERLINK("http://www.youtube.com/channel/UCT7KYqEloUgHKpn3R2dPGwQ")</f>
        <v>http://www.youtube.com/channel/UCT7KYqEloUgHKpn3R2dPGwQ</v>
      </c>
      <c r="U579" s="81"/>
      <c r="V579" s="81" t="s">
        <v>2329</v>
      </c>
      <c r="W579" s="86" t="str">
        <f>HYPERLINK("https://www.youtube.com/watch?v=QYWNXp36O48")</f>
        <v>https://www.youtube.com/watch?v=QYWNXp36O48</v>
      </c>
      <c r="X579" s="81" t="s">
        <v>2349</v>
      </c>
      <c r="Y579" s="81">
        <v>11</v>
      </c>
      <c r="Z579" s="88">
        <v>43913.446921296294</v>
      </c>
      <c r="AA579" s="88">
        <v>43913.446921296294</v>
      </c>
      <c r="AB579" s="81"/>
      <c r="AC579" s="81"/>
      <c r="AD579" s="84" t="s">
        <v>2390</v>
      </c>
      <c r="AE579" s="82">
        <v>1</v>
      </c>
      <c r="AF579" s="83" t="str">
        <f>REPLACE(INDEX(GroupVertices[Group],MATCH(Edges[[#This Row],[Vertex 1]],GroupVertices[Vertex],0)),1,1,"")</f>
        <v>1</v>
      </c>
      <c r="AG579" s="83" t="str">
        <f>REPLACE(INDEX(GroupVertices[Group],MATCH(Edges[[#This Row],[Vertex 2]],GroupVertices[Vertex],0)),1,1,"")</f>
        <v>1</v>
      </c>
      <c r="AH579" s="111">
        <v>1</v>
      </c>
      <c r="AI579" s="112">
        <v>6.666666666666667</v>
      </c>
      <c r="AJ579" s="111">
        <v>1</v>
      </c>
      <c r="AK579" s="112">
        <v>6.666666666666667</v>
      </c>
      <c r="AL579" s="111">
        <v>0</v>
      </c>
      <c r="AM579" s="112">
        <v>0</v>
      </c>
      <c r="AN579" s="111">
        <v>13</v>
      </c>
      <c r="AO579" s="112">
        <v>86.66666666666667</v>
      </c>
      <c r="AP579" s="111">
        <v>15</v>
      </c>
    </row>
    <row r="580" spans="1:42" ht="15">
      <c r="A580" s="65" t="s">
        <v>678</v>
      </c>
      <c r="B580" s="65" t="s">
        <v>553</v>
      </c>
      <c r="C580" s="66" t="s">
        <v>4651</v>
      </c>
      <c r="D580" s="67">
        <v>3</v>
      </c>
      <c r="E580" s="68"/>
      <c r="F580" s="69">
        <v>40</v>
      </c>
      <c r="G580" s="66"/>
      <c r="H580" s="70"/>
      <c r="I580" s="71"/>
      <c r="J580" s="71"/>
      <c r="K580" s="35" t="s">
        <v>65</v>
      </c>
      <c r="L580" s="79">
        <v>580</v>
      </c>
      <c r="M580" s="79"/>
      <c r="N580" s="73"/>
      <c r="O580" s="81" t="s">
        <v>844</v>
      </c>
      <c r="P580" s="81" t="s">
        <v>199</v>
      </c>
      <c r="Q580" s="84" t="s">
        <v>1401</v>
      </c>
      <c r="R580" s="81" t="s">
        <v>678</v>
      </c>
      <c r="S580" s="81" t="s">
        <v>2037</v>
      </c>
      <c r="T580" s="86" t="str">
        <f>HYPERLINK("http://www.youtube.com/channel/UCdRgQZdlDS8Fnsb21g9LC9w")</f>
        <v>http://www.youtube.com/channel/UCdRgQZdlDS8Fnsb21g9LC9w</v>
      </c>
      <c r="U580" s="81"/>
      <c r="V580" s="81" t="s">
        <v>2329</v>
      </c>
      <c r="W580" s="86" t="str">
        <f>HYPERLINK("https://www.youtube.com/watch?v=QYWNXp36O48")</f>
        <v>https://www.youtube.com/watch?v=QYWNXp36O48</v>
      </c>
      <c r="X580" s="81" t="s">
        <v>2349</v>
      </c>
      <c r="Y580" s="81">
        <v>38</v>
      </c>
      <c r="Z580" s="88">
        <v>43913.64945601852</v>
      </c>
      <c r="AA580" s="88">
        <v>43913.64945601852</v>
      </c>
      <c r="AB580" s="81"/>
      <c r="AC580" s="81"/>
      <c r="AD580" s="84" t="s">
        <v>2390</v>
      </c>
      <c r="AE580" s="82">
        <v>1</v>
      </c>
      <c r="AF580" s="83" t="str">
        <f>REPLACE(INDEX(GroupVertices[Group],MATCH(Edges[[#This Row],[Vertex 1]],GroupVertices[Vertex],0)),1,1,"")</f>
        <v>1</v>
      </c>
      <c r="AG580" s="83" t="str">
        <f>REPLACE(INDEX(GroupVertices[Group],MATCH(Edges[[#This Row],[Vertex 2]],GroupVertices[Vertex],0)),1,1,"")</f>
        <v>1</v>
      </c>
      <c r="AH580" s="111">
        <v>0</v>
      </c>
      <c r="AI580" s="112">
        <v>0</v>
      </c>
      <c r="AJ580" s="111">
        <v>0</v>
      </c>
      <c r="AK580" s="112">
        <v>0</v>
      </c>
      <c r="AL580" s="111">
        <v>0</v>
      </c>
      <c r="AM580" s="112">
        <v>0</v>
      </c>
      <c r="AN580" s="111">
        <v>5</v>
      </c>
      <c r="AO580" s="112">
        <v>100</v>
      </c>
      <c r="AP580" s="111">
        <v>5</v>
      </c>
    </row>
    <row r="581" spans="1:42" ht="15">
      <c r="A581" s="65" t="s">
        <v>679</v>
      </c>
      <c r="B581" s="65" t="s">
        <v>553</v>
      </c>
      <c r="C581" s="66" t="s">
        <v>4651</v>
      </c>
      <c r="D581" s="67">
        <v>3</v>
      </c>
      <c r="E581" s="68"/>
      <c r="F581" s="69">
        <v>40</v>
      </c>
      <c r="G581" s="66"/>
      <c r="H581" s="70"/>
      <c r="I581" s="71"/>
      <c r="J581" s="71"/>
      <c r="K581" s="35" t="s">
        <v>65</v>
      </c>
      <c r="L581" s="79">
        <v>581</v>
      </c>
      <c r="M581" s="79"/>
      <c r="N581" s="73"/>
      <c r="O581" s="81" t="s">
        <v>844</v>
      </c>
      <c r="P581" s="81" t="s">
        <v>199</v>
      </c>
      <c r="Q581" s="84" t="s">
        <v>1402</v>
      </c>
      <c r="R581" s="81" t="s">
        <v>679</v>
      </c>
      <c r="S581" s="81" t="s">
        <v>2038</v>
      </c>
      <c r="T581" s="86" t="str">
        <f>HYPERLINK("http://www.youtube.com/channel/UCSsVxmw_XnkCqrW8owfRY8w")</f>
        <v>http://www.youtube.com/channel/UCSsVxmw_XnkCqrW8owfRY8w</v>
      </c>
      <c r="U581" s="81"/>
      <c r="V581" s="81" t="s">
        <v>2329</v>
      </c>
      <c r="W581" s="86" t="str">
        <f>HYPERLINK("https://www.youtube.com/watch?v=QYWNXp36O48")</f>
        <v>https://www.youtube.com/watch?v=QYWNXp36O48</v>
      </c>
      <c r="X581" s="81" t="s">
        <v>2349</v>
      </c>
      <c r="Y581" s="81">
        <v>2</v>
      </c>
      <c r="Z581" s="88">
        <v>43950.47803240741</v>
      </c>
      <c r="AA581" s="88">
        <v>43950.47803240741</v>
      </c>
      <c r="AB581" s="81"/>
      <c r="AC581" s="81"/>
      <c r="AD581" s="84" t="s">
        <v>2390</v>
      </c>
      <c r="AE581" s="82">
        <v>1</v>
      </c>
      <c r="AF581" s="83" t="str">
        <f>REPLACE(INDEX(GroupVertices[Group],MATCH(Edges[[#This Row],[Vertex 1]],GroupVertices[Vertex],0)),1,1,"")</f>
        <v>1</v>
      </c>
      <c r="AG581" s="83" t="str">
        <f>REPLACE(INDEX(GroupVertices[Group],MATCH(Edges[[#This Row],[Vertex 2]],GroupVertices[Vertex],0)),1,1,"")</f>
        <v>1</v>
      </c>
      <c r="AH581" s="111">
        <v>0</v>
      </c>
      <c r="AI581" s="112">
        <v>0</v>
      </c>
      <c r="AJ581" s="111">
        <v>0</v>
      </c>
      <c r="AK581" s="112">
        <v>0</v>
      </c>
      <c r="AL581" s="111">
        <v>0</v>
      </c>
      <c r="AM581" s="112">
        <v>0</v>
      </c>
      <c r="AN581" s="111">
        <v>2</v>
      </c>
      <c r="AO581" s="112">
        <v>100</v>
      </c>
      <c r="AP581" s="111">
        <v>2</v>
      </c>
    </row>
    <row r="582" spans="1:42" ht="15">
      <c r="A582" s="65" t="s">
        <v>582</v>
      </c>
      <c r="B582" s="65" t="s">
        <v>680</v>
      </c>
      <c r="C582" s="66" t="s">
        <v>4651</v>
      </c>
      <c r="D582" s="67">
        <v>3</v>
      </c>
      <c r="E582" s="68"/>
      <c r="F582" s="69">
        <v>40</v>
      </c>
      <c r="G582" s="66"/>
      <c r="H582" s="70"/>
      <c r="I582" s="71"/>
      <c r="J582" s="71"/>
      <c r="K582" s="35" t="s">
        <v>65</v>
      </c>
      <c r="L582" s="79">
        <v>582</v>
      </c>
      <c r="M582" s="79"/>
      <c r="N582" s="73"/>
      <c r="O582" s="81" t="s">
        <v>845</v>
      </c>
      <c r="P582" s="81" t="s">
        <v>847</v>
      </c>
      <c r="Q582" s="84" t="s">
        <v>1403</v>
      </c>
      <c r="R582" s="81" t="s">
        <v>582</v>
      </c>
      <c r="S582" s="81" t="s">
        <v>1941</v>
      </c>
      <c r="T582" s="86" t="str">
        <f>HYPERLINK("http://www.youtube.com/channel/UCYPUDUN5-t9VxaQRI9es0nA")</f>
        <v>http://www.youtube.com/channel/UCYPUDUN5-t9VxaQRI9es0nA</v>
      </c>
      <c r="U582" s="81" t="s">
        <v>2280</v>
      </c>
      <c r="V582" s="81" t="s">
        <v>2329</v>
      </c>
      <c r="W582" s="86" t="str">
        <f>HYPERLINK("https://www.youtube.com/watch?v=QYWNXp36O48")</f>
        <v>https://www.youtube.com/watch?v=QYWNXp36O48</v>
      </c>
      <c r="X582" s="81" t="s">
        <v>2349</v>
      </c>
      <c r="Y582" s="81">
        <v>1</v>
      </c>
      <c r="Z582" s="88">
        <v>44170.95972222222</v>
      </c>
      <c r="AA582" s="88">
        <v>44170.95972222222</v>
      </c>
      <c r="AB582" s="81"/>
      <c r="AC582" s="81"/>
      <c r="AD582" s="84" t="s">
        <v>2390</v>
      </c>
      <c r="AE582" s="82">
        <v>1</v>
      </c>
      <c r="AF582" s="83" t="str">
        <f>REPLACE(INDEX(GroupVertices[Group],MATCH(Edges[[#This Row],[Vertex 1]],GroupVertices[Vertex],0)),1,1,"")</f>
        <v>1</v>
      </c>
      <c r="AG582" s="83" t="str">
        <f>REPLACE(INDEX(GroupVertices[Group],MATCH(Edges[[#This Row],[Vertex 2]],GroupVertices[Vertex],0)),1,1,"")</f>
        <v>1</v>
      </c>
      <c r="AH582" s="111">
        <v>2</v>
      </c>
      <c r="AI582" s="112">
        <v>2.857142857142857</v>
      </c>
      <c r="AJ582" s="111">
        <v>2</v>
      </c>
      <c r="AK582" s="112">
        <v>2.857142857142857</v>
      </c>
      <c r="AL582" s="111">
        <v>0</v>
      </c>
      <c r="AM582" s="112">
        <v>0</v>
      </c>
      <c r="AN582" s="111">
        <v>66</v>
      </c>
      <c r="AO582" s="112">
        <v>94.28571428571429</v>
      </c>
      <c r="AP582" s="111">
        <v>70</v>
      </c>
    </row>
    <row r="583" spans="1:42" ht="15">
      <c r="A583" s="65" t="s">
        <v>680</v>
      </c>
      <c r="B583" s="65" t="s">
        <v>553</v>
      </c>
      <c r="C583" s="66" t="s">
        <v>4651</v>
      </c>
      <c r="D583" s="67">
        <v>3</v>
      </c>
      <c r="E583" s="68"/>
      <c r="F583" s="69">
        <v>40</v>
      </c>
      <c r="G583" s="66"/>
      <c r="H583" s="70"/>
      <c r="I583" s="71"/>
      <c r="J583" s="71"/>
      <c r="K583" s="35" t="s">
        <v>65</v>
      </c>
      <c r="L583" s="79">
        <v>583</v>
      </c>
      <c r="M583" s="79"/>
      <c r="N583" s="73"/>
      <c r="O583" s="81" t="s">
        <v>844</v>
      </c>
      <c r="P583" s="81" t="s">
        <v>199</v>
      </c>
      <c r="Q583" s="84" t="s">
        <v>1404</v>
      </c>
      <c r="R583" s="81" t="s">
        <v>680</v>
      </c>
      <c r="S583" s="81" t="s">
        <v>2039</v>
      </c>
      <c r="T583" s="86" t="str">
        <f>HYPERLINK("http://www.youtube.com/channel/UCBobk-UZMXzncWw48I2tPZw")</f>
        <v>http://www.youtube.com/channel/UCBobk-UZMXzncWw48I2tPZw</v>
      </c>
      <c r="U583" s="81"/>
      <c r="V583" s="81" t="s">
        <v>2329</v>
      </c>
      <c r="W583" s="86" t="str">
        <f>HYPERLINK("https://www.youtube.com/watch?v=QYWNXp36O48")</f>
        <v>https://www.youtube.com/watch?v=QYWNXp36O48</v>
      </c>
      <c r="X583" s="81" t="s">
        <v>2349</v>
      </c>
      <c r="Y583" s="81">
        <v>1</v>
      </c>
      <c r="Z583" s="88">
        <v>43962.881585648145</v>
      </c>
      <c r="AA583" s="88">
        <v>43962.881585648145</v>
      </c>
      <c r="AB583" s="81"/>
      <c r="AC583" s="81"/>
      <c r="AD583" s="84" t="s">
        <v>2390</v>
      </c>
      <c r="AE583" s="82">
        <v>1</v>
      </c>
      <c r="AF583" s="83" t="str">
        <f>REPLACE(INDEX(GroupVertices[Group],MATCH(Edges[[#This Row],[Vertex 1]],GroupVertices[Vertex],0)),1,1,"")</f>
        <v>1</v>
      </c>
      <c r="AG583" s="83" t="str">
        <f>REPLACE(INDEX(GroupVertices[Group],MATCH(Edges[[#This Row],[Vertex 2]],GroupVertices[Vertex],0)),1,1,"")</f>
        <v>1</v>
      </c>
      <c r="AH583" s="111">
        <v>2</v>
      </c>
      <c r="AI583" s="112">
        <v>6.0606060606060606</v>
      </c>
      <c r="AJ583" s="111">
        <v>1</v>
      </c>
      <c r="AK583" s="112">
        <v>3.0303030303030303</v>
      </c>
      <c r="AL583" s="111">
        <v>0</v>
      </c>
      <c r="AM583" s="112">
        <v>0</v>
      </c>
      <c r="AN583" s="111">
        <v>30</v>
      </c>
      <c r="AO583" s="112">
        <v>90.9090909090909</v>
      </c>
      <c r="AP583" s="111">
        <v>33</v>
      </c>
    </row>
    <row r="584" spans="1:42" ht="15">
      <c r="A584" s="65" t="s">
        <v>681</v>
      </c>
      <c r="B584" s="65" t="s">
        <v>683</v>
      </c>
      <c r="C584" s="66" t="s">
        <v>4651</v>
      </c>
      <c r="D584" s="67">
        <v>3</v>
      </c>
      <c r="E584" s="68"/>
      <c r="F584" s="69">
        <v>40</v>
      </c>
      <c r="G584" s="66"/>
      <c r="H584" s="70"/>
      <c r="I584" s="71"/>
      <c r="J584" s="71"/>
      <c r="K584" s="35" t="s">
        <v>65</v>
      </c>
      <c r="L584" s="79">
        <v>584</v>
      </c>
      <c r="M584" s="79"/>
      <c r="N584" s="73"/>
      <c r="O584" s="81" t="s">
        <v>845</v>
      </c>
      <c r="P584" s="81" t="s">
        <v>847</v>
      </c>
      <c r="Q584" s="84" t="s">
        <v>1405</v>
      </c>
      <c r="R584" s="81" t="s">
        <v>681</v>
      </c>
      <c r="S584" s="81" t="s">
        <v>2040</v>
      </c>
      <c r="T584" s="86" t="str">
        <f>HYPERLINK("http://www.youtube.com/channel/UCaikVaVCPBW5plHdS5AyPSw")</f>
        <v>http://www.youtube.com/channel/UCaikVaVCPBW5plHdS5AyPSw</v>
      </c>
      <c r="U584" s="81" t="s">
        <v>2281</v>
      </c>
      <c r="V584" s="81" t="s">
        <v>2329</v>
      </c>
      <c r="W584" s="86" t="str">
        <f>HYPERLINK("https://www.youtube.com/watch?v=QYWNXp36O48")</f>
        <v>https://www.youtube.com/watch?v=QYWNXp36O48</v>
      </c>
      <c r="X584" s="81" t="s">
        <v>2349</v>
      </c>
      <c r="Y584" s="81">
        <v>8</v>
      </c>
      <c r="Z584" s="88">
        <v>44102.86708333333</v>
      </c>
      <c r="AA584" s="88">
        <v>44102.86708333333</v>
      </c>
      <c r="AB584" s="81"/>
      <c r="AC584" s="81"/>
      <c r="AD584" s="84" t="s">
        <v>2390</v>
      </c>
      <c r="AE584" s="82">
        <v>1</v>
      </c>
      <c r="AF584" s="83" t="str">
        <f>REPLACE(INDEX(GroupVertices[Group],MATCH(Edges[[#This Row],[Vertex 1]],GroupVertices[Vertex],0)),1,1,"")</f>
        <v>1</v>
      </c>
      <c r="AG584" s="83" t="str">
        <f>REPLACE(INDEX(GroupVertices[Group],MATCH(Edges[[#This Row],[Vertex 2]],GroupVertices[Vertex],0)),1,1,"")</f>
        <v>1</v>
      </c>
      <c r="AH584" s="111">
        <v>1</v>
      </c>
      <c r="AI584" s="112">
        <v>20</v>
      </c>
      <c r="AJ584" s="111">
        <v>0</v>
      </c>
      <c r="AK584" s="112">
        <v>0</v>
      </c>
      <c r="AL584" s="111">
        <v>0</v>
      </c>
      <c r="AM584" s="112">
        <v>0</v>
      </c>
      <c r="AN584" s="111">
        <v>4</v>
      </c>
      <c r="AO584" s="112">
        <v>80</v>
      </c>
      <c r="AP584" s="111">
        <v>5</v>
      </c>
    </row>
    <row r="585" spans="1:42" ht="15">
      <c r="A585" s="65" t="s">
        <v>682</v>
      </c>
      <c r="B585" s="65" t="s">
        <v>683</v>
      </c>
      <c r="C585" s="66" t="s">
        <v>4651</v>
      </c>
      <c r="D585" s="67">
        <v>3</v>
      </c>
      <c r="E585" s="68"/>
      <c r="F585" s="69">
        <v>40</v>
      </c>
      <c r="G585" s="66"/>
      <c r="H585" s="70"/>
      <c r="I585" s="71"/>
      <c r="J585" s="71"/>
      <c r="K585" s="35" t="s">
        <v>65</v>
      </c>
      <c r="L585" s="79">
        <v>585</v>
      </c>
      <c r="M585" s="79"/>
      <c r="N585" s="73"/>
      <c r="O585" s="81" t="s">
        <v>845</v>
      </c>
      <c r="P585" s="81" t="s">
        <v>847</v>
      </c>
      <c r="Q585" s="84" t="s">
        <v>1406</v>
      </c>
      <c r="R585" s="81" t="s">
        <v>682</v>
      </c>
      <c r="S585" s="81" t="s">
        <v>2041</v>
      </c>
      <c r="T585" s="86" t="str">
        <f>HYPERLINK("http://www.youtube.com/channel/UCO_01HMWiGfhgO-LgeFqHAQ")</f>
        <v>http://www.youtube.com/channel/UCO_01HMWiGfhgO-LgeFqHAQ</v>
      </c>
      <c r="U585" s="81" t="s">
        <v>2281</v>
      </c>
      <c r="V585" s="81" t="s">
        <v>2329</v>
      </c>
      <c r="W585" s="86" t="str">
        <f>HYPERLINK("https://www.youtube.com/watch?v=QYWNXp36O48")</f>
        <v>https://www.youtube.com/watch?v=QYWNXp36O48</v>
      </c>
      <c r="X585" s="81" t="s">
        <v>2349</v>
      </c>
      <c r="Y585" s="81">
        <v>2</v>
      </c>
      <c r="Z585" s="88">
        <v>44132.50116898148</v>
      </c>
      <c r="AA585" s="88">
        <v>44132.50116898148</v>
      </c>
      <c r="AB585" s="81"/>
      <c r="AC585" s="81"/>
      <c r="AD585" s="84" t="s">
        <v>2390</v>
      </c>
      <c r="AE585" s="82">
        <v>1</v>
      </c>
      <c r="AF585" s="83" t="str">
        <f>REPLACE(INDEX(GroupVertices[Group],MATCH(Edges[[#This Row],[Vertex 1]],GroupVertices[Vertex],0)),1,1,"")</f>
        <v>1</v>
      </c>
      <c r="AG585" s="83" t="str">
        <f>REPLACE(INDEX(GroupVertices[Group],MATCH(Edges[[#This Row],[Vertex 2]],GroupVertices[Vertex],0)),1,1,"")</f>
        <v>1</v>
      </c>
      <c r="AH585" s="111">
        <v>0</v>
      </c>
      <c r="AI585" s="112">
        <v>0</v>
      </c>
      <c r="AJ585" s="111">
        <v>0</v>
      </c>
      <c r="AK585" s="112">
        <v>0</v>
      </c>
      <c r="AL585" s="111">
        <v>0</v>
      </c>
      <c r="AM585" s="112">
        <v>0</v>
      </c>
      <c r="AN585" s="111">
        <v>2</v>
      </c>
      <c r="AO585" s="112">
        <v>100</v>
      </c>
      <c r="AP585" s="111">
        <v>2</v>
      </c>
    </row>
    <row r="586" spans="1:42" ht="15">
      <c r="A586" s="65" t="s">
        <v>683</v>
      </c>
      <c r="B586" s="65" t="s">
        <v>553</v>
      </c>
      <c r="C586" s="66" t="s">
        <v>4651</v>
      </c>
      <c r="D586" s="67">
        <v>3</v>
      </c>
      <c r="E586" s="68"/>
      <c r="F586" s="69">
        <v>40</v>
      </c>
      <c r="G586" s="66"/>
      <c r="H586" s="70"/>
      <c r="I586" s="71"/>
      <c r="J586" s="71"/>
      <c r="K586" s="35" t="s">
        <v>65</v>
      </c>
      <c r="L586" s="79">
        <v>586</v>
      </c>
      <c r="M586" s="79"/>
      <c r="N586" s="73"/>
      <c r="O586" s="81" t="s">
        <v>844</v>
      </c>
      <c r="P586" s="81" t="s">
        <v>199</v>
      </c>
      <c r="Q586" s="84" t="s">
        <v>1407</v>
      </c>
      <c r="R586" s="81" t="s">
        <v>683</v>
      </c>
      <c r="S586" s="81" t="s">
        <v>2042</v>
      </c>
      <c r="T586" s="86" t="str">
        <f>HYPERLINK("http://www.youtube.com/channel/UCHmi85wnMi96G2PBhOzL18Q")</f>
        <v>http://www.youtube.com/channel/UCHmi85wnMi96G2PBhOzL18Q</v>
      </c>
      <c r="U586" s="81"/>
      <c r="V586" s="81" t="s">
        <v>2329</v>
      </c>
      <c r="W586" s="86" t="str">
        <f>HYPERLINK("https://www.youtube.com/watch?v=QYWNXp36O48")</f>
        <v>https://www.youtube.com/watch?v=QYWNXp36O48</v>
      </c>
      <c r="X586" s="81" t="s">
        <v>2349</v>
      </c>
      <c r="Y586" s="81">
        <v>143</v>
      </c>
      <c r="Z586" s="88">
        <v>43969.37331018518</v>
      </c>
      <c r="AA586" s="88">
        <v>43969.37331018518</v>
      </c>
      <c r="AB586" s="81"/>
      <c r="AC586" s="81"/>
      <c r="AD586" s="84" t="s">
        <v>2390</v>
      </c>
      <c r="AE586" s="82">
        <v>1</v>
      </c>
      <c r="AF586" s="83" t="str">
        <f>REPLACE(INDEX(GroupVertices[Group],MATCH(Edges[[#This Row],[Vertex 1]],GroupVertices[Vertex],0)),1,1,"")</f>
        <v>1</v>
      </c>
      <c r="AG586" s="83" t="str">
        <f>REPLACE(INDEX(GroupVertices[Group],MATCH(Edges[[#This Row],[Vertex 2]],GroupVertices[Vertex],0)),1,1,"")</f>
        <v>1</v>
      </c>
      <c r="AH586" s="111">
        <v>0</v>
      </c>
      <c r="AI586" s="112">
        <v>0</v>
      </c>
      <c r="AJ586" s="111">
        <v>0</v>
      </c>
      <c r="AK586" s="112">
        <v>0</v>
      </c>
      <c r="AL586" s="111">
        <v>0</v>
      </c>
      <c r="AM586" s="112">
        <v>0</v>
      </c>
      <c r="AN586" s="111">
        <v>6</v>
      </c>
      <c r="AO586" s="112">
        <v>100</v>
      </c>
      <c r="AP586" s="111">
        <v>6</v>
      </c>
    </row>
    <row r="587" spans="1:42" ht="15">
      <c r="A587" s="65" t="s">
        <v>553</v>
      </c>
      <c r="B587" s="65" t="s">
        <v>684</v>
      </c>
      <c r="C587" s="66" t="s">
        <v>4651</v>
      </c>
      <c r="D587" s="67">
        <v>3</v>
      </c>
      <c r="E587" s="68"/>
      <c r="F587" s="69">
        <v>40</v>
      </c>
      <c r="G587" s="66"/>
      <c r="H587" s="70"/>
      <c r="I587" s="71"/>
      <c r="J587" s="71"/>
      <c r="K587" s="35" t="s">
        <v>66</v>
      </c>
      <c r="L587" s="79">
        <v>587</v>
      </c>
      <c r="M587" s="79"/>
      <c r="N587" s="73"/>
      <c r="O587" s="81" t="s">
        <v>845</v>
      </c>
      <c r="P587" s="81" t="s">
        <v>847</v>
      </c>
      <c r="Q587" s="84" t="s">
        <v>1408</v>
      </c>
      <c r="R587" s="81" t="s">
        <v>553</v>
      </c>
      <c r="S587" s="81" t="s">
        <v>1912</v>
      </c>
      <c r="T587" s="86" t="str">
        <f>HYPERLINK("http://www.youtube.com/channel/UCqbOeHaAUXw9Il7sBVG3_bw")</f>
        <v>http://www.youtube.com/channel/UCqbOeHaAUXw9Il7sBVG3_bw</v>
      </c>
      <c r="U587" s="81" t="s">
        <v>2282</v>
      </c>
      <c r="V587" s="81" t="s">
        <v>2329</v>
      </c>
      <c r="W587" s="86" t="str">
        <f>HYPERLINK("https://www.youtube.com/watch?v=QYWNXp36O48")</f>
        <v>https://www.youtube.com/watch?v=QYWNXp36O48</v>
      </c>
      <c r="X587" s="81" t="s">
        <v>2349</v>
      </c>
      <c r="Y587" s="81">
        <v>0</v>
      </c>
      <c r="Z587" s="88">
        <v>43990.74969907408</v>
      </c>
      <c r="AA587" s="88">
        <v>43990.74969907408</v>
      </c>
      <c r="AB587" s="81"/>
      <c r="AC587" s="81"/>
      <c r="AD587" s="84" t="s">
        <v>2390</v>
      </c>
      <c r="AE587" s="82">
        <v>1</v>
      </c>
      <c r="AF587" s="83" t="str">
        <f>REPLACE(INDEX(GroupVertices[Group],MATCH(Edges[[#This Row],[Vertex 1]],GroupVertices[Vertex],0)),1,1,"")</f>
        <v>1</v>
      </c>
      <c r="AG587" s="83" t="str">
        <f>REPLACE(INDEX(GroupVertices[Group],MATCH(Edges[[#This Row],[Vertex 2]],GroupVertices[Vertex],0)),1,1,"")</f>
        <v>1</v>
      </c>
      <c r="AH587" s="111">
        <v>0</v>
      </c>
      <c r="AI587" s="112">
        <v>0</v>
      </c>
      <c r="AJ587" s="111">
        <v>0</v>
      </c>
      <c r="AK587" s="112">
        <v>0</v>
      </c>
      <c r="AL587" s="111">
        <v>0</v>
      </c>
      <c r="AM587" s="112">
        <v>0</v>
      </c>
      <c r="AN587" s="111">
        <v>10</v>
      </c>
      <c r="AO587" s="112">
        <v>100</v>
      </c>
      <c r="AP587" s="111">
        <v>10</v>
      </c>
    </row>
    <row r="588" spans="1:42" ht="15">
      <c r="A588" s="65" t="s">
        <v>684</v>
      </c>
      <c r="B588" s="65" t="s">
        <v>553</v>
      </c>
      <c r="C588" s="66" t="s">
        <v>4651</v>
      </c>
      <c r="D588" s="67">
        <v>3</v>
      </c>
      <c r="E588" s="68"/>
      <c r="F588" s="69">
        <v>40</v>
      </c>
      <c r="G588" s="66"/>
      <c r="H588" s="70"/>
      <c r="I588" s="71"/>
      <c r="J588" s="71"/>
      <c r="K588" s="35" t="s">
        <v>66</v>
      </c>
      <c r="L588" s="79">
        <v>588</v>
      </c>
      <c r="M588" s="79"/>
      <c r="N588" s="73"/>
      <c r="O588" s="81" t="s">
        <v>844</v>
      </c>
      <c r="P588" s="81" t="s">
        <v>199</v>
      </c>
      <c r="Q588" s="84" t="s">
        <v>1409</v>
      </c>
      <c r="R588" s="81" t="s">
        <v>684</v>
      </c>
      <c r="S588" s="81" t="s">
        <v>2043</v>
      </c>
      <c r="T588" s="86" t="str">
        <f>HYPERLINK("http://www.youtube.com/channel/UC0hYEQOJzQENV0fQOjL1hSg")</f>
        <v>http://www.youtube.com/channel/UC0hYEQOJzQENV0fQOjL1hSg</v>
      </c>
      <c r="U588" s="81"/>
      <c r="V588" s="81" t="s">
        <v>2329</v>
      </c>
      <c r="W588" s="86" t="str">
        <f>HYPERLINK("https://www.youtube.com/watch?v=QYWNXp36O48")</f>
        <v>https://www.youtube.com/watch?v=QYWNXp36O48</v>
      </c>
      <c r="X588" s="81" t="s">
        <v>2349</v>
      </c>
      <c r="Y588" s="81">
        <v>3</v>
      </c>
      <c r="Z588" s="88">
        <v>43990.57703703704</v>
      </c>
      <c r="AA588" s="88">
        <v>43990.57703703704</v>
      </c>
      <c r="AB588" s="81"/>
      <c r="AC588" s="81"/>
      <c r="AD588" s="84" t="s">
        <v>2390</v>
      </c>
      <c r="AE588" s="82">
        <v>1</v>
      </c>
      <c r="AF588" s="83" t="str">
        <f>REPLACE(INDEX(GroupVertices[Group],MATCH(Edges[[#This Row],[Vertex 1]],GroupVertices[Vertex],0)),1,1,"")</f>
        <v>1</v>
      </c>
      <c r="AG588" s="83" t="str">
        <f>REPLACE(INDEX(GroupVertices[Group],MATCH(Edges[[#This Row],[Vertex 2]],GroupVertices[Vertex],0)),1,1,"")</f>
        <v>1</v>
      </c>
      <c r="AH588" s="111">
        <v>0</v>
      </c>
      <c r="AI588" s="112">
        <v>0</v>
      </c>
      <c r="AJ588" s="111">
        <v>0</v>
      </c>
      <c r="AK588" s="112">
        <v>0</v>
      </c>
      <c r="AL588" s="111">
        <v>0</v>
      </c>
      <c r="AM588" s="112">
        <v>0</v>
      </c>
      <c r="AN588" s="111">
        <v>10</v>
      </c>
      <c r="AO588" s="112">
        <v>100</v>
      </c>
      <c r="AP588" s="111">
        <v>10</v>
      </c>
    </row>
    <row r="589" spans="1:42" ht="15">
      <c r="A589" s="65" t="s">
        <v>685</v>
      </c>
      <c r="B589" s="65" t="s">
        <v>553</v>
      </c>
      <c r="C589" s="66" t="s">
        <v>4651</v>
      </c>
      <c r="D589" s="67">
        <v>3</v>
      </c>
      <c r="E589" s="68"/>
      <c r="F589" s="69">
        <v>40</v>
      </c>
      <c r="G589" s="66"/>
      <c r="H589" s="70"/>
      <c r="I589" s="71"/>
      <c r="J589" s="71"/>
      <c r="K589" s="35" t="s">
        <v>65</v>
      </c>
      <c r="L589" s="79">
        <v>589</v>
      </c>
      <c r="M589" s="79"/>
      <c r="N589" s="73"/>
      <c r="O589" s="81" t="s">
        <v>844</v>
      </c>
      <c r="P589" s="81" t="s">
        <v>199</v>
      </c>
      <c r="Q589" s="84" t="s">
        <v>1410</v>
      </c>
      <c r="R589" s="81" t="s">
        <v>685</v>
      </c>
      <c r="S589" s="81" t="s">
        <v>2044</v>
      </c>
      <c r="T589" s="86" t="str">
        <f>HYPERLINK("http://www.youtube.com/channel/UCa5Twd8eG5BjtHJv0kvoA_w")</f>
        <v>http://www.youtube.com/channel/UCa5Twd8eG5BjtHJv0kvoA_w</v>
      </c>
      <c r="U589" s="81"/>
      <c r="V589" s="81" t="s">
        <v>2329</v>
      </c>
      <c r="W589" s="86" t="str">
        <f>HYPERLINK("https://www.youtube.com/watch?v=QYWNXp36O48")</f>
        <v>https://www.youtube.com/watch?v=QYWNXp36O48</v>
      </c>
      <c r="X589" s="81" t="s">
        <v>2349</v>
      </c>
      <c r="Y589" s="81">
        <v>6</v>
      </c>
      <c r="Z589" s="88">
        <v>43997.58765046296</v>
      </c>
      <c r="AA589" s="88">
        <v>43997.58765046296</v>
      </c>
      <c r="AB589" s="81"/>
      <c r="AC589" s="81"/>
      <c r="AD589" s="84" t="s">
        <v>2390</v>
      </c>
      <c r="AE589" s="82">
        <v>1</v>
      </c>
      <c r="AF589" s="83" t="str">
        <f>REPLACE(INDEX(GroupVertices[Group],MATCH(Edges[[#This Row],[Vertex 1]],GroupVertices[Vertex],0)),1,1,"")</f>
        <v>1</v>
      </c>
      <c r="AG589" s="83" t="str">
        <f>REPLACE(INDEX(GroupVertices[Group],MATCH(Edges[[#This Row],[Vertex 2]],GroupVertices[Vertex],0)),1,1,"")</f>
        <v>1</v>
      </c>
      <c r="AH589" s="111">
        <v>0</v>
      </c>
      <c r="AI589" s="112">
        <v>0</v>
      </c>
      <c r="AJ589" s="111">
        <v>1</v>
      </c>
      <c r="AK589" s="112">
        <v>20</v>
      </c>
      <c r="AL589" s="111">
        <v>0</v>
      </c>
      <c r="AM589" s="112">
        <v>0</v>
      </c>
      <c r="AN589" s="111">
        <v>4</v>
      </c>
      <c r="AO589" s="112">
        <v>80</v>
      </c>
      <c r="AP589" s="111">
        <v>5</v>
      </c>
    </row>
    <row r="590" spans="1:42" ht="15">
      <c r="A590" s="65" t="s">
        <v>686</v>
      </c>
      <c r="B590" s="65" t="s">
        <v>687</v>
      </c>
      <c r="C590" s="66" t="s">
        <v>4651</v>
      </c>
      <c r="D590" s="67">
        <v>3</v>
      </c>
      <c r="E590" s="68"/>
      <c r="F590" s="69">
        <v>40</v>
      </c>
      <c r="G590" s="66"/>
      <c r="H590" s="70"/>
      <c r="I590" s="71"/>
      <c r="J590" s="71"/>
      <c r="K590" s="35" t="s">
        <v>65</v>
      </c>
      <c r="L590" s="79">
        <v>590</v>
      </c>
      <c r="M590" s="79"/>
      <c r="N590" s="73"/>
      <c r="O590" s="81" t="s">
        <v>845</v>
      </c>
      <c r="P590" s="81" t="s">
        <v>847</v>
      </c>
      <c r="Q590" s="84" t="s">
        <v>914</v>
      </c>
      <c r="R590" s="81" t="s">
        <v>686</v>
      </c>
      <c r="S590" s="81" t="s">
        <v>2045</v>
      </c>
      <c r="T590" s="86" t="str">
        <f>HYPERLINK("http://www.youtube.com/channel/UCl1auULeEjUJdgyO00Kzy9A")</f>
        <v>http://www.youtube.com/channel/UCl1auULeEjUJdgyO00Kzy9A</v>
      </c>
      <c r="U590" s="81" t="s">
        <v>2283</v>
      </c>
      <c r="V590" s="81" t="s">
        <v>2329</v>
      </c>
      <c r="W590" s="86" t="str">
        <f>HYPERLINK("https://www.youtube.com/watch?v=QYWNXp36O48")</f>
        <v>https://www.youtube.com/watch?v=QYWNXp36O48</v>
      </c>
      <c r="X590" s="81" t="s">
        <v>2349</v>
      </c>
      <c r="Y590" s="81">
        <v>0</v>
      </c>
      <c r="Z590" s="88">
        <v>44258.417546296296</v>
      </c>
      <c r="AA590" s="88">
        <v>44258.417546296296</v>
      </c>
      <c r="AB590" s="81"/>
      <c r="AC590" s="81"/>
      <c r="AD590" s="84" t="s">
        <v>2390</v>
      </c>
      <c r="AE590" s="82">
        <v>1</v>
      </c>
      <c r="AF590" s="83" t="str">
        <f>REPLACE(INDEX(GroupVertices[Group],MATCH(Edges[[#This Row],[Vertex 1]],GroupVertices[Vertex],0)),1,1,"")</f>
        <v>1</v>
      </c>
      <c r="AG590" s="83" t="str">
        <f>REPLACE(INDEX(GroupVertices[Group],MATCH(Edges[[#This Row],[Vertex 2]],GroupVertices[Vertex],0)),1,1,"")</f>
        <v>1</v>
      </c>
      <c r="AH590" s="111">
        <v>0</v>
      </c>
      <c r="AI590" s="112">
        <v>0</v>
      </c>
      <c r="AJ590" s="111">
        <v>0</v>
      </c>
      <c r="AK590" s="112">
        <v>0</v>
      </c>
      <c r="AL590" s="111">
        <v>0</v>
      </c>
      <c r="AM590" s="112">
        <v>0</v>
      </c>
      <c r="AN590" s="111">
        <v>1</v>
      </c>
      <c r="AO590" s="112">
        <v>100</v>
      </c>
      <c r="AP590" s="111">
        <v>1</v>
      </c>
    </row>
    <row r="591" spans="1:42" ht="15">
      <c r="A591" s="65" t="s">
        <v>687</v>
      </c>
      <c r="B591" s="65" t="s">
        <v>553</v>
      </c>
      <c r="C591" s="66" t="s">
        <v>4651</v>
      </c>
      <c r="D591" s="67">
        <v>3</v>
      </c>
      <c r="E591" s="68"/>
      <c r="F591" s="69">
        <v>40</v>
      </c>
      <c r="G591" s="66"/>
      <c r="H591" s="70"/>
      <c r="I591" s="71"/>
      <c r="J591" s="71"/>
      <c r="K591" s="35" t="s">
        <v>65</v>
      </c>
      <c r="L591" s="79">
        <v>591</v>
      </c>
      <c r="M591" s="79"/>
      <c r="N591" s="73"/>
      <c r="O591" s="81" t="s">
        <v>844</v>
      </c>
      <c r="P591" s="81" t="s">
        <v>199</v>
      </c>
      <c r="Q591" s="84" t="s">
        <v>1411</v>
      </c>
      <c r="R591" s="81" t="s">
        <v>687</v>
      </c>
      <c r="S591" s="81" t="s">
        <v>2046</v>
      </c>
      <c r="T591" s="86" t="str">
        <f>HYPERLINK("http://www.youtube.com/channel/UC_fDWpABeZRT7ZO4gqnLWBQ")</f>
        <v>http://www.youtube.com/channel/UC_fDWpABeZRT7ZO4gqnLWBQ</v>
      </c>
      <c r="U591" s="81"/>
      <c r="V591" s="81" t="s">
        <v>2329</v>
      </c>
      <c r="W591" s="86" t="str">
        <f>HYPERLINK("https://www.youtube.com/watch?v=QYWNXp36O48")</f>
        <v>https://www.youtube.com/watch?v=QYWNXp36O48</v>
      </c>
      <c r="X591" s="81" t="s">
        <v>2349</v>
      </c>
      <c r="Y591" s="81">
        <v>11</v>
      </c>
      <c r="Z591" s="88">
        <v>44127.752222222225</v>
      </c>
      <c r="AA591" s="88">
        <v>44127.752222222225</v>
      </c>
      <c r="AB591" s="81"/>
      <c r="AC591" s="81"/>
      <c r="AD591" s="84" t="s">
        <v>2390</v>
      </c>
      <c r="AE591" s="82">
        <v>1</v>
      </c>
      <c r="AF591" s="83" t="str">
        <f>REPLACE(INDEX(GroupVertices[Group],MATCH(Edges[[#This Row],[Vertex 1]],GroupVertices[Vertex],0)),1,1,"")</f>
        <v>1</v>
      </c>
      <c r="AG591" s="83" t="str">
        <f>REPLACE(INDEX(GroupVertices[Group],MATCH(Edges[[#This Row],[Vertex 2]],GroupVertices[Vertex],0)),1,1,"")</f>
        <v>1</v>
      </c>
      <c r="AH591" s="111">
        <v>0</v>
      </c>
      <c r="AI591" s="112">
        <v>0</v>
      </c>
      <c r="AJ591" s="111">
        <v>1</v>
      </c>
      <c r="AK591" s="112">
        <v>6.666666666666667</v>
      </c>
      <c r="AL591" s="111">
        <v>0</v>
      </c>
      <c r="AM591" s="112">
        <v>0</v>
      </c>
      <c r="AN591" s="111">
        <v>14</v>
      </c>
      <c r="AO591" s="112">
        <v>93.33333333333333</v>
      </c>
      <c r="AP591" s="111">
        <v>15</v>
      </c>
    </row>
    <row r="592" spans="1:42" ht="15">
      <c r="A592" s="65" t="s">
        <v>688</v>
      </c>
      <c r="B592" s="65" t="s">
        <v>553</v>
      </c>
      <c r="C592" s="66" t="s">
        <v>4651</v>
      </c>
      <c r="D592" s="67">
        <v>3</v>
      </c>
      <c r="E592" s="68"/>
      <c r="F592" s="69">
        <v>40</v>
      </c>
      <c r="G592" s="66"/>
      <c r="H592" s="70"/>
      <c r="I592" s="71"/>
      <c r="J592" s="71"/>
      <c r="K592" s="35" t="s">
        <v>65</v>
      </c>
      <c r="L592" s="79">
        <v>592</v>
      </c>
      <c r="M592" s="79"/>
      <c r="N592" s="73"/>
      <c r="O592" s="81" t="s">
        <v>844</v>
      </c>
      <c r="P592" s="81" t="s">
        <v>199</v>
      </c>
      <c r="Q592" s="84" t="s">
        <v>1412</v>
      </c>
      <c r="R592" s="81" t="s">
        <v>688</v>
      </c>
      <c r="S592" s="81" t="s">
        <v>2047</v>
      </c>
      <c r="T592" s="86" t="str">
        <f>HYPERLINK("http://www.youtube.com/channel/UCL5N-vp8oWI3Tm_PqycG0Ow")</f>
        <v>http://www.youtube.com/channel/UCL5N-vp8oWI3Tm_PqycG0Ow</v>
      </c>
      <c r="U592" s="81"/>
      <c r="V592" s="81" t="s">
        <v>2329</v>
      </c>
      <c r="W592" s="86" t="str">
        <f>HYPERLINK("https://www.youtube.com/watch?v=QYWNXp36O48")</f>
        <v>https://www.youtube.com/watch?v=QYWNXp36O48</v>
      </c>
      <c r="X592" s="81" t="s">
        <v>2349</v>
      </c>
      <c r="Y592" s="81">
        <v>2</v>
      </c>
      <c r="Z592" s="88">
        <v>44132.360625</v>
      </c>
      <c r="AA592" s="88">
        <v>44132.360625</v>
      </c>
      <c r="AB592" s="81"/>
      <c r="AC592" s="81"/>
      <c r="AD592" s="84" t="s">
        <v>2390</v>
      </c>
      <c r="AE592" s="82">
        <v>1</v>
      </c>
      <c r="AF592" s="83" t="str">
        <f>REPLACE(INDEX(GroupVertices[Group],MATCH(Edges[[#This Row],[Vertex 1]],GroupVertices[Vertex],0)),1,1,"")</f>
        <v>1</v>
      </c>
      <c r="AG592" s="83" t="str">
        <f>REPLACE(INDEX(GroupVertices[Group],MATCH(Edges[[#This Row],[Vertex 2]],GroupVertices[Vertex],0)),1,1,"")</f>
        <v>1</v>
      </c>
      <c r="AH592" s="111">
        <v>0</v>
      </c>
      <c r="AI592" s="112">
        <v>0</v>
      </c>
      <c r="AJ592" s="111">
        <v>1</v>
      </c>
      <c r="AK592" s="112">
        <v>14.285714285714286</v>
      </c>
      <c r="AL592" s="111">
        <v>0</v>
      </c>
      <c r="AM592" s="112">
        <v>0</v>
      </c>
      <c r="AN592" s="111">
        <v>6</v>
      </c>
      <c r="AO592" s="112">
        <v>85.71428571428571</v>
      </c>
      <c r="AP592" s="111">
        <v>7</v>
      </c>
    </row>
    <row r="593" spans="1:42" ht="15">
      <c r="A593" s="65" t="s">
        <v>689</v>
      </c>
      <c r="B593" s="65" t="s">
        <v>553</v>
      </c>
      <c r="C593" s="66" t="s">
        <v>4651</v>
      </c>
      <c r="D593" s="67">
        <v>3</v>
      </c>
      <c r="E593" s="68"/>
      <c r="F593" s="69">
        <v>40</v>
      </c>
      <c r="G593" s="66"/>
      <c r="H593" s="70"/>
      <c r="I593" s="71"/>
      <c r="J593" s="71"/>
      <c r="K593" s="35" t="s">
        <v>65</v>
      </c>
      <c r="L593" s="79">
        <v>593</v>
      </c>
      <c r="M593" s="79"/>
      <c r="N593" s="73"/>
      <c r="O593" s="81" t="s">
        <v>844</v>
      </c>
      <c r="P593" s="81" t="s">
        <v>199</v>
      </c>
      <c r="Q593" s="84" t="s">
        <v>1413</v>
      </c>
      <c r="R593" s="81" t="s">
        <v>689</v>
      </c>
      <c r="S593" s="81" t="s">
        <v>2048</v>
      </c>
      <c r="T593" s="86" t="str">
        <f>HYPERLINK("http://www.youtube.com/channel/UC1bpNQkvNb6XxeMRCYfbfow")</f>
        <v>http://www.youtube.com/channel/UC1bpNQkvNb6XxeMRCYfbfow</v>
      </c>
      <c r="U593" s="81"/>
      <c r="V593" s="81" t="s">
        <v>2329</v>
      </c>
      <c r="W593" s="86" t="str">
        <f>HYPERLINK("https://www.youtube.com/watch?v=QYWNXp36O48")</f>
        <v>https://www.youtube.com/watch?v=QYWNXp36O48</v>
      </c>
      <c r="X593" s="81" t="s">
        <v>2349</v>
      </c>
      <c r="Y593" s="81">
        <v>2</v>
      </c>
      <c r="Z593" s="88">
        <v>44164.831921296296</v>
      </c>
      <c r="AA593" s="88">
        <v>44164.831921296296</v>
      </c>
      <c r="AB593" s="81"/>
      <c r="AC593" s="81"/>
      <c r="AD593" s="84" t="s">
        <v>2390</v>
      </c>
      <c r="AE593" s="82">
        <v>1</v>
      </c>
      <c r="AF593" s="83" t="str">
        <f>REPLACE(INDEX(GroupVertices[Group],MATCH(Edges[[#This Row],[Vertex 1]],GroupVertices[Vertex],0)),1,1,"")</f>
        <v>1</v>
      </c>
      <c r="AG593" s="83" t="str">
        <f>REPLACE(INDEX(GroupVertices[Group],MATCH(Edges[[#This Row],[Vertex 2]],GroupVertices[Vertex],0)),1,1,"")</f>
        <v>1</v>
      </c>
      <c r="AH593" s="111">
        <v>0</v>
      </c>
      <c r="AI593" s="112">
        <v>0</v>
      </c>
      <c r="AJ593" s="111">
        <v>0</v>
      </c>
      <c r="AK593" s="112">
        <v>0</v>
      </c>
      <c r="AL593" s="111">
        <v>0</v>
      </c>
      <c r="AM593" s="112">
        <v>0</v>
      </c>
      <c r="AN593" s="111">
        <v>1</v>
      </c>
      <c r="AO593" s="112">
        <v>100</v>
      </c>
      <c r="AP593" s="111">
        <v>1</v>
      </c>
    </row>
    <row r="594" spans="1:42" ht="15">
      <c r="A594" s="65" t="s">
        <v>690</v>
      </c>
      <c r="B594" s="65" t="s">
        <v>553</v>
      </c>
      <c r="C594" s="66" t="s">
        <v>4651</v>
      </c>
      <c r="D594" s="67">
        <v>3</v>
      </c>
      <c r="E594" s="68"/>
      <c r="F594" s="69">
        <v>40</v>
      </c>
      <c r="G594" s="66"/>
      <c r="H594" s="70"/>
      <c r="I594" s="71"/>
      <c r="J594" s="71"/>
      <c r="K594" s="35" t="s">
        <v>65</v>
      </c>
      <c r="L594" s="79">
        <v>594</v>
      </c>
      <c r="M594" s="79"/>
      <c r="N594" s="73"/>
      <c r="O594" s="81" t="s">
        <v>844</v>
      </c>
      <c r="P594" s="81" t="s">
        <v>199</v>
      </c>
      <c r="Q594" s="84" t="s">
        <v>1414</v>
      </c>
      <c r="R594" s="81" t="s">
        <v>690</v>
      </c>
      <c r="S594" s="81" t="s">
        <v>2049</v>
      </c>
      <c r="T594" s="86" t="str">
        <f>HYPERLINK("http://www.youtube.com/channel/UCbHzEdAZJb44oRiVIPitwgQ")</f>
        <v>http://www.youtube.com/channel/UCbHzEdAZJb44oRiVIPitwgQ</v>
      </c>
      <c r="U594" s="81"/>
      <c r="V594" s="81" t="s">
        <v>2329</v>
      </c>
      <c r="W594" s="86" t="str">
        <f>HYPERLINK("https://www.youtube.com/watch?v=QYWNXp36O48")</f>
        <v>https://www.youtube.com/watch?v=QYWNXp36O48</v>
      </c>
      <c r="X594" s="81" t="s">
        <v>2349</v>
      </c>
      <c r="Y594" s="81">
        <v>9</v>
      </c>
      <c r="Z594" s="88">
        <v>44186.473125</v>
      </c>
      <c r="AA594" s="88">
        <v>44186.473125</v>
      </c>
      <c r="AB594" s="81"/>
      <c r="AC594" s="81"/>
      <c r="AD594" s="84" t="s">
        <v>2390</v>
      </c>
      <c r="AE594" s="82">
        <v>1</v>
      </c>
      <c r="AF594" s="83" t="str">
        <f>REPLACE(INDEX(GroupVertices[Group],MATCH(Edges[[#This Row],[Vertex 1]],GroupVertices[Vertex],0)),1,1,"")</f>
        <v>1</v>
      </c>
      <c r="AG594" s="83" t="str">
        <f>REPLACE(INDEX(GroupVertices[Group],MATCH(Edges[[#This Row],[Vertex 2]],GroupVertices[Vertex],0)),1,1,"")</f>
        <v>1</v>
      </c>
      <c r="AH594" s="111">
        <v>1</v>
      </c>
      <c r="AI594" s="112">
        <v>6.25</v>
      </c>
      <c r="AJ594" s="111">
        <v>0</v>
      </c>
      <c r="AK594" s="112">
        <v>0</v>
      </c>
      <c r="AL594" s="111">
        <v>0</v>
      </c>
      <c r="AM594" s="112">
        <v>0</v>
      </c>
      <c r="AN594" s="111">
        <v>15</v>
      </c>
      <c r="AO594" s="112">
        <v>93.75</v>
      </c>
      <c r="AP594" s="111">
        <v>16</v>
      </c>
    </row>
    <row r="595" spans="1:42" ht="15">
      <c r="A595" s="65" t="s">
        <v>691</v>
      </c>
      <c r="B595" s="65" t="s">
        <v>553</v>
      </c>
      <c r="C595" s="66" t="s">
        <v>4651</v>
      </c>
      <c r="D595" s="67">
        <v>3</v>
      </c>
      <c r="E595" s="68"/>
      <c r="F595" s="69">
        <v>40</v>
      </c>
      <c r="G595" s="66"/>
      <c r="H595" s="70"/>
      <c r="I595" s="71"/>
      <c r="J595" s="71"/>
      <c r="K595" s="35" t="s">
        <v>65</v>
      </c>
      <c r="L595" s="79">
        <v>595</v>
      </c>
      <c r="M595" s="79"/>
      <c r="N595" s="73"/>
      <c r="O595" s="81" t="s">
        <v>844</v>
      </c>
      <c r="P595" s="81" t="s">
        <v>199</v>
      </c>
      <c r="Q595" s="84" t="s">
        <v>1415</v>
      </c>
      <c r="R595" s="81" t="s">
        <v>691</v>
      </c>
      <c r="S595" s="81" t="s">
        <v>2050</v>
      </c>
      <c r="T595" s="86" t="str">
        <f>HYPERLINK("http://www.youtube.com/channel/UCcKHG9CH1LRU4yJIUyZw5-w")</f>
        <v>http://www.youtube.com/channel/UCcKHG9CH1LRU4yJIUyZw5-w</v>
      </c>
      <c r="U595" s="81"/>
      <c r="V595" s="81" t="s">
        <v>2329</v>
      </c>
      <c r="W595" s="86" t="str">
        <f>HYPERLINK("https://www.youtube.com/watch?v=QYWNXp36O48")</f>
        <v>https://www.youtube.com/watch?v=QYWNXp36O48</v>
      </c>
      <c r="X595" s="81" t="s">
        <v>2349</v>
      </c>
      <c r="Y595" s="81">
        <v>1</v>
      </c>
      <c r="Z595" s="88">
        <v>44186.61292824074</v>
      </c>
      <c r="AA595" s="88">
        <v>44186.61292824074</v>
      </c>
      <c r="AB595" s="81"/>
      <c r="AC595" s="81"/>
      <c r="AD595" s="84" t="s">
        <v>2390</v>
      </c>
      <c r="AE595" s="82">
        <v>1</v>
      </c>
      <c r="AF595" s="83" t="str">
        <f>REPLACE(INDEX(GroupVertices[Group],MATCH(Edges[[#This Row],[Vertex 1]],GroupVertices[Vertex],0)),1,1,"")</f>
        <v>1</v>
      </c>
      <c r="AG595" s="83" t="str">
        <f>REPLACE(INDEX(GroupVertices[Group],MATCH(Edges[[#This Row],[Vertex 2]],GroupVertices[Vertex],0)),1,1,"")</f>
        <v>1</v>
      </c>
      <c r="AH595" s="111">
        <v>0</v>
      </c>
      <c r="AI595" s="112">
        <v>0</v>
      </c>
      <c r="AJ595" s="111">
        <v>1</v>
      </c>
      <c r="AK595" s="112">
        <v>5.2631578947368425</v>
      </c>
      <c r="AL595" s="111">
        <v>0</v>
      </c>
      <c r="AM595" s="112">
        <v>0</v>
      </c>
      <c r="AN595" s="111">
        <v>18</v>
      </c>
      <c r="AO595" s="112">
        <v>94.73684210526316</v>
      </c>
      <c r="AP595" s="111">
        <v>19</v>
      </c>
    </row>
    <row r="596" spans="1:42" ht="15">
      <c r="A596" s="65" t="s">
        <v>692</v>
      </c>
      <c r="B596" s="65" t="s">
        <v>553</v>
      </c>
      <c r="C596" s="66" t="s">
        <v>4651</v>
      </c>
      <c r="D596" s="67">
        <v>3</v>
      </c>
      <c r="E596" s="68"/>
      <c r="F596" s="69">
        <v>40</v>
      </c>
      <c r="G596" s="66"/>
      <c r="H596" s="70"/>
      <c r="I596" s="71"/>
      <c r="J596" s="71"/>
      <c r="K596" s="35" t="s">
        <v>65</v>
      </c>
      <c r="L596" s="79">
        <v>596</v>
      </c>
      <c r="M596" s="79"/>
      <c r="N596" s="73"/>
      <c r="O596" s="81" t="s">
        <v>844</v>
      </c>
      <c r="P596" s="81" t="s">
        <v>199</v>
      </c>
      <c r="Q596" s="84" t="s">
        <v>1416</v>
      </c>
      <c r="R596" s="81" t="s">
        <v>692</v>
      </c>
      <c r="S596" s="81" t="s">
        <v>2051</v>
      </c>
      <c r="T596" s="86" t="str">
        <f>HYPERLINK("http://www.youtube.com/channel/UCRdsglSr8JV0jxanZ1wj0jg")</f>
        <v>http://www.youtube.com/channel/UCRdsglSr8JV0jxanZ1wj0jg</v>
      </c>
      <c r="U596" s="81"/>
      <c r="V596" s="81" t="s">
        <v>2329</v>
      </c>
      <c r="W596" s="86" t="str">
        <f>HYPERLINK("https://www.youtube.com/watch?v=QYWNXp36O48")</f>
        <v>https://www.youtube.com/watch?v=QYWNXp36O48</v>
      </c>
      <c r="X596" s="81" t="s">
        <v>2349</v>
      </c>
      <c r="Y596" s="81">
        <v>0</v>
      </c>
      <c r="Z596" s="88">
        <v>44188.77877314815</v>
      </c>
      <c r="AA596" s="88">
        <v>44188.77877314815</v>
      </c>
      <c r="AB596" s="81"/>
      <c r="AC596" s="81"/>
      <c r="AD596" s="84" t="s">
        <v>2390</v>
      </c>
      <c r="AE596" s="82">
        <v>1</v>
      </c>
      <c r="AF596" s="83" t="str">
        <f>REPLACE(INDEX(GroupVertices[Group],MATCH(Edges[[#This Row],[Vertex 1]],GroupVertices[Vertex],0)),1,1,"")</f>
        <v>1</v>
      </c>
      <c r="AG596" s="83" t="str">
        <f>REPLACE(INDEX(GroupVertices[Group],MATCH(Edges[[#This Row],[Vertex 2]],GroupVertices[Vertex],0)),1,1,"")</f>
        <v>1</v>
      </c>
      <c r="AH596" s="111">
        <v>1</v>
      </c>
      <c r="AI596" s="112">
        <v>7.6923076923076925</v>
      </c>
      <c r="AJ596" s="111">
        <v>0</v>
      </c>
      <c r="AK596" s="112">
        <v>0</v>
      </c>
      <c r="AL596" s="111">
        <v>0</v>
      </c>
      <c r="AM596" s="112">
        <v>0</v>
      </c>
      <c r="AN596" s="111">
        <v>12</v>
      </c>
      <c r="AO596" s="112">
        <v>92.3076923076923</v>
      </c>
      <c r="AP596" s="111">
        <v>13</v>
      </c>
    </row>
    <row r="597" spans="1:42" ht="15">
      <c r="A597" s="65" t="s">
        <v>693</v>
      </c>
      <c r="B597" s="65" t="s">
        <v>553</v>
      </c>
      <c r="C597" s="66" t="s">
        <v>4651</v>
      </c>
      <c r="D597" s="67">
        <v>3</v>
      </c>
      <c r="E597" s="68"/>
      <c r="F597" s="69">
        <v>40</v>
      </c>
      <c r="G597" s="66"/>
      <c r="H597" s="70"/>
      <c r="I597" s="71"/>
      <c r="J597" s="71"/>
      <c r="K597" s="35" t="s">
        <v>65</v>
      </c>
      <c r="L597" s="79">
        <v>597</v>
      </c>
      <c r="M597" s="79"/>
      <c r="N597" s="73"/>
      <c r="O597" s="81" t="s">
        <v>844</v>
      </c>
      <c r="P597" s="81" t="s">
        <v>199</v>
      </c>
      <c r="Q597" s="84" t="s">
        <v>1417</v>
      </c>
      <c r="R597" s="81" t="s">
        <v>693</v>
      </c>
      <c r="S597" s="81" t="s">
        <v>2052</v>
      </c>
      <c r="T597" s="86" t="str">
        <f>HYPERLINK("http://www.youtube.com/channel/UCPSwQNmbkvNuvPJRKmrci_A")</f>
        <v>http://www.youtube.com/channel/UCPSwQNmbkvNuvPJRKmrci_A</v>
      </c>
      <c r="U597" s="81"/>
      <c r="V597" s="81" t="s">
        <v>2329</v>
      </c>
      <c r="W597" s="86" t="str">
        <f>HYPERLINK("https://www.youtube.com/watch?v=QYWNXp36O48")</f>
        <v>https://www.youtube.com/watch?v=QYWNXp36O48</v>
      </c>
      <c r="X597" s="81" t="s">
        <v>2349</v>
      </c>
      <c r="Y597" s="81">
        <v>1</v>
      </c>
      <c r="Z597" s="88">
        <v>44209.470300925925</v>
      </c>
      <c r="AA597" s="88">
        <v>44209.470300925925</v>
      </c>
      <c r="AB597" s="81"/>
      <c r="AC597" s="81"/>
      <c r="AD597" s="84" t="s">
        <v>2390</v>
      </c>
      <c r="AE597" s="82">
        <v>1</v>
      </c>
      <c r="AF597" s="83" t="str">
        <f>REPLACE(INDEX(GroupVertices[Group],MATCH(Edges[[#This Row],[Vertex 1]],GroupVertices[Vertex],0)),1,1,"")</f>
        <v>1</v>
      </c>
      <c r="AG597" s="83" t="str">
        <f>REPLACE(INDEX(GroupVertices[Group],MATCH(Edges[[#This Row],[Vertex 2]],GroupVertices[Vertex],0)),1,1,"")</f>
        <v>1</v>
      </c>
      <c r="AH597" s="111">
        <v>0</v>
      </c>
      <c r="AI597" s="112">
        <v>0</v>
      </c>
      <c r="AJ597" s="111">
        <v>0</v>
      </c>
      <c r="AK597" s="112">
        <v>0</v>
      </c>
      <c r="AL597" s="111">
        <v>0</v>
      </c>
      <c r="AM597" s="112">
        <v>0</v>
      </c>
      <c r="AN597" s="111">
        <v>4</v>
      </c>
      <c r="AO597" s="112">
        <v>100</v>
      </c>
      <c r="AP597" s="111">
        <v>4</v>
      </c>
    </row>
    <row r="598" spans="1:42" ht="15">
      <c r="A598" s="65" t="s">
        <v>694</v>
      </c>
      <c r="B598" s="65" t="s">
        <v>553</v>
      </c>
      <c r="C598" s="66" t="s">
        <v>4651</v>
      </c>
      <c r="D598" s="67">
        <v>3</v>
      </c>
      <c r="E598" s="68"/>
      <c r="F598" s="69">
        <v>40</v>
      </c>
      <c r="G598" s="66"/>
      <c r="H598" s="70"/>
      <c r="I598" s="71"/>
      <c r="J598" s="71"/>
      <c r="K598" s="35" t="s">
        <v>65</v>
      </c>
      <c r="L598" s="79">
        <v>598</v>
      </c>
      <c r="M598" s="79"/>
      <c r="N598" s="73"/>
      <c r="O598" s="81" t="s">
        <v>844</v>
      </c>
      <c r="P598" s="81" t="s">
        <v>199</v>
      </c>
      <c r="Q598" s="84" t="s">
        <v>1418</v>
      </c>
      <c r="R598" s="81" t="s">
        <v>694</v>
      </c>
      <c r="S598" s="81" t="s">
        <v>2053</v>
      </c>
      <c r="T598" s="86" t="str">
        <f>HYPERLINK("http://www.youtube.com/channel/UCWckxZngxxi1XK4vj-nQApg")</f>
        <v>http://www.youtube.com/channel/UCWckxZngxxi1XK4vj-nQApg</v>
      </c>
      <c r="U598" s="81"/>
      <c r="V598" s="81" t="s">
        <v>2329</v>
      </c>
      <c r="W598" s="86" t="str">
        <f>HYPERLINK("https://www.youtube.com/watch?v=QYWNXp36O48")</f>
        <v>https://www.youtube.com/watch?v=QYWNXp36O48</v>
      </c>
      <c r="X598" s="81" t="s">
        <v>2349</v>
      </c>
      <c r="Y598" s="81">
        <v>1</v>
      </c>
      <c r="Z598" s="88">
        <v>44220.61069444445</v>
      </c>
      <c r="AA598" s="88">
        <v>44220.61069444445</v>
      </c>
      <c r="AB598" s="81"/>
      <c r="AC598" s="81"/>
      <c r="AD598" s="84" t="s">
        <v>2390</v>
      </c>
      <c r="AE598" s="82">
        <v>1</v>
      </c>
      <c r="AF598" s="83" t="str">
        <f>REPLACE(INDEX(GroupVertices[Group],MATCH(Edges[[#This Row],[Vertex 1]],GroupVertices[Vertex],0)),1,1,"")</f>
        <v>1</v>
      </c>
      <c r="AG598" s="83" t="str">
        <f>REPLACE(INDEX(GroupVertices[Group],MATCH(Edges[[#This Row],[Vertex 2]],GroupVertices[Vertex],0)),1,1,"")</f>
        <v>1</v>
      </c>
      <c r="AH598" s="111">
        <v>0</v>
      </c>
      <c r="AI598" s="112">
        <v>0</v>
      </c>
      <c r="AJ598" s="111">
        <v>0</v>
      </c>
      <c r="AK598" s="112">
        <v>0</v>
      </c>
      <c r="AL598" s="111">
        <v>0</v>
      </c>
      <c r="AM598" s="112">
        <v>0</v>
      </c>
      <c r="AN598" s="111">
        <v>25</v>
      </c>
      <c r="AO598" s="112">
        <v>100</v>
      </c>
      <c r="AP598" s="111">
        <v>25</v>
      </c>
    </row>
    <row r="599" spans="1:42" ht="15">
      <c r="A599" s="65" t="s">
        <v>695</v>
      </c>
      <c r="B599" s="65" t="s">
        <v>696</v>
      </c>
      <c r="C599" s="66" t="s">
        <v>4651</v>
      </c>
      <c r="D599" s="67">
        <v>3</v>
      </c>
      <c r="E599" s="68"/>
      <c r="F599" s="69">
        <v>40</v>
      </c>
      <c r="G599" s="66"/>
      <c r="H599" s="70"/>
      <c r="I599" s="71"/>
      <c r="J599" s="71"/>
      <c r="K599" s="35" t="s">
        <v>65</v>
      </c>
      <c r="L599" s="79">
        <v>599</v>
      </c>
      <c r="M599" s="79"/>
      <c r="N599" s="73"/>
      <c r="O599" s="81" t="s">
        <v>845</v>
      </c>
      <c r="P599" s="81" t="s">
        <v>847</v>
      </c>
      <c r="Q599" s="84" t="s">
        <v>1419</v>
      </c>
      <c r="R599" s="81" t="s">
        <v>695</v>
      </c>
      <c r="S599" s="81" t="s">
        <v>2054</v>
      </c>
      <c r="T599" s="86" t="str">
        <f>HYPERLINK("http://www.youtube.com/channel/UCA61Zbq3A1-s34jah9qzy5A")</f>
        <v>http://www.youtube.com/channel/UCA61Zbq3A1-s34jah9qzy5A</v>
      </c>
      <c r="U599" s="81" t="s">
        <v>2284</v>
      </c>
      <c r="V599" s="81" t="s">
        <v>2329</v>
      </c>
      <c r="W599" s="86" t="str">
        <f>HYPERLINK("https://www.youtube.com/watch?v=QYWNXp36O48")</f>
        <v>https://www.youtube.com/watch?v=QYWNXp36O48</v>
      </c>
      <c r="X599" s="81" t="s">
        <v>2349</v>
      </c>
      <c r="Y599" s="81">
        <v>1</v>
      </c>
      <c r="Z599" s="88">
        <v>44255.86954861111</v>
      </c>
      <c r="AA599" s="88">
        <v>44255.86954861111</v>
      </c>
      <c r="AB599" s="81"/>
      <c r="AC599" s="81"/>
      <c r="AD599" s="84" t="s">
        <v>2390</v>
      </c>
      <c r="AE599" s="82">
        <v>1</v>
      </c>
      <c r="AF599" s="83" t="str">
        <f>REPLACE(INDEX(GroupVertices[Group],MATCH(Edges[[#This Row],[Vertex 1]],GroupVertices[Vertex],0)),1,1,"")</f>
        <v>1</v>
      </c>
      <c r="AG599" s="83" t="str">
        <f>REPLACE(INDEX(GroupVertices[Group],MATCH(Edges[[#This Row],[Vertex 2]],GroupVertices[Vertex],0)),1,1,"")</f>
        <v>1</v>
      </c>
      <c r="AH599" s="111">
        <v>0</v>
      </c>
      <c r="AI599" s="112">
        <v>0</v>
      </c>
      <c r="AJ599" s="111">
        <v>0</v>
      </c>
      <c r="AK599" s="112">
        <v>0</v>
      </c>
      <c r="AL599" s="111">
        <v>0</v>
      </c>
      <c r="AM599" s="112">
        <v>0</v>
      </c>
      <c r="AN599" s="111">
        <v>1</v>
      </c>
      <c r="AO599" s="112">
        <v>100</v>
      </c>
      <c r="AP599" s="111">
        <v>1</v>
      </c>
    </row>
    <row r="600" spans="1:42" ht="15">
      <c r="A600" s="65" t="s">
        <v>696</v>
      </c>
      <c r="B600" s="65" t="s">
        <v>553</v>
      </c>
      <c r="C600" s="66" t="s">
        <v>4651</v>
      </c>
      <c r="D600" s="67">
        <v>3</v>
      </c>
      <c r="E600" s="68"/>
      <c r="F600" s="69">
        <v>40</v>
      </c>
      <c r="G600" s="66"/>
      <c r="H600" s="70"/>
      <c r="I600" s="71"/>
      <c r="J600" s="71"/>
      <c r="K600" s="35" t="s">
        <v>65</v>
      </c>
      <c r="L600" s="79">
        <v>600</v>
      </c>
      <c r="M600" s="79"/>
      <c r="N600" s="73"/>
      <c r="O600" s="81" t="s">
        <v>844</v>
      </c>
      <c r="P600" s="81" t="s">
        <v>199</v>
      </c>
      <c r="Q600" s="84" t="s">
        <v>1420</v>
      </c>
      <c r="R600" s="81" t="s">
        <v>696</v>
      </c>
      <c r="S600" s="81" t="s">
        <v>2055</v>
      </c>
      <c r="T600" s="86" t="str">
        <f>HYPERLINK("http://www.youtube.com/channel/UCtK2vyf8QbdpFJYOXCopQXQ")</f>
        <v>http://www.youtube.com/channel/UCtK2vyf8QbdpFJYOXCopQXQ</v>
      </c>
      <c r="U600" s="81"/>
      <c r="V600" s="81" t="s">
        <v>2329</v>
      </c>
      <c r="W600" s="86" t="str">
        <f>HYPERLINK("https://www.youtube.com/watch?v=QYWNXp36O48")</f>
        <v>https://www.youtube.com/watch?v=QYWNXp36O48</v>
      </c>
      <c r="X600" s="81" t="s">
        <v>2349</v>
      </c>
      <c r="Y600" s="81">
        <v>3</v>
      </c>
      <c r="Z600" s="88">
        <v>44235.847766203704</v>
      </c>
      <c r="AA600" s="88">
        <v>44235.847766203704</v>
      </c>
      <c r="AB600" s="81"/>
      <c r="AC600" s="81"/>
      <c r="AD600" s="84" t="s">
        <v>2390</v>
      </c>
      <c r="AE600" s="82">
        <v>1</v>
      </c>
      <c r="AF600" s="83" t="str">
        <f>REPLACE(INDEX(GroupVertices[Group],MATCH(Edges[[#This Row],[Vertex 1]],GroupVertices[Vertex],0)),1,1,"")</f>
        <v>1</v>
      </c>
      <c r="AG600" s="83" t="str">
        <f>REPLACE(INDEX(GroupVertices[Group],MATCH(Edges[[#This Row],[Vertex 2]],GroupVertices[Vertex],0)),1,1,"")</f>
        <v>1</v>
      </c>
      <c r="AH600" s="111">
        <v>0</v>
      </c>
      <c r="AI600" s="112">
        <v>0</v>
      </c>
      <c r="AJ600" s="111">
        <v>0</v>
      </c>
      <c r="AK600" s="112">
        <v>0</v>
      </c>
      <c r="AL600" s="111">
        <v>0</v>
      </c>
      <c r="AM600" s="112">
        <v>0</v>
      </c>
      <c r="AN600" s="111">
        <v>7</v>
      </c>
      <c r="AO600" s="112">
        <v>100</v>
      </c>
      <c r="AP600" s="111">
        <v>7</v>
      </c>
    </row>
    <row r="601" spans="1:42" ht="15">
      <c r="A601" s="65" t="s">
        <v>697</v>
      </c>
      <c r="B601" s="65" t="s">
        <v>553</v>
      </c>
      <c r="C601" s="66" t="s">
        <v>4651</v>
      </c>
      <c r="D601" s="67">
        <v>3</v>
      </c>
      <c r="E601" s="68"/>
      <c r="F601" s="69">
        <v>40</v>
      </c>
      <c r="G601" s="66"/>
      <c r="H601" s="70"/>
      <c r="I601" s="71"/>
      <c r="J601" s="71"/>
      <c r="K601" s="35" t="s">
        <v>65</v>
      </c>
      <c r="L601" s="79">
        <v>601</v>
      </c>
      <c r="M601" s="79"/>
      <c r="N601" s="73"/>
      <c r="O601" s="81" t="s">
        <v>844</v>
      </c>
      <c r="P601" s="81" t="s">
        <v>199</v>
      </c>
      <c r="Q601" s="84" t="s">
        <v>1421</v>
      </c>
      <c r="R601" s="81" t="s">
        <v>697</v>
      </c>
      <c r="S601" s="81" t="s">
        <v>2056</v>
      </c>
      <c r="T601" s="86" t="str">
        <f>HYPERLINK("http://www.youtube.com/channel/UC7l-KSyumktFziw8IDH6Szg")</f>
        <v>http://www.youtube.com/channel/UC7l-KSyumktFziw8IDH6Szg</v>
      </c>
      <c r="U601" s="81"/>
      <c r="V601" s="81" t="s">
        <v>2329</v>
      </c>
      <c r="W601" s="86" t="str">
        <f>HYPERLINK("https://www.youtube.com/watch?v=QYWNXp36O48")</f>
        <v>https://www.youtube.com/watch?v=QYWNXp36O48</v>
      </c>
      <c r="X601" s="81" t="s">
        <v>2349</v>
      </c>
      <c r="Y601" s="81">
        <v>0</v>
      </c>
      <c r="Z601" s="88">
        <v>44283.51645833333</v>
      </c>
      <c r="AA601" s="88">
        <v>44283.51645833333</v>
      </c>
      <c r="AB601" s="81"/>
      <c r="AC601" s="81"/>
      <c r="AD601" s="84" t="s">
        <v>2390</v>
      </c>
      <c r="AE601" s="82">
        <v>1</v>
      </c>
      <c r="AF601" s="83" t="str">
        <f>REPLACE(INDEX(GroupVertices[Group],MATCH(Edges[[#This Row],[Vertex 1]],GroupVertices[Vertex],0)),1,1,"")</f>
        <v>1</v>
      </c>
      <c r="AG601" s="83" t="str">
        <f>REPLACE(INDEX(GroupVertices[Group],MATCH(Edges[[#This Row],[Vertex 2]],GroupVertices[Vertex],0)),1,1,"")</f>
        <v>1</v>
      </c>
      <c r="AH601" s="111">
        <v>1</v>
      </c>
      <c r="AI601" s="112">
        <v>100</v>
      </c>
      <c r="AJ601" s="111">
        <v>0</v>
      </c>
      <c r="AK601" s="112">
        <v>0</v>
      </c>
      <c r="AL601" s="111">
        <v>0</v>
      </c>
      <c r="AM601" s="112">
        <v>0</v>
      </c>
      <c r="AN601" s="111">
        <v>0</v>
      </c>
      <c r="AO601" s="112">
        <v>0</v>
      </c>
      <c r="AP601" s="111">
        <v>1</v>
      </c>
    </row>
    <row r="602" spans="1:42" ht="15">
      <c r="A602" s="65" t="s">
        <v>698</v>
      </c>
      <c r="B602" s="65" t="s">
        <v>553</v>
      </c>
      <c r="C602" s="66" t="s">
        <v>4651</v>
      </c>
      <c r="D602" s="67">
        <v>3</v>
      </c>
      <c r="E602" s="68"/>
      <c r="F602" s="69">
        <v>40</v>
      </c>
      <c r="G602" s="66"/>
      <c r="H602" s="70"/>
      <c r="I602" s="71"/>
      <c r="J602" s="71"/>
      <c r="K602" s="35" t="s">
        <v>65</v>
      </c>
      <c r="L602" s="79">
        <v>602</v>
      </c>
      <c r="M602" s="79"/>
      <c r="N602" s="73"/>
      <c r="O602" s="81" t="s">
        <v>844</v>
      </c>
      <c r="P602" s="81" t="s">
        <v>199</v>
      </c>
      <c r="Q602" s="84" t="s">
        <v>1422</v>
      </c>
      <c r="R602" s="81" t="s">
        <v>698</v>
      </c>
      <c r="S602" s="81" t="s">
        <v>2057</v>
      </c>
      <c r="T602" s="86" t="str">
        <f>HYPERLINK("http://www.youtube.com/channel/UCHssCzbLIeA_Hk82W9mAo3A")</f>
        <v>http://www.youtube.com/channel/UCHssCzbLIeA_Hk82W9mAo3A</v>
      </c>
      <c r="U602" s="81"/>
      <c r="V602" s="81" t="s">
        <v>2329</v>
      </c>
      <c r="W602" s="86" t="str">
        <f>HYPERLINK("https://www.youtube.com/watch?v=QYWNXp36O48")</f>
        <v>https://www.youtube.com/watch?v=QYWNXp36O48</v>
      </c>
      <c r="X602" s="81" t="s">
        <v>2349</v>
      </c>
      <c r="Y602" s="81">
        <v>3</v>
      </c>
      <c r="Z602" s="88">
        <v>44285.49731481481</v>
      </c>
      <c r="AA602" s="88">
        <v>44285.49731481481</v>
      </c>
      <c r="AB602" s="81"/>
      <c r="AC602" s="81"/>
      <c r="AD602" s="84" t="s">
        <v>2390</v>
      </c>
      <c r="AE602" s="82">
        <v>1</v>
      </c>
      <c r="AF602" s="83" t="str">
        <f>REPLACE(INDEX(GroupVertices[Group],MATCH(Edges[[#This Row],[Vertex 1]],GroupVertices[Vertex],0)),1,1,"")</f>
        <v>1</v>
      </c>
      <c r="AG602" s="83" t="str">
        <f>REPLACE(INDEX(GroupVertices[Group],MATCH(Edges[[#This Row],[Vertex 2]],GroupVertices[Vertex],0)),1,1,"")</f>
        <v>1</v>
      </c>
      <c r="AH602" s="111">
        <v>0</v>
      </c>
      <c r="AI602" s="112">
        <v>0</v>
      </c>
      <c r="AJ602" s="111">
        <v>0</v>
      </c>
      <c r="AK602" s="112">
        <v>0</v>
      </c>
      <c r="AL602" s="111">
        <v>0</v>
      </c>
      <c r="AM602" s="112">
        <v>0</v>
      </c>
      <c r="AN602" s="111">
        <v>10</v>
      </c>
      <c r="AO602" s="112">
        <v>100</v>
      </c>
      <c r="AP602" s="111">
        <v>10</v>
      </c>
    </row>
    <row r="603" spans="1:42" ht="15">
      <c r="A603" s="65" t="s">
        <v>699</v>
      </c>
      <c r="B603" s="65" t="s">
        <v>553</v>
      </c>
      <c r="C603" s="66" t="s">
        <v>4651</v>
      </c>
      <c r="D603" s="67">
        <v>3</v>
      </c>
      <c r="E603" s="68"/>
      <c r="F603" s="69">
        <v>40</v>
      </c>
      <c r="G603" s="66"/>
      <c r="H603" s="70"/>
      <c r="I603" s="71"/>
      <c r="J603" s="71"/>
      <c r="K603" s="35" t="s">
        <v>65</v>
      </c>
      <c r="L603" s="79">
        <v>603</v>
      </c>
      <c r="M603" s="79"/>
      <c r="N603" s="73"/>
      <c r="O603" s="81" t="s">
        <v>844</v>
      </c>
      <c r="P603" s="81" t="s">
        <v>199</v>
      </c>
      <c r="Q603" s="84" t="s">
        <v>1423</v>
      </c>
      <c r="R603" s="81" t="s">
        <v>699</v>
      </c>
      <c r="S603" s="81" t="s">
        <v>2058</v>
      </c>
      <c r="T603" s="86" t="str">
        <f>HYPERLINK("http://www.youtube.com/channel/UCJicsGvDt15udRUOzIS0Hfg")</f>
        <v>http://www.youtube.com/channel/UCJicsGvDt15udRUOzIS0Hfg</v>
      </c>
      <c r="U603" s="81"/>
      <c r="V603" s="81" t="s">
        <v>2329</v>
      </c>
      <c r="W603" s="86" t="str">
        <f>HYPERLINK("https://www.youtube.com/watch?v=QYWNXp36O48")</f>
        <v>https://www.youtube.com/watch?v=QYWNXp36O48</v>
      </c>
      <c r="X603" s="81" t="s">
        <v>2349</v>
      </c>
      <c r="Y603" s="81">
        <v>2</v>
      </c>
      <c r="Z603" s="88">
        <v>44297.850752314815</v>
      </c>
      <c r="AA603" s="88">
        <v>44297.850752314815</v>
      </c>
      <c r="AB603" s="81"/>
      <c r="AC603" s="81"/>
      <c r="AD603" s="84" t="s">
        <v>2390</v>
      </c>
      <c r="AE603" s="82">
        <v>1</v>
      </c>
      <c r="AF603" s="83" t="str">
        <f>REPLACE(INDEX(GroupVertices[Group],MATCH(Edges[[#This Row],[Vertex 1]],GroupVertices[Vertex],0)),1,1,"")</f>
        <v>1</v>
      </c>
      <c r="AG603" s="83" t="str">
        <f>REPLACE(INDEX(GroupVertices[Group],MATCH(Edges[[#This Row],[Vertex 2]],GroupVertices[Vertex],0)),1,1,"")</f>
        <v>1</v>
      </c>
      <c r="AH603" s="111">
        <v>1</v>
      </c>
      <c r="AI603" s="112">
        <v>7.6923076923076925</v>
      </c>
      <c r="AJ603" s="111">
        <v>0</v>
      </c>
      <c r="AK603" s="112">
        <v>0</v>
      </c>
      <c r="AL603" s="111">
        <v>0</v>
      </c>
      <c r="AM603" s="112">
        <v>0</v>
      </c>
      <c r="AN603" s="111">
        <v>12</v>
      </c>
      <c r="AO603" s="112">
        <v>92.3076923076923</v>
      </c>
      <c r="AP603" s="111">
        <v>13</v>
      </c>
    </row>
    <row r="604" spans="1:42" ht="15">
      <c r="A604" s="65" t="s">
        <v>700</v>
      </c>
      <c r="B604" s="65" t="s">
        <v>553</v>
      </c>
      <c r="C604" s="66" t="s">
        <v>4651</v>
      </c>
      <c r="D604" s="67">
        <v>3</v>
      </c>
      <c r="E604" s="68"/>
      <c r="F604" s="69">
        <v>40</v>
      </c>
      <c r="G604" s="66"/>
      <c r="H604" s="70"/>
      <c r="I604" s="71"/>
      <c r="J604" s="71"/>
      <c r="K604" s="35" t="s">
        <v>65</v>
      </c>
      <c r="L604" s="79">
        <v>604</v>
      </c>
      <c r="M604" s="79"/>
      <c r="N604" s="73"/>
      <c r="O604" s="81" t="s">
        <v>844</v>
      </c>
      <c r="P604" s="81" t="s">
        <v>199</v>
      </c>
      <c r="Q604" s="84" t="s">
        <v>1424</v>
      </c>
      <c r="R604" s="81" t="s">
        <v>700</v>
      </c>
      <c r="S604" s="81" t="s">
        <v>2059</v>
      </c>
      <c r="T604" s="86" t="str">
        <f>HYPERLINK("http://www.youtube.com/channel/UCfNLaHk_QsjWBz4om0JH6UA")</f>
        <v>http://www.youtube.com/channel/UCfNLaHk_QsjWBz4om0JH6UA</v>
      </c>
      <c r="U604" s="81"/>
      <c r="V604" s="81" t="s">
        <v>2329</v>
      </c>
      <c r="W604" s="86" t="str">
        <f>HYPERLINK("https://www.youtube.com/watch?v=QYWNXp36O48")</f>
        <v>https://www.youtube.com/watch?v=QYWNXp36O48</v>
      </c>
      <c r="X604" s="81" t="s">
        <v>2349</v>
      </c>
      <c r="Y604" s="81">
        <v>1</v>
      </c>
      <c r="Z604" s="88">
        <v>44332.97891203704</v>
      </c>
      <c r="AA604" s="88">
        <v>44332.97891203704</v>
      </c>
      <c r="AB604" s="81"/>
      <c r="AC604" s="81"/>
      <c r="AD604" s="84" t="s">
        <v>2390</v>
      </c>
      <c r="AE604" s="82">
        <v>1</v>
      </c>
      <c r="AF604" s="83" t="str">
        <f>REPLACE(INDEX(GroupVertices[Group],MATCH(Edges[[#This Row],[Vertex 1]],GroupVertices[Vertex],0)),1,1,"")</f>
        <v>1</v>
      </c>
      <c r="AG604" s="83" t="str">
        <f>REPLACE(INDEX(GroupVertices[Group],MATCH(Edges[[#This Row],[Vertex 2]],GroupVertices[Vertex],0)),1,1,"")</f>
        <v>1</v>
      </c>
      <c r="AH604" s="111">
        <v>1</v>
      </c>
      <c r="AI604" s="112">
        <v>12.5</v>
      </c>
      <c r="AJ604" s="111">
        <v>0</v>
      </c>
      <c r="AK604" s="112">
        <v>0</v>
      </c>
      <c r="AL604" s="111">
        <v>0</v>
      </c>
      <c r="AM604" s="112">
        <v>0</v>
      </c>
      <c r="AN604" s="111">
        <v>7</v>
      </c>
      <c r="AO604" s="112">
        <v>87.5</v>
      </c>
      <c r="AP604" s="111">
        <v>8</v>
      </c>
    </row>
    <row r="605" spans="1:42" ht="15">
      <c r="A605" s="65" t="s">
        <v>701</v>
      </c>
      <c r="B605" s="65" t="s">
        <v>553</v>
      </c>
      <c r="C605" s="66" t="s">
        <v>4651</v>
      </c>
      <c r="D605" s="67">
        <v>3</v>
      </c>
      <c r="E605" s="68"/>
      <c r="F605" s="69">
        <v>40</v>
      </c>
      <c r="G605" s="66"/>
      <c r="H605" s="70"/>
      <c r="I605" s="71"/>
      <c r="J605" s="71"/>
      <c r="K605" s="35" t="s">
        <v>65</v>
      </c>
      <c r="L605" s="79">
        <v>605</v>
      </c>
      <c r="M605" s="79"/>
      <c r="N605" s="73"/>
      <c r="O605" s="81" t="s">
        <v>844</v>
      </c>
      <c r="P605" s="81" t="s">
        <v>199</v>
      </c>
      <c r="Q605" s="84" t="s">
        <v>1425</v>
      </c>
      <c r="R605" s="81" t="s">
        <v>701</v>
      </c>
      <c r="S605" s="81" t="s">
        <v>2060</v>
      </c>
      <c r="T605" s="86" t="str">
        <f>HYPERLINK("http://www.youtube.com/channel/UC_XXoAre7VHpcNPstdvQnQA")</f>
        <v>http://www.youtube.com/channel/UC_XXoAre7VHpcNPstdvQnQA</v>
      </c>
      <c r="U605" s="81"/>
      <c r="V605" s="81" t="s">
        <v>2329</v>
      </c>
      <c r="W605" s="86" t="str">
        <f>HYPERLINK("https://www.youtube.com/watch?v=QYWNXp36O48")</f>
        <v>https://www.youtube.com/watch?v=QYWNXp36O48</v>
      </c>
      <c r="X605" s="81" t="s">
        <v>2349</v>
      </c>
      <c r="Y605" s="81">
        <v>2</v>
      </c>
      <c r="Z605" s="88">
        <v>44334.824375</v>
      </c>
      <c r="AA605" s="88">
        <v>44334.824375</v>
      </c>
      <c r="AB605" s="81"/>
      <c r="AC605" s="81"/>
      <c r="AD605" s="84" t="s">
        <v>2390</v>
      </c>
      <c r="AE605" s="82">
        <v>1</v>
      </c>
      <c r="AF605" s="83" t="str">
        <f>REPLACE(INDEX(GroupVertices[Group],MATCH(Edges[[#This Row],[Vertex 1]],GroupVertices[Vertex],0)),1,1,"")</f>
        <v>1</v>
      </c>
      <c r="AG605" s="83" t="str">
        <f>REPLACE(INDEX(GroupVertices[Group],MATCH(Edges[[#This Row],[Vertex 2]],GroupVertices[Vertex],0)),1,1,"")</f>
        <v>1</v>
      </c>
      <c r="AH605" s="111">
        <v>3</v>
      </c>
      <c r="AI605" s="112">
        <v>14.285714285714286</v>
      </c>
      <c r="AJ605" s="111">
        <v>0</v>
      </c>
      <c r="AK605" s="112">
        <v>0</v>
      </c>
      <c r="AL605" s="111">
        <v>0</v>
      </c>
      <c r="AM605" s="112">
        <v>0</v>
      </c>
      <c r="AN605" s="111">
        <v>18</v>
      </c>
      <c r="AO605" s="112">
        <v>85.71428571428571</v>
      </c>
      <c r="AP605" s="111">
        <v>21</v>
      </c>
    </row>
    <row r="606" spans="1:42" ht="15">
      <c r="A606" s="65" t="s">
        <v>702</v>
      </c>
      <c r="B606" s="65" t="s">
        <v>553</v>
      </c>
      <c r="C606" s="66" t="s">
        <v>4651</v>
      </c>
      <c r="D606" s="67">
        <v>3</v>
      </c>
      <c r="E606" s="68"/>
      <c r="F606" s="69">
        <v>40</v>
      </c>
      <c r="G606" s="66"/>
      <c r="H606" s="70"/>
      <c r="I606" s="71"/>
      <c r="J606" s="71"/>
      <c r="K606" s="35" t="s">
        <v>65</v>
      </c>
      <c r="L606" s="79">
        <v>606</v>
      </c>
      <c r="M606" s="79"/>
      <c r="N606" s="73"/>
      <c r="O606" s="81" t="s">
        <v>844</v>
      </c>
      <c r="P606" s="81" t="s">
        <v>199</v>
      </c>
      <c r="Q606" s="84" t="s">
        <v>1426</v>
      </c>
      <c r="R606" s="81" t="s">
        <v>702</v>
      </c>
      <c r="S606" s="81" t="s">
        <v>2061</v>
      </c>
      <c r="T606" s="86" t="str">
        <f>HYPERLINK("http://www.youtube.com/channel/UC0i7LThQxYduRaEcYIdrU1g")</f>
        <v>http://www.youtube.com/channel/UC0i7LThQxYduRaEcYIdrU1g</v>
      </c>
      <c r="U606" s="81"/>
      <c r="V606" s="81" t="s">
        <v>2329</v>
      </c>
      <c r="W606" s="86" t="str">
        <f>HYPERLINK("https://www.youtube.com/watch?v=QYWNXp36O48")</f>
        <v>https://www.youtube.com/watch?v=QYWNXp36O48</v>
      </c>
      <c r="X606" s="81" t="s">
        <v>2349</v>
      </c>
      <c r="Y606" s="81">
        <v>1</v>
      </c>
      <c r="Z606" s="88">
        <v>44341.35429398148</v>
      </c>
      <c r="AA606" s="88">
        <v>44341.35429398148</v>
      </c>
      <c r="AB606" s="81"/>
      <c r="AC606" s="81"/>
      <c r="AD606" s="84" t="s">
        <v>2390</v>
      </c>
      <c r="AE606" s="82">
        <v>1</v>
      </c>
      <c r="AF606" s="83" t="str">
        <f>REPLACE(INDEX(GroupVertices[Group],MATCH(Edges[[#This Row],[Vertex 1]],GroupVertices[Vertex],0)),1,1,"")</f>
        <v>1</v>
      </c>
      <c r="AG606" s="83" t="str">
        <f>REPLACE(INDEX(GroupVertices[Group],MATCH(Edges[[#This Row],[Vertex 2]],GroupVertices[Vertex],0)),1,1,"")</f>
        <v>1</v>
      </c>
      <c r="AH606" s="111">
        <v>0</v>
      </c>
      <c r="AI606" s="112">
        <v>0</v>
      </c>
      <c r="AJ606" s="111">
        <v>0</v>
      </c>
      <c r="AK606" s="112">
        <v>0</v>
      </c>
      <c r="AL606" s="111">
        <v>0</v>
      </c>
      <c r="AM606" s="112">
        <v>0</v>
      </c>
      <c r="AN606" s="111">
        <v>4</v>
      </c>
      <c r="AO606" s="112">
        <v>100</v>
      </c>
      <c r="AP606" s="111">
        <v>4</v>
      </c>
    </row>
    <row r="607" spans="1:42" ht="15">
      <c r="A607" s="65" t="s">
        <v>703</v>
      </c>
      <c r="B607" s="65" t="s">
        <v>553</v>
      </c>
      <c r="C607" s="66" t="s">
        <v>4651</v>
      </c>
      <c r="D607" s="67">
        <v>3</v>
      </c>
      <c r="E607" s="68"/>
      <c r="F607" s="69">
        <v>40</v>
      </c>
      <c r="G607" s="66"/>
      <c r="H607" s="70"/>
      <c r="I607" s="71"/>
      <c r="J607" s="71"/>
      <c r="K607" s="35" t="s">
        <v>65</v>
      </c>
      <c r="L607" s="79">
        <v>607</v>
      </c>
      <c r="M607" s="79"/>
      <c r="N607" s="73"/>
      <c r="O607" s="81" t="s">
        <v>844</v>
      </c>
      <c r="P607" s="81" t="s">
        <v>199</v>
      </c>
      <c r="Q607" s="84" t="s">
        <v>1427</v>
      </c>
      <c r="R607" s="81" t="s">
        <v>703</v>
      </c>
      <c r="S607" s="81" t="s">
        <v>2062</v>
      </c>
      <c r="T607" s="86" t="str">
        <f>HYPERLINK("http://www.youtube.com/channel/UCZOI5uwoiAZBOOZGV8U8Awg")</f>
        <v>http://www.youtube.com/channel/UCZOI5uwoiAZBOOZGV8U8Awg</v>
      </c>
      <c r="U607" s="81"/>
      <c r="V607" s="81" t="s">
        <v>2329</v>
      </c>
      <c r="W607" s="86" t="str">
        <f>HYPERLINK("https://www.youtube.com/watch?v=QYWNXp36O48")</f>
        <v>https://www.youtube.com/watch?v=QYWNXp36O48</v>
      </c>
      <c r="X607" s="81" t="s">
        <v>2349</v>
      </c>
      <c r="Y607" s="81">
        <v>2</v>
      </c>
      <c r="Z607" s="88">
        <v>44343.92506944444</v>
      </c>
      <c r="AA607" s="88">
        <v>44343.92506944444</v>
      </c>
      <c r="AB607" s="81"/>
      <c r="AC607" s="81"/>
      <c r="AD607" s="84" t="s">
        <v>2390</v>
      </c>
      <c r="AE607" s="82">
        <v>1</v>
      </c>
      <c r="AF607" s="83" t="str">
        <f>REPLACE(INDEX(GroupVertices[Group],MATCH(Edges[[#This Row],[Vertex 1]],GroupVertices[Vertex],0)),1,1,"")</f>
        <v>1</v>
      </c>
      <c r="AG607" s="83" t="str">
        <f>REPLACE(INDEX(GroupVertices[Group],MATCH(Edges[[#This Row],[Vertex 2]],GroupVertices[Vertex],0)),1,1,"")</f>
        <v>1</v>
      </c>
      <c r="AH607" s="111">
        <v>0</v>
      </c>
      <c r="AI607" s="112">
        <v>0</v>
      </c>
      <c r="AJ607" s="111">
        <v>0</v>
      </c>
      <c r="AK607" s="112">
        <v>0</v>
      </c>
      <c r="AL607" s="111">
        <v>0</v>
      </c>
      <c r="AM607" s="112">
        <v>0</v>
      </c>
      <c r="AN607" s="111">
        <v>4</v>
      </c>
      <c r="AO607" s="112">
        <v>100</v>
      </c>
      <c r="AP607" s="111">
        <v>4</v>
      </c>
    </row>
    <row r="608" spans="1:42" ht="15">
      <c r="A608" s="65" t="s">
        <v>704</v>
      </c>
      <c r="B608" s="65" t="s">
        <v>841</v>
      </c>
      <c r="C608" s="66" t="s">
        <v>4651</v>
      </c>
      <c r="D608" s="67">
        <v>3</v>
      </c>
      <c r="E608" s="68"/>
      <c r="F608" s="69">
        <v>40</v>
      </c>
      <c r="G608" s="66"/>
      <c r="H608" s="70"/>
      <c r="I608" s="71"/>
      <c r="J608" s="71"/>
      <c r="K608" s="35" t="s">
        <v>65</v>
      </c>
      <c r="L608" s="79">
        <v>608</v>
      </c>
      <c r="M608" s="79"/>
      <c r="N608" s="73"/>
      <c r="O608" s="81" t="s">
        <v>844</v>
      </c>
      <c r="P608" s="81" t="s">
        <v>199</v>
      </c>
      <c r="Q608" s="84" t="s">
        <v>1428</v>
      </c>
      <c r="R608" s="81" t="s">
        <v>704</v>
      </c>
      <c r="S608" s="81" t="s">
        <v>2063</v>
      </c>
      <c r="T608" s="86" t="str">
        <f>HYPERLINK("http://www.youtube.com/channel/UCMixeMb71H5JegR4sF3O8_Q")</f>
        <v>http://www.youtube.com/channel/UCMixeMb71H5JegR4sF3O8_Q</v>
      </c>
      <c r="U608" s="81"/>
      <c r="V608" s="81" t="s">
        <v>2330</v>
      </c>
      <c r="W608" s="86" t="str">
        <f>HYPERLINK("https://www.youtube.com/watch?v=AvwX1m4LR4w")</f>
        <v>https://www.youtube.com/watch?v=AvwX1m4LR4w</v>
      </c>
      <c r="X608" s="81" t="s">
        <v>2349</v>
      </c>
      <c r="Y608" s="81">
        <v>1</v>
      </c>
      <c r="Z608" s="88">
        <v>40661.919895833336</v>
      </c>
      <c r="AA608" s="88">
        <v>40661.919895833336</v>
      </c>
      <c r="AB608" s="81"/>
      <c r="AC608" s="81"/>
      <c r="AD608" s="84" t="s">
        <v>2390</v>
      </c>
      <c r="AE608" s="82">
        <v>1</v>
      </c>
      <c r="AF608" s="83" t="str">
        <f>REPLACE(INDEX(GroupVertices[Group],MATCH(Edges[[#This Row],[Vertex 1]],GroupVertices[Vertex],0)),1,1,"")</f>
        <v>5</v>
      </c>
      <c r="AG608" s="83" t="str">
        <f>REPLACE(INDEX(GroupVertices[Group],MATCH(Edges[[#This Row],[Vertex 2]],GroupVertices[Vertex],0)),1,1,"")</f>
        <v>5</v>
      </c>
      <c r="AH608" s="111">
        <v>0</v>
      </c>
      <c r="AI608" s="112">
        <v>0</v>
      </c>
      <c r="AJ608" s="111">
        <v>0</v>
      </c>
      <c r="AK608" s="112">
        <v>0</v>
      </c>
      <c r="AL608" s="111">
        <v>0</v>
      </c>
      <c r="AM608" s="112">
        <v>0</v>
      </c>
      <c r="AN608" s="111">
        <v>1</v>
      </c>
      <c r="AO608" s="112">
        <v>100</v>
      </c>
      <c r="AP608" s="111">
        <v>1</v>
      </c>
    </row>
    <row r="609" spans="1:42" ht="15">
      <c r="A609" s="65" t="s">
        <v>705</v>
      </c>
      <c r="B609" s="65" t="s">
        <v>841</v>
      </c>
      <c r="C609" s="66" t="s">
        <v>4651</v>
      </c>
      <c r="D609" s="67">
        <v>3</v>
      </c>
      <c r="E609" s="68"/>
      <c r="F609" s="69">
        <v>40</v>
      </c>
      <c r="G609" s="66"/>
      <c r="H609" s="70"/>
      <c r="I609" s="71"/>
      <c r="J609" s="71"/>
      <c r="K609" s="35" t="s">
        <v>65</v>
      </c>
      <c r="L609" s="79">
        <v>609</v>
      </c>
      <c r="M609" s="79"/>
      <c r="N609" s="73"/>
      <c r="O609" s="81" t="s">
        <v>844</v>
      </c>
      <c r="P609" s="81" t="s">
        <v>199</v>
      </c>
      <c r="Q609" s="84" t="s">
        <v>1429</v>
      </c>
      <c r="R609" s="81" t="s">
        <v>705</v>
      </c>
      <c r="S609" s="81" t="s">
        <v>2064</v>
      </c>
      <c r="T609" s="86" t="str">
        <f>HYPERLINK("http://www.youtube.com/channel/UCLyTiWHuzU_EuTFdfAAD-EA")</f>
        <v>http://www.youtube.com/channel/UCLyTiWHuzU_EuTFdfAAD-EA</v>
      </c>
      <c r="U609" s="81"/>
      <c r="V609" s="81" t="s">
        <v>2330</v>
      </c>
      <c r="W609" s="86" t="str">
        <f>HYPERLINK("https://www.youtube.com/watch?v=AvwX1m4LR4w")</f>
        <v>https://www.youtube.com/watch?v=AvwX1m4LR4w</v>
      </c>
      <c r="X609" s="81" t="s">
        <v>2349</v>
      </c>
      <c r="Y609" s="81">
        <v>1</v>
      </c>
      <c r="Z609" s="88">
        <v>40695.30805555556</v>
      </c>
      <c r="AA609" s="88">
        <v>40695.30805555556</v>
      </c>
      <c r="AB609" s="81"/>
      <c r="AC609" s="81"/>
      <c r="AD609" s="84" t="s">
        <v>2390</v>
      </c>
      <c r="AE609" s="82">
        <v>1</v>
      </c>
      <c r="AF609" s="83" t="str">
        <f>REPLACE(INDEX(GroupVertices[Group],MATCH(Edges[[#This Row],[Vertex 1]],GroupVertices[Vertex],0)),1,1,"")</f>
        <v>5</v>
      </c>
      <c r="AG609" s="83" t="str">
        <f>REPLACE(INDEX(GroupVertices[Group],MATCH(Edges[[#This Row],[Vertex 2]],GroupVertices[Vertex],0)),1,1,"")</f>
        <v>5</v>
      </c>
      <c r="AH609" s="111">
        <v>0</v>
      </c>
      <c r="AI609" s="112">
        <v>0</v>
      </c>
      <c r="AJ609" s="111">
        <v>0</v>
      </c>
      <c r="AK609" s="112">
        <v>0</v>
      </c>
      <c r="AL609" s="111">
        <v>0</v>
      </c>
      <c r="AM609" s="112">
        <v>0</v>
      </c>
      <c r="AN609" s="111">
        <v>10</v>
      </c>
      <c r="AO609" s="112">
        <v>100</v>
      </c>
      <c r="AP609" s="111">
        <v>10</v>
      </c>
    </row>
    <row r="610" spans="1:42" ht="15">
      <c r="A610" s="65" t="s">
        <v>706</v>
      </c>
      <c r="B610" s="65" t="s">
        <v>839</v>
      </c>
      <c r="C610" s="66" t="s">
        <v>4651</v>
      </c>
      <c r="D610" s="67">
        <v>3</v>
      </c>
      <c r="E610" s="68"/>
      <c r="F610" s="69">
        <v>40</v>
      </c>
      <c r="G610" s="66"/>
      <c r="H610" s="70"/>
      <c r="I610" s="71"/>
      <c r="J610" s="71"/>
      <c r="K610" s="35" t="s">
        <v>65</v>
      </c>
      <c r="L610" s="79">
        <v>610</v>
      </c>
      <c r="M610" s="79"/>
      <c r="N610" s="73"/>
      <c r="O610" s="81" t="s">
        <v>844</v>
      </c>
      <c r="P610" s="81" t="s">
        <v>199</v>
      </c>
      <c r="Q610" s="84" t="s">
        <v>1430</v>
      </c>
      <c r="R610" s="81" t="s">
        <v>706</v>
      </c>
      <c r="S610" s="81" t="s">
        <v>2065</v>
      </c>
      <c r="T610" s="86" t="str">
        <f>HYPERLINK("http://www.youtube.com/channel/UCpyxjvX8EybTbZlnyoubqKQ")</f>
        <v>http://www.youtube.com/channel/UCpyxjvX8EybTbZlnyoubqKQ</v>
      </c>
      <c r="U610" s="81"/>
      <c r="V610" s="81" t="s">
        <v>2331</v>
      </c>
      <c r="W610" s="86" t="str">
        <f>HYPERLINK("https://www.youtube.com/watch?v=Uuk8iIhq-Do")</f>
        <v>https://www.youtube.com/watch?v=Uuk8iIhq-Do</v>
      </c>
      <c r="X610" s="81" t="s">
        <v>2349</v>
      </c>
      <c r="Y610" s="81">
        <v>0</v>
      </c>
      <c r="Z610" s="88">
        <v>44314.50172453704</v>
      </c>
      <c r="AA610" s="88">
        <v>44314.50172453704</v>
      </c>
      <c r="AB610" s="81"/>
      <c r="AC610" s="81"/>
      <c r="AD610" s="84" t="s">
        <v>2390</v>
      </c>
      <c r="AE610" s="82">
        <v>1</v>
      </c>
      <c r="AF610" s="83" t="str">
        <f>REPLACE(INDEX(GroupVertices[Group],MATCH(Edges[[#This Row],[Vertex 1]],GroupVertices[Vertex],0)),1,1,"")</f>
        <v>22</v>
      </c>
      <c r="AG610" s="83" t="str">
        <f>REPLACE(INDEX(GroupVertices[Group],MATCH(Edges[[#This Row],[Vertex 2]],GroupVertices[Vertex],0)),1,1,"")</f>
        <v>22</v>
      </c>
      <c r="AH610" s="111">
        <v>0</v>
      </c>
      <c r="AI610" s="112">
        <v>0</v>
      </c>
      <c r="AJ610" s="111">
        <v>0</v>
      </c>
      <c r="AK610" s="112">
        <v>0</v>
      </c>
      <c r="AL610" s="111">
        <v>0</v>
      </c>
      <c r="AM610" s="112">
        <v>0</v>
      </c>
      <c r="AN610" s="111">
        <v>3</v>
      </c>
      <c r="AO610" s="112">
        <v>100</v>
      </c>
      <c r="AP610" s="111">
        <v>3</v>
      </c>
    </row>
    <row r="611" spans="1:42" ht="15">
      <c r="A611" s="65" t="s">
        <v>707</v>
      </c>
      <c r="B611" s="65" t="s">
        <v>840</v>
      </c>
      <c r="C611" s="66" t="s">
        <v>4651</v>
      </c>
      <c r="D611" s="67">
        <v>3</v>
      </c>
      <c r="E611" s="68"/>
      <c r="F611" s="69">
        <v>40</v>
      </c>
      <c r="G611" s="66"/>
      <c r="H611" s="70"/>
      <c r="I611" s="71"/>
      <c r="J611" s="71"/>
      <c r="K611" s="35" t="s">
        <v>65</v>
      </c>
      <c r="L611" s="79">
        <v>611</v>
      </c>
      <c r="M611" s="79"/>
      <c r="N611" s="73"/>
      <c r="O611" s="81" t="s">
        <v>844</v>
      </c>
      <c r="P611" s="81" t="s">
        <v>199</v>
      </c>
      <c r="Q611" s="84" t="s">
        <v>1431</v>
      </c>
      <c r="R611" s="81" t="s">
        <v>707</v>
      </c>
      <c r="S611" s="81" t="s">
        <v>2066</v>
      </c>
      <c r="T611" s="86" t="str">
        <f>HYPERLINK("http://www.youtube.com/channel/UCJCl1Qw-Uor9xnVdfuhcH0Q")</f>
        <v>http://www.youtube.com/channel/UCJCl1Qw-Uor9xnVdfuhcH0Q</v>
      </c>
      <c r="U611" s="81"/>
      <c r="V611" s="81" t="s">
        <v>2332</v>
      </c>
      <c r="W611" s="86" t="str">
        <f>HYPERLINK("https://www.youtube.com/watch?v=uGHwpg-fJvc")</f>
        <v>https://www.youtube.com/watch?v=uGHwpg-fJvc</v>
      </c>
      <c r="X611" s="81" t="s">
        <v>2349</v>
      </c>
      <c r="Y611" s="81">
        <v>2</v>
      </c>
      <c r="Z611" s="88">
        <v>43136.205671296295</v>
      </c>
      <c r="AA611" s="88">
        <v>43136.205671296295</v>
      </c>
      <c r="AB611" s="81"/>
      <c r="AC611" s="81"/>
      <c r="AD611" s="84" t="s">
        <v>2390</v>
      </c>
      <c r="AE611" s="82">
        <v>1</v>
      </c>
      <c r="AF611" s="83" t="str">
        <f>REPLACE(INDEX(GroupVertices[Group],MATCH(Edges[[#This Row],[Vertex 1]],GroupVertices[Vertex],0)),1,1,"")</f>
        <v>4</v>
      </c>
      <c r="AG611" s="83" t="str">
        <f>REPLACE(INDEX(GroupVertices[Group],MATCH(Edges[[#This Row],[Vertex 2]],GroupVertices[Vertex],0)),1,1,"")</f>
        <v>4</v>
      </c>
      <c r="AH611" s="111">
        <v>0</v>
      </c>
      <c r="AI611" s="112">
        <v>0</v>
      </c>
      <c r="AJ611" s="111">
        <v>0</v>
      </c>
      <c r="AK611" s="112">
        <v>0</v>
      </c>
      <c r="AL611" s="111">
        <v>0</v>
      </c>
      <c r="AM611" s="112">
        <v>0</v>
      </c>
      <c r="AN611" s="111">
        <v>6</v>
      </c>
      <c r="AO611" s="112">
        <v>100</v>
      </c>
      <c r="AP611" s="111">
        <v>6</v>
      </c>
    </row>
    <row r="612" spans="1:42" ht="15">
      <c r="A612" s="65" t="s">
        <v>708</v>
      </c>
      <c r="B612" s="65" t="s">
        <v>840</v>
      </c>
      <c r="C612" s="66" t="s">
        <v>4651</v>
      </c>
      <c r="D612" s="67">
        <v>3</v>
      </c>
      <c r="E612" s="68"/>
      <c r="F612" s="69">
        <v>40</v>
      </c>
      <c r="G612" s="66"/>
      <c r="H612" s="70"/>
      <c r="I612" s="71"/>
      <c r="J612" s="71"/>
      <c r="K612" s="35" t="s">
        <v>65</v>
      </c>
      <c r="L612" s="79">
        <v>612</v>
      </c>
      <c r="M612" s="79"/>
      <c r="N612" s="73"/>
      <c r="O612" s="81" t="s">
        <v>844</v>
      </c>
      <c r="P612" s="81" t="s">
        <v>199</v>
      </c>
      <c r="Q612" s="84" t="s">
        <v>1432</v>
      </c>
      <c r="R612" s="81" t="s">
        <v>708</v>
      </c>
      <c r="S612" s="81" t="s">
        <v>2067</v>
      </c>
      <c r="T612" s="86" t="str">
        <f>HYPERLINK("http://www.youtube.com/channel/UC7rNPh7zNnIm-1yWgTKmYrw")</f>
        <v>http://www.youtube.com/channel/UC7rNPh7zNnIm-1yWgTKmYrw</v>
      </c>
      <c r="U612" s="81"/>
      <c r="V612" s="81" t="s">
        <v>2332</v>
      </c>
      <c r="W612" s="86" t="str">
        <f>HYPERLINK("https://www.youtube.com/watch?v=uGHwpg-fJvc")</f>
        <v>https://www.youtube.com/watch?v=uGHwpg-fJvc</v>
      </c>
      <c r="X612" s="81" t="s">
        <v>2349</v>
      </c>
      <c r="Y612" s="81">
        <v>2</v>
      </c>
      <c r="Z612" s="88">
        <v>43291.67005787037</v>
      </c>
      <c r="AA612" s="88">
        <v>43291.67005787037</v>
      </c>
      <c r="AB612" s="81"/>
      <c r="AC612" s="81"/>
      <c r="AD612" s="84" t="s">
        <v>2390</v>
      </c>
      <c r="AE612" s="82">
        <v>1</v>
      </c>
      <c r="AF612" s="83" t="str">
        <f>REPLACE(INDEX(GroupVertices[Group],MATCH(Edges[[#This Row],[Vertex 1]],GroupVertices[Vertex],0)),1,1,"")</f>
        <v>4</v>
      </c>
      <c r="AG612" s="83" t="str">
        <f>REPLACE(INDEX(GroupVertices[Group],MATCH(Edges[[#This Row],[Vertex 2]],GroupVertices[Vertex],0)),1,1,"")</f>
        <v>4</v>
      </c>
      <c r="AH612" s="111">
        <v>0</v>
      </c>
      <c r="AI612" s="112">
        <v>0</v>
      </c>
      <c r="AJ612" s="111">
        <v>0</v>
      </c>
      <c r="AK612" s="112">
        <v>0</v>
      </c>
      <c r="AL612" s="111">
        <v>0</v>
      </c>
      <c r="AM612" s="112">
        <v>0</v>
      </c>
      <c r="AN612" s="111">
        <v>3</v>
      </c>
      <c r="AO612" s="112">
        <v>100</v>
      </c>
      <c r="AP612" s="111">
        <v>3</v>
      </c>
    </row>
    <row r="613" spans="1:42" ht="15">
      <c r="A613" s="65" t="s">
        <v>709</v>
      </c>
      <c r="B613" s="65" t="s">
        <v>840</v>
      </c>
      <c r="C613" s="66" t="s">
        <v>4651</v>
      </c>
      <c r="D613" s="67">
        <v>3</v>
      </c>
      <c r="E613" s="68"/>
      <c r="F613" s="69">
        <v>40</v>
      </c>
      <c r="G613" s="66"/>
      <c r="H613" s="70"/>
      <c r="I613" s="71"/>
      <c r="J613" s="71"/>
      <c r="K613" s="35" t="s">
        <v>65</v>
      </c>
      <c r="L613" s="79">
        <v>613</v>
      </c>
      <c r="M613" s="79"/>
      <c r="N613" s="73"/>
      <c r="O613" s="81" t="s">
        <v>844</v>
      </c>
      <c r="P613" s="81" t="s">
        <v>199</v>
      </c>
      <c r="Q613" s="84" t="s">
        <v>1433</v>
      </c>
      <c r="R613" s="81" t="s">
        <v>709</v>
      </c>
      <c r="S613" s="81" t="s">
        <v>2068</v>
      </c>
      <c r="T613" s="86" t="str">
        <f>HYPERLINK("http://www.youtube.com/channel/UC5f6Lx2sf0O43HKt0G5_4YA")</f>
        <v>http://www.youtube.com/channel/UC5f6Lx2sf0O43HKt0G5_4YA</v>
      </c>
      <c r="U613" s="81"/>
      <c r="V613" s="81" t="s">
        <v>2332</v>
      </c>
      <c r="W613" s="86" t="str">
        <f>HYPERLINK("https://www.youtube.com/watch?v=uGHwpg-fJvc")</f>
        <v>https://www.youtube.com/watch?v=uGHwpg-fJvc</v>
      </c>
      <c r="X613" s="81" t="s">
        <v>2349</v>
      </c>
      <c r="Y613" s="81">
        <v>4</v>
      </c>
      <c r="Z613" s="88">
        <v>43461.63012731481</v>
      </c>
      <c r="AA613" s="88">
        <v>43461.63012731481</v>
      </c>
      <c r="AB613" s="81"/>
      <c r="AC613" s="81"/>
      <c r="AD613" s="84" t="s">
        <v>2390</v>
      </c>
      <c r="AE613" s="82">
        <v>1</v>
      </c>
      <c r="AF613" s="83" t="str">
        <f>REPLACE(INDEX(GroupVertices[Group],MATCH(Edges[[#This Row],[Vertex 1]],GroupVertices[Vertex],0)),1,1,"")</f>
        <v>4</v>
      </c>
      <c r="AG613" s="83" t="str">
        <f>REPLACE(INDEX(GroupVertices[Group],MATCH(Edges[[#This Row],[Vertex 2]],GroupVertices[Vertex],0)),1,1,"")</f>
        <v>4</v>
      </c>
      <c r="AH613" s="111">
        <v>1</v>
      </c>
      <c r="AI613" s="112">
        <v>50</v>
      </c>
      <c r="AJ613" s="111">
        <v>0</v>
      </c>
      <c r="AK613" s="112">
        <v>0</v>
      </c>
      <c r="AL613" s="111">
        <v>0</v>
      </c>
      <c r="AM613" s="112">
        <v>0</v>
      </c>
      <c r="AN613" s="111">
        <v>1</v>
      </c>
      <c r="AO613" s="112">
        <v>50</v>
      </c>
      <c r="AP613" s="111">
        <v>2</v>
      </c>
    </row>
    <row r="614" spans="1:42" ht="15">
      <c r="A614" s="65" t="s">
        <v>710</v>
      </c>
      <c r="B614" s="65" t="s">
        <v>840</v>
      </c>
      <c r="C614" s="66" t="s">
        <v>4651</v>
      </c>
      <c r="D614" s="67">
        <v>3</v>
      </c>
      <c r="E614" s="68"/>
      <c r="F614" s="69">
        <v>40</v>
      </c>
      <c r="G614" s="66"/>
      <c r="H614" s="70"/>
      <c r="I614" s="71"/>
      <c r="J614" s="71"/>
      <c r="K614" s="35" t="s">
        <v>65</v>
      </c>
      <c r="L614" s="79">
        <v>614</v>
      </c>
      <c r="M614" s="79"/>
      <c r="N614" s="73"/>
      <c r="O614" s="81" t="s">
        <v>844</v>
      </c>
      <c r="P614" s="81" t="s">
        <v>199</v>
      </c>
      <c r="Q614" s="84" t="s">
        <v>1434</v>
      </c>
      <c r="R614" s="81" t="s">
        <v>710</v>
      </c>
      <c r="S614" s="81" t="s">
        <v>2069</v>
      </c>
      <c r="T614" s="86" t="str">
        <f>HYPERLINK("http://www.youtube.com/channel/UC2m5BR47ai-hasWinpJQIrQ")</f>
        <v>http://www.youtube.com/channel/UC2m5BR47ai-hasWinpJQIrQ</v>
      </c>
      <c r="U614" s="81"/>
      <c r="V614" s="81" t="s">
        <v>2332</v>
      </c>
      <c r="W614" s="86" t="str">
        <f>HYPERLINK("https://www.youtube.com/watch?v=uGHwpg-fJvc")</f>
        <v>https://www.youtube.com/watch?v=uGHwpg-fJvc</v>
      </c>
      <c r="X614" s="81" t="s">
        <v>2349</v>
      </c>
      <c r="Y614" s="81">
        <v>2</v>
      </c>
      <c r="Z614" s="88">
        <v>43523.63946759259</v>
      </c>
      <c r="AA614" s="88">
        <v>43523.63946759259</v>
      </c>
      <c r="AB614" s="81"/>
      <c r="AC614" s="81"/>
      <c r="AD614" s="84" t="s">
        <v>2390</v>
      </c>
      <c r="AE614" s="82">
        <v>1</v>
      </c>
      <c r="AF614" s="83" t="str">
        <f>REPLACE(INDEX(GroupVertices[Group],MATCH(Edges[[#This Row],[Vertex 1]],GroupVertices[Vertex],0)),1,1,"")</f>
        <v>4</v>
      </c>
      <c r="AG614" s="83" t="str">
        <f>REPLACE(INDEX(GroupVertices[Group],MATCH(Edges[[#This Row],[Vertex 2]],GroupVertices[Vertex],0)),1,1,"")</f>
        <v>4</v>
      </c>
      <c r="AH614" s="111">
        <v>1</v>
      </c>
      <c r="AI614" s="112">
        <v>50</v>
      </c>
      <c r="AJ614" s="111">
        <v>0</v>
      </c>
      <c r="AK614" s="112">
        <v>0</v>
      </c>
      <c r="AL614" s="111">
        <v>0</v>
      </c>
      <c r="AM614" s="112">
        <v>0</v>
      </c>
      <c r="AN614" s="111">
        <v>1</v>
      </c>
      <c r="AO614" s="112">
        <v>50</v>
      </c>
      <c r="AP614" s="111">
        <v>2</v>
      </c>
    </row>
    <row r="615" spans="1:42" ht="15">
      <c r="A615" s="65" t="s">
        <v>290</v>
      </c>
      <c r="B615" s="65" t="s">
        <v>711</v>
      </c>
      <c r="C615" s="66" t="s">
        <v>4651</v>
      </c>
      <c r="D615" s="67">
        <v>3</v>
      </c>
      <c r="E615" s="68"/>
      <c r="F615" s="69">
        <v>40</v>
      </c>
      <c r="G615" s="66"/>
      <c r="H615" s="70"/>
      <c r="I615" s="71"/>
      <c r="J615" s="71"/>
      <c r="K615" s="35" t="s">
        <v>65</v>
      </c>
      <c r="L615" s="79">
        <v>615</v>
      </c>
      <c r="M615" s="79"/>
      <c r="N615" s="73"/>
      <c r="O615" s="81" t="s">
        <v>845</v>
      </c>
      <c r="P615" s="81" t="s">
        <v>847</v>
      </c>
      <c r="Q615" s="84" t="s">
        <v>1435</v>
      </c>
      <c r="R615" s="81" t="s">
        <v>290</v>
      </c>
      <c r="S615" s="81" t="s">
        <v>1649</v>
      </c>
      <c r="T615" s="86" t="str">
        <f>HYPERLINK("http://www.youtube.com/channel/UC_k3eP9m8U3bW2ByWs3BRlg")</f>
        <v>http://www.youtube.com/channel/UC_k3eP9m8U3bW2ByWs3BRlg</v>
      </c>
      <c r="U615" s="81" t="s">
        <v>2285</v>
      </c>
      <c r="V615" s="81" t="s">
        <v>2332</v>
      </c>
      <c r="W615" s="86" t="str">
        <f>HYPERLINK("https://www.youtube.com/watch?v=uGHwpg-fJvc")</f>
        <v>https://www.youtube.com/watch?v=uGHwpg-fJvc</v>
      </c>
      <c r="X615" s="81" t="s">
        <v>2349</v>
      </c>
      <c r="Y615" s="81">
        <v>0</v>
      </c>
      <c r="Z615" s="88">
        <v>44257.54924768519</v>
      </c>
      <c r="AA615" s="88">
        <v>44257.54924768519</v>
      </c>
      <c r="AB615" s="81"/>
      <c r="AC615" s="81"/>
      <c r="AD615" s="84" t="s">
        <v>2390</v>
      </c>
      <c r="AE615" s="82">
        <v>1</v>
      </c>
      <c r="AF615" s="83" t="str">
        <f>REPLACE(INDEX(GroupVertices[Group],MATCH(Edges[[#This Row],[Vertex 1]],GroupVertices[Vertex],0)),1,1,"")</f>
        <v>3</v>
      </c>
      <c r="AG615" s="83" t="str">
        <f>REPLACE(INDEX(GroupVertices[Group],MATCH(Edges[[#This Row],[Vertex 2]],GroupVertices[Vertex],0)),1,1,"")</f>
        <v>3</v>
      </c>
      <c r="AH615" s="111">
        <v>0</v>
      </c>
      <c r="AI615" s="112">
        <v>0</v>
      </c>
      <c r="AJ615" s="111">
        <v>0</v>
      </c>
      <c r="AK615" s="112">
        <v>0</v>
      </c>
      <c r="AL615" s="111">
        <v>0</v>
      </c>
      <c r="AM615" s="112">
        <v>0</v>
      </c>
      <c r="AN615" s="111">
        <v>2</v>
      </c>
      <c r="AO615" s="112">
        <v>100</v>
      </c>
      <c r="AP615" s="111">
        <v>2</v>
      </c>
    </row>
    <row r="616" spans="1:42" ht="15">
      <c r="A616" s="65" t="s">
        <v>711</v>
      </c>
      <c r="B616" s="65" t="s">
        <v>840</v>
      </c>
      <c r="C616" s="66" t="s">
        <v>4651</v>
      </c>
      <c r="D616" s="67">
        <v>3</v>
      </c>
      <c r="E616" s="68"/>
      <c r="F616" s="69">
        <v>40</v>
      </c>
      <c r="G616" s="66"/>
      <c r="H616" s="70"/>
      <c r="I616" s="71"/>
      <c r="J616" s="71"/>
      <c r="K616" s="35" t="s">
        <v>65</v>
      </c>
      <c r="L616" s="79">
        <v>616</v>
      </c>
      <c r="M616" s="79"/>
      <c r="N616" s="73"/>
      <c r="O616" s="81" t="s">
        <v>844</v>
      </c>
      <c r="P616" s="81" t="s">
        <v>199</v>
      </c>
      <c r="Q616" s="84" t="s">
        <v>1436</v>
      </c>
      <c r="R616" s="81" t="s">
        <v>711</v>
      </c>
      <c r="S616" s="81" t="s">
        <v>2070</v>
      </c>
      <c r="T616" s="86" t="str">
        <f>HYPERLINK("http://www.youtube.com/channel/UC4NI7ilrRqfiK8xMUG1dZ0w")</f>
        <v>http://www.youtube.com/channel/UC4NI7ilrRqfiK8xMUG1dZ0w</v>
      </c>
      <c r="U616" s="81"/>
      <c r="V616" s="81" t="s">
        <v>2332</v>
      </c>
      <c r="W616" s="86" t="str">
        <f>HYPERLINK("https://www.youtube.com/watch?v=uGHwpg-fJvc")</f>
        <v>https://www.youtube.com/watch?v=uGHwpg-fJvc</v>
      </c>
      <c r="X616" s="81" t="s">
        <v>2349</v>
      </c>
      <c r="Y616" s="81">
        <v>4</v>
      </c>
      <c r="Z616" s="88">
        <v>43548.24267361111</v>
      </c>
      <c r="AA616" s="88">
        <v>43548.242847222224</v>
      </c>
      <c r="AB616" s="81"/>
      <c r="AC616" s="81"/>
      <c r="AD616" s="84" t="s">
        <v>2390</v>
      </c>
      <c r="AE616" s="82">
        <v>1</v>
      </c>
      <c r="AF616" s="83" t="str">
        <f>REPLACE(INDEX(GroupVertices[Group],MATCH(Edges[[#This Row],[Vertex 1]],GroupVertices[Vertex],0)),1,1,"")</f>
        <v>3</v>
      </c>
      <c r="AG616" s="83" t="str">
        <f>REPLACE(INDEX(GroupVertices[Group],MATCH(Edges[[#This Row],[Vertex 2]],GroupVertices[Vertex],0)),1,1,"")</f>
        <v>4</v>
      </c>
      <c r="AH616" s="111">
        <v>0</v>
      </c>
      <c r="AI616" s="112">
        <v>0</v>
      </c>
      <c r="AJ616" s="111">
        <v>0</v>
      </c>
      <c r="AK616" s="112">
        <v>0</v>
      </c>
      <c r="AL616" s="111">
        <v>0</v>
      </c>
      <c r="AM616" s="112">
        <v>0</v>
      </c>
      <c r="AN616" s="111">
        <v>10</v>
      </c>
      <c r="AO616" s="112">
        <v>100</v>
      </c>
      <c r="AP616" s="111">
        <v>10</v>
      </c>
    </row>
    <row r="617" spans="1:42" ht="15">
      <c r="A617" s="65" t="s">
        <v>712</v>
      </c>
      <c r="B617" s="65" t="s">
        <v>840</v>
      </c>
      <c r="C617" s="66" t="s">
        <v>4651</v>
      </c>
      <c r="D617" s="67">
        <v>3</v>
      </c>
      <c r="E617" s="68"/>
      <c r="F617" s="69">
        <v>40</v>
      </c>
      <c r="G617" s="66"/>
      <c r="H617" s="70"/>
      <c r="I617" s="71"/>
      <c r="J617" s="71"/>
      <c r="K617" s="35" t="s">
        <v>65</v>
      </c>
      <c r="L617" s="79">
        <v>617</v>
      </c>
      <c r="M617" s="79"/>
      <c r="N617" s="73"/>
      <c r="O617" s="81" t="s">
        <v>844</v>
      </c>
      <c r="P617" s="81" t="s">
        <v>199</v>
      </c>
      <c r="Q617" s="84" t="s">
        <v>1437</v>
      </c>
      <c r="R617" s="81" t="s">
        <v>712</v>
      </c>
      <c r="S617" s="81" t="s">
        <v>2071</v>
      </c>
      <c r="T617" s="86" t="str">
        <f>HYPERLINK("http://www.youtube.com/channel/UCEQkX3yQvmG-23u9b8lvmuw")</f>
        <v>http://www.youtube.com/channel/UCEQkX3yQvmG-23u9b8lvmuw</v>
      </c>
      <c r="U617" s="81"/>
      <c r="V617" s="81" t="s">
        <v>2332</v>
      </c>
      <c r="W617" s="86" t="str">
        <f>HYPERLINK("https://www.youtube.com/watch?v=uGHwpg-fJvc")</f>
        <v>https://www.youtube.com/watch?v=uGHwpg-fJvc</v>
      </c>
      <c r="X617" s="81" t="s">
        <v>2349</v>
      </c>
      <c r="Y617" s="81">
        <v>4</v>
      </c>
      <c r="Z617" s="88">
        <v>43558.692928240744</v>
      </c>
      <c r="AA617" s="88">
        <v>43558.692928240744</v>
      </c>
      <c r="AB617" s="81"/>
      <c r="AC617" s="81"/>
      <c r="AD617" s="84" t="s">
        <v>2390</v>
      </c>
      <c r="AE617" s="82">
        <v>1</v>
      </c>
      <c r="AF617" s="83" t="str">
        <f>REPLACE(INDEX(GroupVertices[Group],MATCH(Edges[[#This Row],[Vertex 1]],GroupVertices[Vertex],0)),1,1,"")</f>
        <v>4</v>
      </c>
      <c r="AG617" s="83" t="str">
        <f>REPLACE(INDEX(GroupVertices[Group],MATCH(Edges[[#This Row],[Vertex 2]],GroupVertices[Vertex],0)),1,1,"")</f>
        <v>4</v>
      </c>
      <c r="AH617" s="111">
        <v>2</v>
      </c>
      <c r="AI617" s="112">
        <v>22.22222222222222</v>
      </c>
      <c r="AJ617" s="111">
        <v>0</v>
      </c>
      <c r="AK617" s="112">
        <v>0</v>
      </c>
      <c r="AL617" s="111">
        <v>0</v>
      </c>
      <c r="AM617" s="112">
        <v>0</v>
      </c>
      <c r="AN617" s="111">
        <v>7</v>
      </c>
      <c r="AO617" s="112">
        <v>77.77777777777777</v>
      </c>
      <c r="AP617" s="111">
        <v>9</v>
      </c>
    </row>
    <row r="618" spans="1:42" ht="15">
      <c r="A618" s="65" t="s">
        <v>713</v>
      </c>
      <c r="B618" s="65" t="s">
        <v>840</v>
      </c>
      <c r="C618" s="66" t="s">
        <v>4651</v>
      </c>
      <c r="D618" s="67">
        <v>3</v>
      </c>
      <c r="E618" s="68"/>
      <c r="F618" s="69">
        <v>40</v>
      </c>
      <c r="G618" s="66"/>
      <c r="H618" s="70"/>
      <c r="I618" s="71"/>
      <c r="J618" s="71"/>
      <c r="K618" s="35" t="s">
        <v>65</v>
      </c>
      <c r="L618" s="79">
        <v>618</v>
      </c>
      <c r="M618" s="79"/>
      <c r="N618" s="73"/>
      <c r="O618" s="81" t="s">
        <v>844</v>
      </c>
      <c r="P618" s="81" t="s">
        <v>199</v>
      </c>
      <c r="Q618" s="84" t="s">
        <v>1438</v>
      </c>
      <c r="R618" s="81" t="s">
        <v>713</v>
      </c>
      <c r="S618" s="81" t="s">
        <v>2072</v>
      </c>
      <c r="T618" s="86" t="str">
        <f>HYPERLINK("http://www.youtube.com/channel/UCNpJn9ONNVoW_DGiP6khUFg")</f>
        <v>http://www.youtube.com/channel/UCNpJn9ONNVoW_DGiP6khUFg</v>
      </c>
      <c r="U618" s="81"/>
      <c r="V618" s="81" t="s">
        <v>2332</v>
      </c>
      <c r="W618" s="86" t="str">
        <f>HYPERLINK("https://www.youtube.com/watch?v=uGHwpg-fJvc")</f>
        <v>https://www.youtube.com/watch?v=uGHwpg-fJvc</v>
      </c>
      <c r="X618" s="81" t="s">
        <v>2349</v>
      </c>
      <c r="Y618" s="81">
        <v>5</v>
      </c>
      <c r="Z618" s="88">
        <v>43732.94673611111</v>
      </c>
      <c r="AA618" s="88">
        <v>43732.94684027778</v>
      </c>
      <c r="AB618" s="81"/>
      <c r="AC618" s="81"/>
      <c r="AD618" s="84" t="s">
        <v>2390</v>
      </c>
      <c r="AE618" s="82">
        <v>1</v>
      </c>
      <c r="AF618" s="83" t="str">
        <f>REPLACE(INDEX(GroupVertices[Group],MATCH(Edges[[#This Row],[Vertex 1]],GroupVertices[Vertex],0)),1,1,"")</f>
        <v>4</v>
      </c>
      <c r="AG618" s="83" t="str">
        <f>REPLACE(INDEX(GroupVertices[Group],MATCH(Edges[[#This Row],[Vertex 2]],GroupVertices[Vertex],0)),1,1,"")</f>
        <v>4</v>
      </c>
      <c r="AH618" s="111">
        <v>1</v>
      </c>
      <c r="AI618" s="112">
        <v>25</v>
      </c>
      <c r="AJ618" s="111">
        <v>0</v>
      </c>
      <c r="AK618" s="112">
        <v>0</v>
      </c>
      <c r="AL618" s="111">
        <v>0</v>
      </c>
      <c r="AM618" s="112">
        <v>0</v>
      </c>
      <c r="AN618" s="111">
        <v>3</v>
      </c>
      <c r="AO618" s="112">
        <v>75</v>
      </c>
      <c r="AP618" s="111">
        <v>4</v>
      </c>
    </row>
    <row r="619" spans="1:42" ht="15">
      <c r="A619" s="65" t="s">
        <v>714</v>
      </c>
      <c r="B619" s="65" t="s">
        <v>840</v>
      </c>
      <c r="C619" s="66" t="s">
        <v>4651</v>
      </c>
      <c r="D619" s="67">
        <v>3</v>
      </c>
      <c r="E619" s="68"/>
      <c r="F619" s="69">
        <v>40</v>
      </c>
      <c r="G619" s="66"/>
      <c r="H619" s="70"/>
      <c r="I619" s="71"/>
      <c r="J619" s="71"/>
      <c r="K619" s="35" t="s">
        <v>65</v>
      </c>
      <c r="L619" s="79">
        <v>619</v>
      </c>
      <c r="M619" s="79"/>
      <c r="N619" s="73"/>
      <c r="O619" s="81" t="s">
        <v>844</v>
      </c>
      <c r="P619" s="81" t="s">
        <v>199</v>
      </c>
      <c r="Q619" s="84" t="s">
        <v>1439</v>
      </c>
      <c r="R619" s="81" t="s">
        <v>714</v>
      </c>
      <c r="S619" s="81" t="s">
        <v>2073</v>
      </c>
      <c r="T619" s="86" t="str">
        <f>HYPERLINK("http://www.youtube.com/channel/UCzIbFH6UUwsRNVzmNkSUjiw")</f>
        <v>http://www.youtube.com/channel/UCzIbFH6UUwsRNVzmNkSUjiw</v>
      </c>
      <c r="U619" s="81"/>
      <c r="V619" s="81" t="s">
        <v>2332</v>
      </c>
      <c r="W619" s="86" t="str">
        <f>HYPERLINK("https://www.youtube.com/watch?v=uGHwpg-fJvc")</f>
        <v>https://www.youtube.com/watch?v=uGHwpg-fJvc</v>
      </c>
      <c r="X619" s="81" t="s">
        <v>2349</v>
      </c>
      <c r="Y619" s="81">
        <v>3</v>
      </c>
      <c r="Z619" s="88">
        <v>44069.73704861111</v>
      </c>
      <c r="AA619" s="88">
        <v>44069.73704861111</v>
      </c>
      <c r="AB619" s="81"/>
      <c r="AC619" s="81"/>
      <c r="AD619" s="84" t="s">
        <v>2390</v>
      </c>
      <c r="AE619" s="82">
        <v>1</v>
      </c>
      <c r="AF619" s="83" t="str">
        <f>REPLACE(INDEX(GroupVertices[Group],MATCH(Edges[[#This Row],[Vertex 1]],GroupVertices[Vertex],0)),1,1,"")</f>
        <v>4</v>
      </c>
      <c r="AG619" s="83" t="str">
        <f>REPLACE(INDEX(GroupVertices[Group],MATCH(Edges[[#This Row],[Vertex 2]],GroupVertices[Vertex],0)),1,1,"")</f>
        <v>4</v>
      </c>
      <c r="AH619" s="111">
        <v>1</v>
      </c>
      <c r="AI619" s="112">
        <v>50</v>
      </c>
      <c r="AJ619" s="111">
        <v>0</v>
      </c>
      <c r="AK619" s="112">
        <v>0</v>
      </c>
      <c r="AL619" s="111">
        <v>0</v>
      </c>
      <c r="AM619" s="112">
        <v>0</v>
      </c>
      <c r="AN619" s="111">
        <v>1</v>
      </c>
      <c r="AO619" s="112">
        <v>50</v>
      </c>
      <c r="AP619" s="111">
        <v>2</v>
      </c>
    </row>
    <row r="620" spans="1:42" ht="15">
      <c r="A620" s="65" t="s">
        <v>715</v>
      </c>
      <c r="B620" s="65" t="s">
        <v>840</v>
      </c>
      <c r="C620" s="66" t="s">
        <v>4651</v>
      </c>
      <c r="D620" s="67">
        <v>3</v>
      </c>
      <c r="E620" s="68"/>
      <c r="F620" s="69">
        <v>40</v>
      </c>
      <c r="G620" s="66"/>
      <c r="H620" s="70"/>
      <c r="I620" s="71"/>
      <c r="J620" s="71"/>
      <c r="K620" s="35" t="s">
        <v>65</v>
      </c>
      <c r="L620" s="79">
        <v>620</v>
      </c>
      <c r="M620" s="79"/>
      <c r="N620" s="73"/>
      <c r="O620" s="81" t="s">
        <v>844</v>
      </c>
      <c r="P620" s="81" t="s">
        <v>199</v>
      </c>
      <c r="Q620" s="84" t="s">
        <v>1440</v>
      </c>
      <c r="R620" s="81" t="s">
        <v>715</v>
      </c>
      <c r="S620" s="81" t="s">
        <v>2074</v>
      </c>
      <c r="T620" s="86" t="str">
        <f>HYPERLINK("http://www.youtube.com/channel/UC4v9ixY7tjtvkKVlE8vXygQ")</f>
        <v>http://www.youtube.com/channel/UC4v9ixY7tjtvkKVlE8vXygQ</v>
      </c>
      <c r="U620" s="81"/>
      <c r="V620" s="81" t="s">
        <v>2332</v>
      </c>
      <c r="W620" s="86" t="str">
        <f>HYPERLINK("https://www.youtube.com/watch?v=uGHwpg-fJvc")</f>
        <v>https://www.youtube.com/watch?v=uGHwpg-fJvc</v>
      </c>
      <c r="X620" s="81" t="s">
        <v>2349</v>
      </c>
      <c r="Y620" s="81">
        <v>5</v>
      </c>
      <c r="Z620" s="88">
        <v>44096.153912037036</v>
      </c>
      <c r="AA620" s="88">
        <v>44096.153912037036</v>
      </c>
      <c r="AB620" s="81"/>
      <c r="AC620" s="81"/>
      <c r="AD620" s="84" t="s">
        <v>2390</v>
      </c>
      <c r="AE620" s="82">
        <v>1</v>
      </c>
      <c r="AF620" s="83" t="str">
        <f>REPLACE(INDEX(GroupVertices[Group],MATCH(Edges[[#This Row],[Vertex 1]],GroupVertices[Vertex],0)),1,1,"")</f>
        <v>4</v>
      </c>
      <c r="AG620" s="83" t="str">
        <f>REPLACE(INDEX(GroupVertices[Group],MATCH(Edges[[#This Row],[Vertex 2]],GroupVertices[Vertex],0)),1,1,"")</f>
        <v>4</v>
      </c>
      <c r="AH620" s="111">
        <v>0</v>
      </c>
      <c r="AI620" s="112">
        <v>0</v>
      </c>
      <c r="AJ620" s="111">
        <v>1</v>
      </c>
      <c r="AK620" s="112">
        <v>50</v>
      </c>
      <c r="AL620" s="111">
        <v>0</v>
      </c>
      <c r="AM620" s="112">
        <v>0</v>
      </c>
      <c r="AN620" s="111">
        <v>1</v>
      </c>
      <c r="AO620" s="112">
        <v>50</v>
      </c>
      <c r="AP620" s="111">
        <v>2</v>
      </c>
    </row>
    <row r="621" spans="1:42" ht="15">
      <c r="A621" s="65" t="s">
        <v>716</v>
      </c>
      <c r="B621" s="65" t="s">
        <v>840</v>
      </c>
      <c r="C621" s="66" t="s">
        <v>4651</v>
      </c>
      <c r="D621" s="67">
        <v>3</v>
      </c>
      <c r="E621" s="68"/>
      <c r="F621" s="69">
        <v>40</v>
      </c>
      <c r="G621" s="66"/>
      <c r="H621" s="70"/>
      <c r="I621" s="71"/>
      <c r="J621" s="71"/>
      <c r="K621" s="35" t="s">
        <v>65</v>
      </c>
      <c r="L621" s="79">
        <v>621</v>
      </c>
      <c r="M621" s="79"/>
      <c r="N621" s="73"/>
      <c r="O621" s="81" t="s">
        <v>844</v>
      </c>
      <c r="P621" s="81" t="s">
        <v>199</v>
      </c>
      <c r="Q621" s="84" t="s">
        <v>1166</v>
      </c>
      <c r="R621" s="81" t="s">
        <v>716</v>
      </c>
      <c r="S621" s="81" t="s">
        <v>2075</v>
      </c>
      <c r="T621" s="86" t="str">
        <f>HYPERLINK("http://www.youtube.com/channel/UCR035xkdm31BkKQVhUyqB9g")</f>
        <v>http://www.youtube.com/channel/UCR035xkdm31BkKQVhUyqB9g</v>
      </c>
      <c r="U621" s="81"/>
      <c r="V621" s="81" t="s">
        <v>2332</v>
      </c>
      <c r="W621" s="86" t="str">
        <f>HYPERLINK("https://www.youtube.com/watch?v=uGHwpg-fJvc")</f>
        <v>https://www.youtube.com/watch?v=uGHwpg-fJvc</v>
      </c>
      <c r="X621" s="81" t="s">
        <v>2349</v>
      </c>
      <c r="Y621" s="81">
        <v>1</v>
      </c>
      <c r="Z621" s="88">
        <v>44145.546122685184</v>
      </c>
      <c r="AA621" s="88">
        <v>44145.546122685184</v>
      </c>
      <c r="AB621" s="81"/>
      <c r="AC621" s="81"/>
      <c r="AD621" s="84" t="s">
        <v>2390</v>
      </c>
      <c r="AE621" s="82">
        <v>1</v>
      </c>
      <c r="AF621" s="83" t="str">
        <f>REPLACE(INDEX(GroupVertices[Group],MATCH(Edges[[#This Row],[Vertex 1]],GroupVertices[Vertex],0)),1,1,"")</f>
        <v>4</v>
      </c>
      <c r="AG621" s="83" t="str">
        <f>REPLACE(INDEX(GroupVertices[Group],MATCH(Edges[[#This Row],[Vertex 2]],GroupVertices[Vertex],0)),1,1,"")</f>
        <v>4</v>
      </c>
      <c r="AH621" s="111">
        <v>1</v>
      </c>
      <c r="AI621" s="112">
        <v>100</v>
      </c>
      <c r="AJ621" s="111">
        <v>0</v>
      </c>
      <c r="AK621" s="112">
        <v>0</v>
      </c>
      <c r="AL621" s="111">
        <v>0</v>
      </c>
      <c r="AM621" s="112">
        <v>0</v>
      </c>
      <c r="AN621" s="111">
        <v>0</v>
      </c>
      <c r="AO621" s="112">
        <v>0</v>
      </c>
      <c r="AP621" s="111">
        <v>1</v>
      </c>
    </row>
    <row r="622" spans="1:42" ht="15">
      <c r="A622" s="65" t="s">
        <v>717</v>
      </c>
      <c r="B622" s="65" t="s">
        <v>840</v>
      </c>
      <c r="C622" s="66" t="s">
        <v>4651</v>
      </c>
      <c r="D622" s="67">
        <v>3</v>
      </c>
      <c r="E622" s="68"/>
      <c r="F622" s="69">
        <v>40</v>
      </c>
      <c r="G622" s="66"/>
      <c r="H622" s="70"/>
      <c r="I622" s="71"/>
      <c r="J622" s="71"/>
      <c r="K622" s="35" t="s">
        <v>65</v>
      </c>
      <c r="L622" s="79">
        <v>622</v>
      </c>
      <c r="M622" s="79"/>
      <c r="N622" s="73"/>
      <c r="O622" s="81" t="s">
        <v>844</v>
      </c>
      <c r="P622" s="81" t="s">
        <v>199</v>
      </c>
      <c r="Q622" s="84" t="s">
        <v>1441</v>
      </c>
      <c r="R622" s="81" t="s">
        <v>717</v>
      </c>
      <c r="S622" s="81" t="s">
        <v>2076</v>
      </c>
      <c r="T622" s="86" t="str">
        <f>HYPERLINK("http://www.youtube.com/channel/UCZjlaVgXMjuKH5ebn207-lQ")</f>
        <v>http://www.youtube.com/channel/UCZjlaVgXMjuKH5ebn207-lQ</v>
      </c>
      <c r="U622" s="81"/>
      <c r="V622" s="81" t="s">
        <v>2332</v>
      </c>
      <c r="W622" s="86" t="str">
        <f>HYPERLINK("https://www.youtube.com/watch?v=uGHwpg-fJvc")</f>
        <v>https://www.youtube.com/watch?v=uGHwpg-fJvc</v>
      </c>
      <c r="X622" s="81" t="s">
        <v>2349</v>
      </c>
      <c r="Y622" s="81">
        <v>1</v>
      </c>
      <c r="Z622" s="88">
        <v>44242.18337962963</v>
      </c>
      <c r="AA622" s="88">
        <v>44242.18337962963</v>
      </c>
      <c r="AB622" s="81"/>
      <c r="AC622" s="81"/>
      <c r="AD622" s="84" t="s">
        <v>2390</v>
      </c>
      <c r="AE622" s="82">
        <v>1</v>
      </c>
      <c r="AF622" s="83" t="str">
        <f>REPLACE(INDEX(GroupVertices[Group],MATCH(Edges[[#This Row],[Vertex 1]],GroupVertices[Vertex],0)),1,1,"")</f>
        <v>4</v>
      </c>
      <c r="AG622" s="83" t="str">
        <f>REPLACE(INDEX(GroupVertices[Group],MATCH(Edges[[#This Row],[Vertex 2]],GroupVertices[Vertex],0)),1,1,"")</f>
        <v>4</v>
      </c>
      <c r="AH622" s="111">
        <v>0</v>
      </c>
      <c r="AI622" s="112">
        <v>0</v>
      </c>
      <c r="AJ622" s="111">
        <v>0</v>
      </c>
      <c r="AK622" s="112">
        <v>0</v>
      </c>
      <c r="AL622" s="111">
        <v>0</v>
      </c>
      <c r="AM622" s="112">
        <v>0</v>
      </c>
      <c r="AN622" s="111">
        <v>1</v>
      </c>
      <c r="AO622" s="112">
        <v>100</v>
      </c>
      <c r="AP622" s="111">
        <v>1</v>
      </c>
    </row>
    <row r="623" spans="1:42" ht="15">
      <c r="A623" s="65" t="s">
        <v>718</v>
      </c>
      <c r="B623" s="65" t="s">
        <v>840</v>
      </c>
      <c r="C623" s="66" t="s">
        <v>4651</v>
      </c>
      <c r="D623" s="67">
        <v>3</v>
      </c>
      <c r="E623" s="68"/>
      <c r="F623" s="69">
        <v>40</v>
      </c>
      <c r="G623" s="66"/>
      <c r="H623" s="70"/>
      <c r="I623" s="71"/>
      <c r="J623" s="71"/>
      <c r="K623" s="35" t="s">
        <v>65</v>
      </c>
      <c r="L623" s="79">
        <v>623</v>
      </c>
      <c r="M623" s="79"/>
      <c r="N623" s="73"/>
      <c r="O623" s="81" t="s">
        <v>844</v>
      </c>
      <c r="P623" s="81" t="s">
        <v>199</v>
      </c>
      <c r="Q623" s="84" t="s">
        <v>849</v>
      </c>
      <c r="R623" s="81" t="s">
        <v>718</v>
      </c>
      <c r="S623" s="81" t="s">
        <v>2077</v>
      </c>
      <c r="T623" s="86" t="str">
        <f>HYPERLINK("http://www.youtube.com/channel/UCgTNsNpvgKhJTjwXB7aU01w")</f>
        <v>http://www.youtube.com/channel/UCgTNsNpvgKhJTjwXB7aU01w</v>
      </c>
      <c r="U623" s="81"/>
      <c r="V623" s="81" t="s">
        <v>2332</v>
      </c>
      <c r="W623" s="86" t="str">
        <f>HYPERLINK("https://www.youtube.com/watch?v=uGHwpg-fJvc")</f>
        <v>https://www.youtube.com/watch?v=uGHwpg-fJvc</v>
      </c>
      <c r="X623" s="81" t="s">
        <v>2349</v>
      </c>
      <c r="Y623" s="81">
        <v>0</v>
      </c>
      <c r="Z623" s="88">
        <v>44251.4284375</v>
      </c>
      <c r="AA623" s="88">
        <v>44251.4284375</v>
      </c>
      <c r="AB623" s="81"/>
      <c r="AC623" s="81"/>
      <c r="AD623" s="84" t="s">
        <v>2390</v>
      </c>
      <c r="AE623" s="82">
        <v>1</v>
      </c>
      <c r="AF623" s="83" t="str">
        <f>REPLACE(INDEX(GroupVertices[Group],MATCH(Edges[[#This Row],[Vertex 1]],GroupVertices[Vertex],0)),1,1,"")</f>
        <v>4</v>
      </c>
      <c r="AG623" s="83" t="str">
        <f>REPLACE(INDEX(GroupVertices[Group],MATCH(Edges[[#This Row],[Vertex 2]],GroupVertices[Vertex],0)),1,1,"")</f>
        <v>4</v>
      </c>
      <c r="AH623" s="111">
        <v>1</v>
      </c>
      <c r="AI623" s="112">
        <v>33.333333333333336</v>
      </c>
      <c r="AJ623" s="111">
        <v>0</v>
      </c>
      <c r="AK623" s="112">
        <v>0</v>
      </c>
      <c r="AL623" s="111">
        <v>0</v>
      </c>
      <c r="AM623" s="112">
        <v>0</v>
      </c>
      <c r="AN623" s="111">
        <v>2</v>
      </c>
      <c r="AO623" s="112">
        <v>66.66666666666667</v>
      </c>
      <c r="AP623" s="111">
        <v>3</v>
      </c>
    </row>
    <row r="624" spans="1:42" ht="15">
      <c r="A624" s="65" t="s">
        <v>719</v>
      </c>
      <c r="B624" s="65" t="s">
        <v>840</v>
      </c>
      <c r="C624" s="66" t="s">
        <v>4651</v>
      </c>
      <c r="D624" s="67">
        <v>3</v>
      </c>
      <c r="E624" s="68"/>
      <c r="F624" s="69">
        <v>40</v>
      </c>
      <c r="G624" s="66"/>
      <c r="H624" s="70"/>
      <c r="I624" s="71"/>
      <c r="J624" s="71"/>
      <c r="K624" s="35" t="s">
        <v>65</v>
      </c>
      <c r="L624" s="79">
        <v>624</v>
      </c>
      <c r="M624" s="79"/>
      <c r="N624" s="73"/>
      <c r="O624" s="81" t="s">
        <v>844</v>
      </c>
      <c r="P624" s="81" t="s">
        <v>199</v>
      </c>
      <c r="Q624" s="84" t="s">
        <v>1442</v>
      </c>
      <c r="R624" s="81" t="s">
        <v>719</v>
      </c>
      <c r="S624" s="81" t="s">
        <v>2078</v>
      </c>
      <c r="T624" s="86" t="str">
        <f>HYPERLINK("http://www.youtube.com/channel/UCvE3AycU51EI-M1VKvfL2QA")</f>
        <v>http://www.youtube.com/channel/UCvE3AycU51EI-M1VKvfL2QA</v>
      </c>
      <c r="U624" s="81"/>
      <c r="V624" s="81" t="s">
        <v>2332</v>
      </c>
      <c r="W624" s="86" t="str">
        <f>HYPERLINK("https://www.youtube.com/watch?v=uGHwpg-fJvc")</f>
        <v>https://www.youtube.com/watch?v=uGHwpg-fJvc</v>
      </c>
      <c r="X624" s="81" t="s">
        <v>2349</v>
      </c>
      <c r="Y624" s="81">
        <v>1</v>
      </c>
      <c r="Z624" s="88">
        <v>44251.671064814815</v>
      </c>
      <c r="AA624" s="88">
        <v>44251.671064814815</v>
      </c>
      <c r="AB624" s="81"/>
      <c r="AC624" s="81"/>
      <c r="AD624" s="84" t="s">
        <v>2390</v>
      </c>
      <c r="AE624" s="82">
        <v>1</v>
      </c>
      <c r="AF624" s="83" t="str">
        <f>REPLACE(INDEX(GroupVertices[Group],MATCH(Edges[[#This Row],[Vertex 1]],GroupVertices[Vertex],0)),1,1,"")</f>
        <v>4</v>
      </c>
      <c r="AG624" s="83" t="str">
        <f>REPLACE(INDEX(GroupVertices[Group],MATCH(Edges[[#This Row],[Vertex 2]],GroupVertices[Vertex],0)),1,1,"")</f>
        <v>4</v>
      </c>
      <c r="AH624" s="111">
        <v>1</v>
      </c>
      <c r="AI624" s="112">
        <v>50</v>
      </c>
      <c r="AJ624" s="111">
        <v>0</v>
      </c>
      <c r="AK624" s="112">
        <v>0</v>
      </c>
      <c r="AL624" s="111">
        <v>0</v>
      </c>
      <c r="AM624" s="112">
        <v>0</v>
      </c>
      <c r="AN624" s="111">
        <v>1</v>
      </c>
      <c r="AO624" s="112">
        <v>50</v>
      </c>
      <c r="AP624" s="111">
        <v>2</v>
      </c>
    </row>
    <row r="625" spans="1:42" ht="15">
      <c r="A625" s="65" t="s">
        <v>720</v>
      </c>
      <c r="B625" s="65" t="s">
        <v>840</v>
      </c>
      <c r="C625" s="66" t="s">
        <v>4651</v>
      </c>
      <c r="D625" s="67">
        <v>3</v>
      </c>
      <c r="E625" s="68"/>
      <c r="F625" s="69">
        <v>40</v>
      </c>
      <c r="G625" s="66"/>
      <c r="H625" s="70"/>
      <c r="I625" s="71"/>
      <c r="J625" s="71"/>
      <c r="K625" s="35" t="s">
        <v>65</v>
      </c>
      <c r="L625" s="79">
        <v>625</v>
      </c>
      <c r="M625" s="79"/>
      <c r="N625" s="73"/>
      <c r="O625" s="81" t="s">
        <v>844</v>
      </c>
      <c r="P625" s="81" t="s">
        <v>199</v>
      </c>
      <c r="Q625" s="84" t="s">
        <v>852</v>
      </c>
      <c r="R625" s="81" t="s">
        <v>720</v>
      </c>
      <c r="S625" s="81" t="s">
        <v>2079</v>
      </c>
      <c r="T625" s="86" t="str">
        <f>HYPERLINK("http://www.youtube.com/channel/UCAjsfSZRjfSov7JeArnUf4Q")</f>
        <v>http://www.youtube.com/channel/UCAjsfSZRjfSov7JeArnUf4Q</v>
      </c>
      <c r="U625" s="81"/>
      <c r="V625" s="81" t="s">
        <v>2332</v>
      </c>
      <c r="W625" s="86" t="str">
        <f>HYPERLINK("https://www.youtube.com/watch?v=uGHwpg-fJvc")</f>
        <v>https://www.youtube.com/watch?v=uGHwpg-fJvc</v>
      </c>
      <c r="X625" s="81" t="s">
        <v>2349</v>
      </c>
      <c r="Y625" s="81">
        <v>0</v>
      </c>
      <c r="Z625" s="88">
        <v>44258.3825462963</v>
      </c>
      <c r="AA625" s="88">
        <v>44258.3825462963</v>
      </c>
      <c r="AB625" s="81"/>
      <c r="AC625" s="81"/>
      <c r="AD625" s="84" t="s">
        <v>2390</v>
      </c>
      <c r="AE625" s="82">
        <v>1</v>
      </c>
      <c r="AF625" s="83" t="str">
        <f>REPLACE(INDEX(GroupVertices[Group],MATCH(Edges[[#This Row],[Vertex 1]],GroupVertices[Vertex],0)),1,1,"")</f>
        <v>4</v>
      </c>
      <c r="AG625" s="83" t="str">
        <f>REPLACE(INDEX(GroupVertices[Group],MATCH(Edges[[#This Row],[Vertex 2]],GroupVertices[Vertex],0)),1,1,"")</f>
        <v>4</v>
      </c>
      <c r="AH625" s="111">
        <v>0</v>
      </c>
      <c r="AI625" s="112">
        <v>0</v>
      </c>
      <c r="AJ625" s="111">
        <v>0</v>
      </c>
      <c r="AK625" s="112">
        <v>0</v>
      </c>
      <c r="AL625" s="111">
        <v>0</v>
      </c>
      <c r="AM625" s="112">
        <v>0</v>
      </c>
      <c r="AN625" s="111">
        <v>1</v>
      </c>
      <c r="AO625" s="112">
        <v>100</v>
      </c>
      <c r="AP625" s="111">
        <v>1</v>
      </c>
    </row>
    <row r="626" spans="1:42" ht="15">
      <c r="A626" s="65" t="s">
        <v>721</v>
      </c>
      <c r="B626" s="65" t="s">
        <v>840</v>
      </c>
      <c r="C626" s="66" t="s">
        <v>4613</v>
      </c>
      <c r="D626" s="67">
        <v>10</v>
      </c>
      <c r="E626" s="68"/>
      <c r="F626" s="69">
        <v>15</v>
      </c>
      <c r="G626" s="66"/>
      <c r="H626" s="70"/>
      <c r="I626" s="71"/>
      <c r="J626" s="71"/>
      <c r="K626" s="35" t="s">
        <v>65</v>
      </c>
      <c r="L626" s="79">
        <v>626</v>
      </c>
      <c r="M626" s="79"/>
      <c r="N626" s="73"/>
      <c r="O626" s="81" t="s">
        <v>844</v>
      </c>
      <c r="P626" s="81" t="s">
        <v>199</v>
      </c>
      <c r="Q626" s="84" t="s">
        <v>1443</v>
      </c>
      <c r="R626" s="81" t="s">
        <v>721</v>
      </c>
      <c r="S626" s="81" t="s">
        <v>2080</v>
      </c>
      <c r="T626" s="86" t="str">
        <f>HYPERLINK("http://www.youtube.com/channel/UCHprdtYyCzc5-fcSNXCUd7A")</f>
        <v>http://www.youtube.com/channel/UCHprdtYyCzc5-fcSNXCUd7A</v>
      </c>
      <c r="U626" s="81"/>
      <c r="V626" s="81" t="s">
        <v>2312</v>
      </c>
      <c r="W626" s="86" t="str">
        <f>HYPERLINK("https://www.youtube.com/watch?v=vpEAos0blyw")</f>
        <v>https://www.youtube.com/watch?v=vpEAos0blyw</v>
      </c>
      <c r="X626" s="81" t="s">
        <v>2349</v>
      </c>
      <c r="Y626" s="81">
        <v>0</v>
      </c>
      <c r="Z626" s="88">
        <v>44313.65526620371</v>
      </c>
      <c r="AA626" s="88">
        <v>44313.65526620371</v>
      </c>
      <c r="AB626" s="81"/>
      <c r="AC626" s="81"/>
      <c r="AD626" s="84" t="s">
        <v>2390</v>
      </c>
      <c r="AE626" s="82">
        <v>2</v>
      </c>
      <c r="AF626" s="83" t="str">
        <f>REPLACE(INDEX(GroupVertices[Group],MATCH(Edges[[#This Row],[Vertex 1]],GroupVertices[Vertex],0)),1,1,"")</f>
        <v>4</v>
      </c>
      <c r="AG626" s="83" t="str">
        <f>REPLACE(INDEX(GroupVertices[Group],MATCH(Edges[[#This Row],[Vertex 2]],GroupVertices[Vertex],0)),1,1,"")</f>
        <v>4</v>
      </c>
      <c r="AH626" s="111">
        <v>2</v>
      </c>
      <c r="AI626" s="112">
        <v>9.523809523809524</v>
      </c>
      <c r="AJ626" s="111">
        <v>0</v>
      </c>
      <c r="AK626" s="112">
        <v>0</v>
      </c>
      <c r="AL626" s="111">
        <v>0</v>
      </c>
      <c r="AM626" s="112">
        <v>0</v>
      </c>
      <c r="AN626" s="111">
        <v>19</v>
      </c>
      <c r="AO626" s="112">
        <v>90.47619047619048</v>
      </c>
      <c r="AP626" s="111">
        <v>21</v>
      </c>
    </row>
    <row r="627" spans="1:42" ht="15">
      <c r="A627" s="65" t="s">
        <v>721</v>
      </c>
      <c r="B627" s="65" t="s">
        <v>840</v>
      </c>
      <c r="C627" s="66" t="s">
        <v>4613</v>
      </c>
      <c r="D627" s="67">
        <v>10</v>
      </c>
      <c r="E627" s="68"/>
      <c r="F627" s="69">
        <v>15</v>
      </c>
      <c r="G627" s="66"/>
      <c r="H627" s="70"/>
      <c r="I627" s="71"/>
      <c r="J627" s="71"/>
      <c r="K627" s="35" t="s">
        <v>65</v>
      </c>
      <c r="L627" s="79">
        <v>627</v>
      </c>
      <c r="M627" s="79"/>
      <c r="N627" s="73"/>
      <c r="O627" s="81" t="s">
        <v>844</v>
      </c>
      <c r="P627" s="81" t="s">
        <v>199</v>
      </c>
      <c r="Q627" s="84" t="s">
        <v>1443</v>
      </c>
      <c r="R627" s="81" t="s">
        <v>721</v>
      </c>
      <c r="S627" s="81" t="s">
        <v>2080</v>
      </c>
      <c r="T627" s="86" t="str">
        <f>HYPERLINK("http://www.youtube.com/channel/UCHprdtYyCzc5-fcSNXCUd7A")</f>
        <v>http://www.youtube.com/channel/UCHprdtYyCzc5-fcSNXCUd7A</v>
      </c>
      <c r="U627" s="81"/>
      <c r="V627" s="81" t="s">
        <v>2332</v>
      </c>
      <c r="W627" s="86" t="str">
        <f>HYPERLINK("https://www.youtube.com/watch?v=uGHwpg-fJvc")</f>
        <v>https://www.youtube.com/watch?v=uGHwpg-fJvc</v>
      </c>
      <c r="X627" s="81" t="s">
        <v>2349</v>
      </c>
      <c r="Y627" s="81">
        <v>0</v>
      </c>
      <c r="Z627" s="88">
        <v>44313.65775462963</v>
      </c>
      <c r="AA627" s="88">
        <v>44313.65775462963</v>
      </c>
      <c r="AB627" s="81"/>
      <c r="AC627" s="81"/>
      <c r="AD627" s="84" t="s">
        <v>2390</v>
      </c>
      <c r="AE627" s="82">
        <v>2</v>
      </c>
      <c r="AF627" s="83" t="str">
        <f>REPLACE(INDEX(GroupVertices[Group],MATCH(Edges[[#This Row],[Vertex 1]],GroupVertices[Vertex],0)),1,1,"")</f>
        <v>4</v>
      </c>
      <c r="AG627" s="83" t="str">
        <f>REPLACE(INDEX(GroupVertices[Group],MATCH(Edges[[#This Row],[Vertex 2]],GroupVertices[Vertex],0)),1,1,"")</f>
        <v>4</v>
      </c>
      <c r="AH627" s="111">
        <v>2</v>
      </c>
      <c r="AI627" s="112">
        <v>9.523809523809524</v>
      </c>
      <c r="AJ627" s="111">
        <v>0</v>
      </c>
      <c r="AK627" s="112">
        <v>0</v>
      </c>
      <c r="AL627" s="111">
        <v>0</v>
      </c>
      <c r="AM627" s="112">
        <v>0</v>
      </c>
      <c r="AN627" s="111">
        <v>19</v>
      </c>
      <c r="AO627" s="112">
        <v>90.47619047619048</v>
      </c>
      <c r="AP627" s="111">
        <v>21</v>
      </c>
    </row>
    <row r="628" spans="1:42" ht="15">
      <c r="A628" s="65" t="s">
        <v>722</v>
      </c>
      <c r="B628" s="65" t="s">
        <v>840</v>
      </c>
      <c r="C628" s="66" t="s">
        <v>4651</v>
      </c>
      <c r="D628" s="67">
        <v>3</v>
      </c>
      <c r="E628" s="68"/>
      <c r="F628" s="69">
        <v>40</v>
      </c>
      <c r="G628" s="66"/>
      <c r="H628" s="70"/>
      <c r="I628" s="71"/>
      <c r="J628" s="71"/>
      <c r="K628" s="35" t="s">
        <v>65</v>
      </c>
      <c r="L628" s="79">
        <v>628</v>
      </c>
      <c r="M628" s="79"/>
      <c r="N628" s="73"/>
      <c r="O628" s="81" t="s">
        <v>844</v>
      </c>
      <c r="P628" s="81" t="s">
        <v>199</v>
      </c>
      <c r="Q628" s="84" t="s">
        <v>1444</v>
      </c>
      <c r="R628" s="81" t="s">
        <v>722</v>
      </c>
      <c r="S628" s="81" t="s">
        <v>2081</v>
      </c>
      <c r="T628" s="86" t="str">
        <f>HYPERLINK("http://www.youtube.com/channel/UCHwSZKulthy0a03ykIPVEOQ")</f>
        <v>http://www.youtube.com/channel/UCHwSZKulthy0a03ykIPVEOQ</v>
      </c>
      <c r="U628" s="81"/>
      <c r="V628" s="81" t="s">
        <v>2332</v>
      </c>
      <c r="W628" s="86" t="str">
        <f>HYPERLINK("https://www.youtube.com/watch?v=uGHwpg-fJvc")</f>
        <v>https://www.youtube.com/watch?v=uGHwpg-fJvc</v>
      </c>
      <c r="X628" s="81" t="s">
        <v>2349</v>
      </c>
      <c r="Y628" s="81">
        <v>0</v>
      </c>
      <c r="Z628" s="88">
        <v>44319.11537037037</v>
      </c>
      <c r="AA628" s="88">
        <v>44319.11537037037</v>
      </c>
      <c r="AB628" s="81"/>
      <c r="AC628" s="81"/>
      <c r="AD628" s="84" t="s">
        <v>2390</v>
      </c>
      <c r="AE628" s="82">
        <v>1</v>
      </c>
      <c r="AF628" s="83" t="str">
        <f>REPLACE(INDEX(GroupVertices[Group],MATCH(Edges[[#This Row],[Vertex 1]],GroupVertices[Vertex],0)),1,1,"")</f>
        <v>4</v>
      </c>
      <c r="AG628" s="83" t="str">
        <f>REPLACE(INDEX(GroupVertices[Group],MATCH(Edges[[#This Row],[Vertex 2]],GroupVertices[Vertex],0)),1,1,"")</f>
        <v>4</v>
      </c>
      <c r="AH628" s="111">
        <v>1</v>
      </c>
      <c r="AI628" s="112">
        <v>20</v>
      </c>
      <c r="AJ628" s="111">
        <v>0</v>
      </c>
      <c r="AK628" s="112">
        <v>0</v>
      </c>
      <c r="AL628" s="111">
        <v>0</v>
      </c>
      <c r="AM628" s="112">
        <v>0</v>
      </c>
      <c r="AN628" s="111">
        <v>4</v>
      </c>
      <c r="AO628" s="112">
        <v>80</v>
      </c>
      <c r="AP628" s="111">
        <v>5</v>
      </c>
    </row>
    <row r="629" spans="1:42" ht="15">
      <c r="A629" s="65" t="s">
        <v>723</v>
      </c>
      <c r="B629" s="65" t="s">
        <v>840</v>
      </c>
      <c r="C629" s="66" t="s">
        <v>4651</v>
      </c>
      <c r="D629" s="67">
        <v>3</v>
      </c>
      <c r="E629" s="68"/>
      <c r="F629" s="69">
        <v>40</v>
      </c>
      <c r="G629" s="66"/>
      <c r="H629" s="70"/>
      <c r="I629" s="71"/>
      <c r="J629" s="71"/>
      <c r="K629" s="35" t="s">
        <v>65</v>
      </c>
      <c r="L629" s="79">
        <v>629</v>
      </c>
      <c r="M629" s="79"/>
      <c r="N629" s="73"/>
      <c r="O629" s="81" t="s">
        <v>844</v>
      </c>
      <c r="P629" s="81" t="s">
        <v>199</v>
      </c>
      <c r="Q629" s="84" t="s">
        <v>1445</v>
      </c>
      <c r="R629" s="81" t="s">
        <v>723</v>
      </c>
      <c r="S629" s="81" t="s">
        <v>2082</v>
      </c>
      <c r="T629" s="86" t="str">
        <f>HYPERLINK("http://www.youtube.com/channel/UCX49f7UWiH1B6rW18m9Rhlw")</f>
        <v>http://www.youtube.com/channel/UCX49f7UWiH1B6rW18m9Rhlw</v>
      </c>
      <c r="U629" s="81"/>
      <c r="V629" s="81" t="s">
        <v>2332</v>
      </c>
      <c r="W629" s="86" t="str">
        <f>HYPERLINK("https://www.youtube.com/watch?v=uGHwpg-fJvc")</f>
        <v>https://www.youtube.com/watch?v=uGHwpg-fJvc</v>
      </c>
      <c r="X629" s="81" t="s">
        <v>2349</v>
      </c>
      <c r="Y629" s="81">
        <v>0</v>
      </c>
      <c r="Z629" s="88">
        <v>44356.44803240741</v>
      </c>
      <c r="AA629" s="88">
        <v>44356.44803240741</v>
      </c>
      <c r="AB629" s="81"/>
      <c r="AC629" s="81"/>
      <c r="AD629" s="84" t="s">
        <v>2390</v>
      </c>
      <c r="AE629" s="82">
        <v>1</v>
      </c>
      <c r="AF629" s="83" t="str">
        <f>REPLACE(INDEX(GroupVertices[Group],MATCH(Edges[[#This Row],[Vertex 1]],GroupVertices[Vertex],0)),1,1,"")</f>
        <v>4</v>
      </c>
      <c r="AG629" s="83" t="str">
        <f>REPLACE(INDEX(GroupVertices[Group],MATCH(Edges[[#This Row],[Vertex 2]],GroupVertices[Vertex],0)),1,1,"")</f>
        <v>4</v>
      </c>
      <c r="AH629" s="111">
        <v>2</v>
      </c>
      <c r="AI629" s="112">
        <v>8.695652173913043</v>
      </c>
      <c r="AJ629" s="111">
        <v>1</v>
      </c>
      <c r="AK629" s="112">
        <v>4.3478260869565215</v>
      </c>
      <c r="AL629" s="111">
        <v>0</v>
      </c>
      <c r="AM629" s="112">
        <v>0</v>
      </c>
      <c r="AN629" s="111">
        <v>20</v>
      </c>
      <c r="AO629" s="112">
        <v>86.95652173913044</v>
      </c>
      <c r="AP629" s="111">
        <v>23</v>
      </c>
    </row>
    <row r="630" spans="1:42" ht="15">
      <c r="A630" s="65" t="s">
        <v>724</v>
      </c>
      <c r="B630" s="65" t="s">
        <v>841</v>
      </c>
      <c r="C630" s="66" t="s">
        <v>4613</v>
      </c>
      <c r="D630" s="67">
        <v>10</v>
      </c>
      <c r="E630" s="68"/>
      <c r="F630" s="69">
        <v>15</v>
      </c>
      <c r="G630" s="66"/>
      <c r="H630" s="70"/>
      <c r="I630" s="71"/>
      <c r="J630" s="71"/>
      <c r="K630" s="35" t="s">
        <v>65</v>
      </c>
      <c r="L630" s="79">
        <v>630</v>
      </c>
      <c r="M630" s="79"/>
      <c r="N630" s="73"/>
      <c r="O630" s="81" t="s">
        <v>844</v>
      </c>
      <c r="P630" s="81" t="s">
        <v>199</v>
      </c>
      <c r="Q630" s="84" t="s">
        <v>1446</v>
      </c>
      <c r="R630" s="81" t="s">
        <v>724</v>
      </c>
      <c r="S630" s="81" t="s">
        <v>2083</v>
      </c>
      <c r="T630" s="86" t="str">
        <f>HYPERLINK("http://www.youtube.com/channel/UCAmn8fQuS8x3TBLBRXr4QYQ")</f>
        <v>http://www.youtube.com/channel/UCAmn8fQuS8x3TBLBRXr4QYQ</v>
      </c>
      <c r="U630" s="81"/>
      <c r="V630" s="81" t="s">
        <v>2333</v>
      </c>
      <c r="W630" s="86" t="str">
        <f>HYPERLINK("https://www.youtube.com/watch?v=u6lYsNsor9c")</f>
        <v>https://www.youtube.com/watch?v=u6lYsNsor9c</v>
      </c>
      <c r="X630" s="81" t="s">
        <v>2349</v>
      </c>
      <c r="Y630" s="81">
        <v>0</v>
      </c>
      <c r="Z630" s="88">
        <v>42982.44740740741</v>
      </c>
      <c r="AA630" s="88">
        <v>42982.44740740741</v>
      </c>
      <c r="AB630" s="81"/>
      <c r="AC630" s="81"/>
      <c r="AD630" s="84" t="s">
        <v>2390</v>
      </c>
      <c r="AE630" s="82">
        <v>2</v>
      </c>
      <c r="AF630" s="83" t="str">
        <f>REPLACE(INDEX(GroupVertices[Group],MATCH(Edges[[#This Row],[Vertex 1]],GroupVertices[Vertex],0)),1,1,"")</f>
        <v>5</v>
      </c>
      <c r="AG630" s="83" t="str">
        <f>REPLACE(INDEX(GroupVertices[Group],MATCH(Edges[[#This Row],[Vertex 2]],GroupVertices[Vertex],0)),1,1,"")</f>
        <v>5</v>
      </c>
      <c r="AH630" s="111">
        <v>2</v>
      </c>
      <c r="AI630" s="112">
        <v>40</v>
      </c>
      <c r="AJ630" s="111">
        <v>0</v>
      </c>
      <c r="AK630" s="112">
        <v>0</v>
      </c>
      <c r="AL630" s="111">
        <v>0</v>
      </c>
      <c r="AM630" s="112">
        <v>0</v>
      </c>
      <c r="AN630" s="111">
        <v>3</v>
      </c>
      <c r="AO630" s="112">
        <v>60</v>
      </c>
      <c r="AP630" s="111">
        <v>5</v>
      </c>
    </row>
    <row r="631" spans="1:42" ht="15">
      <c r="A631" s="65" t="s">
        <v>724</v>
      </c>
      <c r="B631" s="65" t="s">
        <v>841</v>
      </c>
      <c r="C631" s="66" t="s">
        <v>4613</v>
      </c>
      <c r="D631" s="67">
        <v>10</v>
      </c>
      <c r="E631" s="68"/>
      <c r="F631" s="69">
        <v>15</v>
      </c>
      <c r="G631" s="66"/>
      <c r="H631" s="70"/>
      <c r="I631" s="71"/>
      <c r="J631" s="71"/>
      <c r="K631" s="35" t="s">
        <v>65</v>
      </c>
      <c r="L631" s="79">
        <v>631</v>
      </c>
      <c r="M631" s="79"/>
      <c r="N631" s="73"/>
      <c r="O631" s="81" t="s">
        <v>844</v>
      </c>
      <c r="P631" s="81" t="s">
        <v>199</v>
      </c>
      <c r="Q631" s="84" t="s">
        <v>1447</v>
      </c>
      <c r="R631" s="81" t="s">
        <v>724</v>
      </c>
      <c r="S631" s="81" t="s">
        <v>2083</v>
      </c>
      <c r="T631" s="86" t="str">
        <f>HYPERLINK("http://www.youtube.com/channel/UCAmn8fQuS8x3TBLBRXr4QYQ")</f>
        <v>http://www.youtube.com/channel/UCAmn8fQuS8x3TBLBRXr4QYQ</v>
      </c>
      <c r="U631" s="81"/>
      <c r="V631" s="81" t="s">
        <v>2334</v>
      </c>
      <c r="W631" s="86" t="str">
        <f>HYPERLINK("https://www.youtube.com/watch?v=MWk8XJWEiO4")</f>
        <v>https://www.youtube.com/watch?v=MWk8XJWEiO4</v>
      </c>
      <c r="X631" s="81" t="s">
        <v>2349</v>
      </c>
      <c r="Y631" s="81">
        <v>1</v>
      </c>
      <c r="Z631" s="88">
        <v>43031.67581018519</v>
      </c>
      <c r="AA631" s="88">
        <v>43031.67581018519</v>
      </c>
      <c r="AB631" s="81"/>
      <c r="AC631" s="81"/>
      <c r="AD631" s="84" t="s">
        <v>2390</v>
      </c>
      <c r="AE631" s="82">
        <v>2</v>
      </c>
      <c r="AF631" s="83" t="str">
        <f>REPLACE(INDEX(GroupVertices[Group],MATCH(Edges[[#This Row],[Vertex 1]],GroupVertices[Vertex],0)),1,1,"")</f>
        <v>5</v>
      </c>
      <c r="AG631" s="83" t="str">
        <f>REPLACE(INDEX(GroupVertices[Group],MATCH(Edges[[#This Row],[Vertex 2]],GroupVertices[Vertex],0)),1,1,"")</f>
        <v>5</v>
      </c>
      <c r="AH631" s="111">
        <v>1</v>
      </c>
      <c r="AI631" s="112">
        <v>33.333333333333336</v>
      </c>
      <c r="AJ631" s="111">
        <v>0</v>
      </c>
      <c r="AK631" s="112">
        <v>0</v>
      </c>
      <c r="AL631" s="111">
        <v>0</v>
      </c>
      <c r="AM631" s="112">
        <v>0</v>
      </c>
      <c r="AN631" s="111">
        <v>2</v>
      </c>
      <c r="AO631" s="112">
        <v>66.66666666666667</v>
      </c>
      <c r="AP631" s="111">
        <v>3</v>
      </c>
    </row>
    <row r="632" spans="1:42" ht="15">
      <c r="A632" s="65" t="s">
        <v>725</v>
      </c>
      <c r="B632" s="65" t="s">
        <v>727</v>
      </c>
      <c r="C632" s="66" t="s">
        <v>4651</v>
      </c>
      <c r="D632" s="67">
        <v>3</v>
      </c>
      <c r="E632" s="68"/>
      <c r="F632" s="69">
        <v>40</v>
      </c>
      <c r="G632" s="66"/>
      <c r="H632" s="70"/>
      <c r="I632" s="71"/>
      <c r="J632" s="71"/>
      <c r="K632" s="35" t="s">
        <v>65</v>
      </c>
      <c r="L632" s="79">
        <v>632</v>
      </c>
      <c r="M632" s="79"/>
      <c r="N632" s="73"/>
      <c r="O632" s="81" t="s">
        <v>845</v>
      </c>
      <c r="P632" s="81" t="s">
        <v>847</v>
      </c>
      <c r="Q632" s="84" t="s">
        <v>1448</v>
      </c>
      <c r="R632" s="81" t="s">
        <v>725</v>
      </c>
      <c r="S632" s="81" t="s">
        <v>2084</v>
      </c>
      <c r="T632" s="86" t="str">
        <f>HYPERLINK("http://www.youtube.com/channel/UCIfypgNfXhTaHAQru-uUyxg")</f>
        <v>http://www.youtube.com/channel/UCIfypgNfXhTaHAQru-uUyxg</v>
      </c>
      <c r="U632" s="81" t="s">
        <v>2286</v>
      </c>
      <c r="V632" s="81" t="s">
        <v>2334</v>
      </c>
      <c r="W632" s="86" t="str">
        <f>HYPERLINK("https://www.youtube.com/watch?v=MWk8XJWEiO4")</f>
        <v>https://www.youtube.com/watch?v=MWk8XJWEiO4</v>
      </c>
      <c r="X632" s="81" t="s">
        <v>2349</v>
      </c>
      <c r="Y632" s="81">
        <v>0</v>
      </c>
      <c r="Z632" s="88">
        <v>43072.0399537037</v>
      </c>
      <c r="AA632" s="88">
        <v>43072.0399537037</v>
      </c>
      <c r="AB632" s="81"/>
      <c r="AC632" s="81"/>
      <c r="AD632" s="84" t="s">
        <v>2390</v>
      </c>
      <c r="AE632" s="82">
        <v>1</v>
      </c>
      <c r="AF632" s="83" t="str">
        <f>REPLACE(INDEX(GroupVertices[Group],MATCH(Edges[[#This Row],[Vertex 1]],GroupVertices[Vertex],0)),1,1,"")</f>
        <v>5</v>
      </c>
      <c r="AG632" s="83" t="str">
        <f>REPLACE(INDEX(GroupVertices[Group],MATCH(Edges[[#This Row],[Vertex 2]],GroupVertices[Vertex],0)),1,1,"")</f>
        <v>5</v>
      </c>
      <c r="AH632" s="111">
        <v>0</v>
      </c>
      <c r="AI632" s="112">
        <v>0</v>
      </c>
      <c r="AJ632" s="111">
        <v>0</v>
      </c>
      <c r="AK632" s="112">
        <v>0</v>
      </c>
      <c r="AL632" s="111">
        <v>0</v>
      </c>
      <c r="AM632" s="112">
        <v>0</v>
      </c>
      <c r="AN632" s="111">
        <v>2</v>
      </c>
      <c r="AO632" s="112">
        <v>100</v>
      </c>
      <c r="AP632" s="111">
        <v>2</v>
      </c>
    </row>
    <row r="633" spans="1:42" ht="15">
      <c r="A633" s="65" t="s">
        <v>726</v>
      </c>
      <c r="B633" s="65" t="s">
        <v>727</v>
      </c>
      <c r="C633" s="66" t="s">
        <v>4651</v>
      </c>
      <c r="D633" s="67">
        <v>3</v>
      </c>
      <c r="E633" s="68"/>
      <c r="F633" s="69">
        <v>40</v>
      </c>
      <c r="G633" s="66"/>
      <c r="H633" s="70"/>
      <c r="I633" s="71"/>
      <c r="J633" s="71"/>
      <c r="K633" s="35" t="s">
        <v>65</v>
      </c>
      <c r="L633" s="79">
        <v>633</v>
      </c>
      <c r="M633" s="79"/>
      <c r="N633" s="73"/>
      <c r="O633" s="81" t="s">
        <v>845</v>
      </c>
      <c r="P633" s="81" t="s">
        <v>847</v>
      </c>
      <c r="Q633" s="84" t="s">
        <v>1449</v>
      </c>
      <c r="R633" s="81" t="s">
        <v>726</v>
      </c>
      <c r="S633" s="81" t="s">
        <v>2085</v>
      </c>
      <c r="T633" s="86" t="str">
        <f>HYPERLINK("http://www.youtube.com/channel/UCXluBqiQge_RLYUebJShy8w")</f>
        <v>http://www.youtube.com/channel/UCXluBqiQge_RLYUebJShy8w</v>
      </c>
      <c r="U633" s="81" t="s">
        <v>2286</v>
      </c>
      <c r="V633" s="81" t="s">
        <v>2334</v>
      </c>
      <c r="W633" s="86" t="str">
        <f>HYPERLINK("https://www.youtube.com/watch?v=MWk8XJWEiO4")</f>
        <v>https://www.youtube.com/watch?v=MWk8XJWEiO4</v>
      </c>
      <c r="X633" s="81" t="s">
        <v>2349</v>
      </c>
      <c r="Y633" s="81">
        <v>0</v>
      </c>
      <c r="Z633" s="88">
        <v>44337.25510416667</v>
      </c>
      <c r="AA633" s="88">
        <v>44337.25510416667</v>
      </c>
      <c r="AB633" s="81"/>
      <c r="AC633" s="81"/>
      <c r="AD633" s="84" t="s">
        <v>2390</v>
      </c>
      <c r="AE633" s="82">
        <v>1</v>
      </c>
      <c r="AF633" s="83" t="str">
        <f>REPLACE(INDEX(GroupVertices[Group],MATCH(Edges[[#This Row],[Vertex 1]],GroupVertices[Vertex],0)),1,1,"")</f>
        <v>5</v>
      </c>
      <c r="AG633" s="83" t="str">
        <f>REPLACE(INDEX(GroupVertices[Group],MATCH(Edges[[#This Row],[Vertex 2]],GroupVertices[Vertex],0)),1,1,"")</f>
        <v>5</v>
      </c>
      <c r="AH633" s="111">
        <v>0</v>
      </c>
      <c r="AI633" s="112">
        <v>0</v>
      </c>
      <c r="AJ633" s="111">
        <v>0</v>
      </c>
      <c r="AK633" s="112">
        <v>0</v>
      </c>
      <c r="AL633" s="111">
        <v>0</v>
      </c>
      <c r="AM633" s="112">
        <v>0</v>
      </c>
      <c r="AN633" s="111">
        <v>2</v>
      </c>
      <c r="AO633" s="112">
        <v>100</v>
      </c>
      <c r="AP633" s="111">
        <v>2</v>
      </c>
    </row>
    <row r="634" spans="1:42" ht="15">
      <c r="A634" s="65" t="s">
        <v>727</v>
      </c>
      <c r="B634" s="65" t="s">
        <v>841</v>
      </c>
      <c r="C634" s="66" t="s">
        <v>4651</v>
      </c>
      <c r="D634" s="67">
        <v>3</v>
      </c>
      <c r="E634" s="68"/>
      <c r="F634" s="69">
        <v>40</v>
      </c>
      <c r="G634" s="66"/>
      <c r="H634" s="70"/>
      <c r="I634" s="71"/>
      <c r="J634" s="71"/>
      <c r="K634" s="35" t="s">
        <v>65</v>
      </c>
      <c r="L634" s="79">
        <v>634</v>
      </c>
      <c r="M634" s="79"/>
      <c r="N634" s="73"/>
      <c r="O634" s="81" t="s">
        <v>844</v>
      </c>
      <c r="P634" s="81" t="s">
        <v>199</v>
      </c>
      <c r="Q634" s="84" t="s">
        <v>1450</v>
      </c>
      <c r="R634" s="81" t="s">
        <v>727</v>
      </c>
      <c r="S634" s="81" t="s">
        <v>2086</v>
      </c>
      <c r="T634" s="86" t="str">
        <f>HYPERLINK("http://www.youtube.com/channel/UCwChU2l1801enAbBJJq2c0g")</f>
        <v>http://www.youtube.com/channel/UCwChU2l1801enAbBJJq2c0g</v>
      </c>
      <c r="U634" s="81"/>
      <c r="V634" s="81" t="s">
        <v>2334</v>
      </c>
      <c r="W634" s="86" t="str">
        <f>HYPERLINK("https://www.youtube.com/watch?v=MWk8XJWEiO4")</f>
        <v>https://www.youtube.com/watch?v=MWk8XJWEiO4</v>
      </c>
      <c r="X634" s="81" t="s">
        <v>2349</v>
      </c>
      <c r="Y634" s="81">
        <v>1</v>
      </c>
      <c r="Z634" s="88">
        <v>43040.53482638889</v>
      </c>
      <c r="AA634" s="88">
        <v>43040.53482638889</v>
      </c>
      <c r="AB634" s="81"/>
      <c r="AC634" s="81"/>
      <c r="AD634" s="84" t="s">
        <v>2390</v>
      </c>
      <c r="AE634" s="82">
        <v>1</v>
      </c>
      <c r="AF634" s="83" t="str">
        <f>REPLACE(INDEX(GroupVertices[Group],MATCH(Edges[[#This Row],[Vertex 1]],GroupVertices[Vertex],0)),1,1,"")</f>
        <v>5</v>
      </c>
      <c r="AG634" s="83" t="str">
        <f>REPLACE(INDEX(GroupVertices[Group],MATCH(Edges[[#This Row],[Vertex 2]],GroupVertices[Vertex],0)),1,1,"")</f>
        <v>5</v>
      </c>
      <c r="AH634" s="111">
        <v>0</v>
      </c>
      <c r="AI634" s="112">
        <v>0</v>
      </c>
      <c r="AJ634" s="111">
        <v>0</v>
      </c>
      <c r="AK634" s="112">
        <v>0</v>
      </c>
      <c r="AL634" s="111">
        <v>0</v>
      </c>
      <c r="AM634" s="112">
        <v>0</v>
      </c>
      <c r="AN634" s="111">
        <v>11</v>
      </c>
      <c r="AO634" s="112">
        <v>100</v>
      </c>
      <c r="AP634" s="111">
        <v>11</v>
      </c>
    </row>
    <row r="635" spans="1:42" ht="15">
      <c r="A635" s="65" t="s">
        <v>728</v>
      </c>
      <c r="B635" s="65" t="s">
        <v>841</v>
      </c>
      <c r="C635" s="66" t="s">
        <v>4651</v>
      </c>
      <c r="D635" s="67">
        <v>3</v>
      </c>
      <c r="E635" s="68"/>
      <c r="F635" s="69">
        <v>40</v>
      </c>
      <c r="G635" s="66"/>
      <c r="H635" s="70"/>
      <c r="I635" s="71"/>
      <c r="J635" s="71"/>
      <c r="K635" s="35" t="s">
        <v>65</v>
      </c>
      <c r="L635" s="79">
        <v>635</v>
      </c>
      <c r="M635" s="79"/>
      <c r="N635" s="73"/>
      <c r="O635" s="81" t="s">
        <v>844</v>
      </c>
      <c r="P635" s="81" t="s">
        <v>199</v>
      </c>
      <c r="Q635" s="84" t="s">
        <v>1451</v>
      </c>
      <c r="R635" s="81" t="s">
        <v>728</v>
      </c>
      <c r="S635" s="81" t="s">
        <v>2087</v>
      </c>
      <c r="T635" s="86" t="str">
        <f>HYPERLINK("http://www.youtube.com/channel/UCAwNUJZntOgEy085kqcyyTg")</f>
        <v>http://www.youtube.com/channel/UCAwNUJZntOgEy085kqcyyTg</v>
      </c>
      <c r="U635" s="81"/>
      <c r="V635" s="81" t="s">
        <v>2334</v>
      </c>
      <c r="W635" s="86" t="str">
        <f>HYPERLINK("https://www.youtube.com/watch?v=MWk8XJWEiO4")</f>
        <v>https://www.youtube.com/watch?v=MWk8XJWEiO4</v>
      </c>
      <c r="X635" s="81" t="s">
        <v>2349</v>
      </c>
      <c r="Y635" s="81">
        <v>1</v>
      </c>
      <c r="Z635" s="88">
        <v>43057.304918981485</v>
      </c>
      <c r="AA635" s="88">
        <v>43057.304918981485</v>
      </c>
      <c r="AB635" s="81"/>
      <c r="AC635" s="81"/>
      <c r="AD635" s="84" t="s">
        <v>2390</v>
      </c>
      <c r="AE635" s="82">
        <v>1</v>
      </c>
      <c r="AF635" s="83" t="str">
        <f>REPLACE(INDEX(GroupVertices[Group],MATCH(Edges[[#This Row],[Vertex 1]],GroupVertices[Vertex],0)),1,1,"")</f>
        <v>5</v>
      </c>
      <c r="AG635" s="83" t="str">
        <f>REPLACE(INDEX(GroupVertices[Group],MATCH(Edges[[#This Row],[Vertex 2]],GroupVertices[Vertex],0)),1,1,"")</f>
        <v>5</v>
      </c>
      <c r="AH635" s="111">
        <v>0</v>
      </c>
      <c r="AI635" s="112">
        <v>0</v>
      </c>
      <c r="AJ635" s="111">
        <v>0</v>
      </c>
      <c r="AK635" s="112">
        <v>0</v>
      </c>
      <c r="AL635" s="111">
        <v>0</v>
      </c>
      <c r="AM635" s="112">
        <v>0</v>
      </c>
      <c r="AN635" s="111">
        <v>12</v>
      </c>
      <c r="AO635" s="112">
        <v>100</v>
      </c>
      <c r="AP635" s="111">
        <v>12</v>
      </c>
    </row>
    <row r="636" spans="1:42" ht="15">
      <c r="A636" s="65" t="s">
        <v>729</v>
      </c>
      <c r="B636" s="65" t="s">
        <v>730</v>
      </c>
      <c r="C636" s="66" t="s">
        <v>4613</v>
      </c>
      <c r="D636" s="67">
        <v>10</v>
      </c>
      <c r="E636" s="68"/>
      <c r="F636" s="69">
        <v>15</v>
      </c>
      <c r="G636" s="66"/>
      <c r="H636" s="70"/>
      <c r="I636" s="71"/>
      <c r="J636" s="71"/>
      <c r="K636" s="35" t="s">
        <v>65</v>
      </c>
      <c r="L636" s="79">
        <v>636</v>
      </c>
      <c r="M636" s="79"/>
      <c r="N636" s="73"/>
      <c r="O636" s="81" t="s">
        <v>845</v>
      </c>
      <c r="P636" s="81" t="s">
        <v>847</v>
      </c>
      <c r="Q636" s="84" t="s">
        <v>1452</v>
      </c>
      <c r="R636" s="81" t="s">
        <v>729</v>
      </c>
      <c r="S636" s="81" t="s">
        <v>2088</v>
      </c>
      <c r="T636" s="86" t="str">
        <f>HYPERLINK("http://www.youtube.com/channel/UCqCZk9JftPi0q4Ihsz27kDQ")</f>
        <v>http://www.youtube.com/channel/UCqCZk9JftPi0q4Ihsz27kDQ</v>
      </c>
      <c r="U636" s="81" t="s">
        <v>2287</v>
      </c>
      <c r="V636" s="81" t="s">
        <v>2334</v>
      </c>
      <c r="W636" s="86" t="str">
        <f>HYPERLINK("https://www.youtube.com/watch?v=MWk8XJWEiO4")</f>
        <v>https://www.youtube.com/watch?v=MWk8XJWEiO4</v>
      </c>
      <c r="X636" s="81" t="s">
        <v>2349</v>
      </c>
      <c r="Y636" s="81">
        <v>1</v>
      </c>
      <c r="Z636" s="88">
        <v>43944.376851851855</v>
      </c>
      <c r="AA636" s="88">
        <v>43944.376851851855</v>
      </c>
      <c r="AB636" s="81"/>
      <c r="AC636" s="81"/>
      <c r="AD636" s="84" t="s">
        <v>2390</v>
      </c>
      <c r="AE636" s="82">
        <v>2</v>
      </c>
      <c r="AF636" s="83" t="str">
        <f>REPLACE(INDEX(GroupVertices[Group],MATCH(Edges[[#This Row],[Vertex 1]],GroupVertices[Vertex],0)),1,1,"")</f>
        <v>5</v>
      </c>
      <c r="AG636" s="83" t="str">
        <f>REPLACE(INDEX(GroupVertices[Group],MATCH(Edges[[#This Row],[Vertex 2]],GroupVertices[Vertex],0)),1,1,"")</f>
        <v>5</v>
      </c>
      <c r="AH636" s="111">
        <v>0</v>
      </c>
      <c r="AI636" s="112">
        <v>0</v>
      </c>
      <c r="AJ636" s="111">
        <v>0</v>
      </c>
      <c r="AK636" s="112">
        <v>0</v>
      </c>
      <c r="AL636" s="111">
        <v>0</v>
      </c>
      <c r="AM636" s="112">
        <v>0</v>
      </c>
      <c r="AN636" s="111">
        <v>8</v>
      </c>
      <c r="AO636" s="112">
        <v>100</v>
      </c>
      <c r="AP636" s="111">
        <v>8</v>
      </c>
    </row>
    <row r="637" spans="1:42" ht="15">
      <c r="A637" s="65" t="s">
        <v>729</v>
      </c>
      <c r="B637" s="65" t="s">
        <v>730</v>
      </c>
      <c r="C637" s="66" t="s">
        <v>4613</v>
      </c>
      <c r="D637" s="67">
        <v>10</v>
      </c>
      <c r="E637" s="68"/>
      <c r="F637" s="69">
        <v>15</v>
      </c>
      <c r="G637" s="66"/>
      <c r="H637" s="70"/>
      <c r="I637" s="71"/>
      <c r="J637" s="71"/>
      <c r="K637" s="35" t="s">
        <v>65</v>
      </c>
      <c r="L637" s="79">
        <v>637</v>
      </c>
      <c r="M637" s="79"/>
      <c r="N637" s="73"/>
      <c r="O637" s="81" t="s">
        <v>845</v>
      </c>
      <c r="P637" s="81" t="s">
        <v>847</v>
      </c>
      <c r="Q637" s="84" t="s">
        <v>1453</v>
      </c>
      <c r="R637" s="81" t="s">
        <v>729</v>
      </c>
      <c r="S637" s="81" t="s">
        <v>2088</v>
      </c>
      <c r="T637" s="86" t="str">
        <f>HYPERLINK("http://www.youtube.com/channel/UCqCZk9JftPi0q4Ihsz27kDQ")</f>
        <v>http://www.youtube.com/channel/UCqCZk9JftPi0q4Ihsz27kDQ</v>
      </c>
      <c r="U637" s="81" t="s">
        <v>2287</v>
      </c>
      <c r="V637" s="81" t="s">
        <v>2334</v>
      </c>
      <c r="W637" s="86" t="str">
        <f>HYPERLINK("https://www.youtube.com/watch?v=MWk8XJWEiO4")</f>
        <v>https://www.youtube.com/watch?v=MWk8XJWEiO4</v>
      </c>
      <c r="X637" s="81" t="s">
        <v>2349</v>
      </c>
      <c r="Y637" s="81">
        <v>0</v>
      </c>
      <c r="Z637" s="88">
        <v>43944.38097222222</v>
      </c>
      <c r="AA637" s="88">
        <v>43944.38097222222</v>
      </c>
      <c r="AB637" s="81"/>
      <c r="AC637" s="81"/>
      <c r="AD637" s="84" t="s">
        <v>2390</v>
      </c>
      <c r="AE637" s="82">
        <v>2</v>
      </c>
      <c r="AF637" s="83" t="str">
        <f>REPLACE(INDEX(GroupVertices[Group],MATCH(Edges[[#This Row],[Vertex 1]],GroupVertices[Vertex],0)),1,1,"")</f>
        <v>5</v>
      </c>
      <c r="AG637" s="83" t="str">
        <f>REPLACE(INDEX(GroupVertices[Group],MATCH(Edges[[#This Row],[Vertex 2]],GroupVertices[Vertex],0)),1,1,"")</f>
        <v>5</v>
      </c>
      <c r="AH637" s="111">
        <v>0</v>
      </c>
      <c r="AI637" s="112">
        <v>0</v>
      </c>
      <c r="AJ637" s="111">
        <v>0</v>
      </c>
      <c r="AK637" s="112">
        <v>0</v>
      </c>
      <c r="AL637" s="111">
        <v>0</v>
      </c>
      <c r="AM637" s="112">
        <v>0</v>
      </c>
      <c r="AN637" s="111">
        <v>4</v>
      </c>
      <c r="AO637" s="112">
        <v>100</v>
      </c>
      <c r="AP637" s="111">
        <v>4</v>
      </c>
    </row>
    <row r="638" spans="1:42" ht="15">
      <c r="A638" s="65" t="s">
        <v>730</v>
      </c>
      <c r="B638" s="65" t="s">
        <v>841</v>
      </c>
      <c r="C638" s="66" t="s">
        <v>4651</v>
      </c>
      <c r="D638" s="67">
        <v>3</v>
      </c>
      <c r="E638" s="68"/>
      <c r="F638" s="69">
        <v>40</v>
      </c>
      <c r="G638" s="66"/>
      <c r="H638" s="70"/>
      <c r="I638" s="71"/>
      <c r="J638" s="71"/>
      <c r="K638" s="35" t="s">
        <v>65</v>
      </c>
      <c r="L638" s="79">
        <v>638</v>
      </c>
      <c r="M638" s="79"/>
      <c r="N638" s="73"/>
      <c r="O638" s="81" t="s">
        <v>844</v>
      </c>
      <c r="P638" s="81" t="s">
        <v>199</v>
      </c>
      <c r="Q638" s="84" t="s">
        <v>1454</v>
      </c>
      <c r="R638" s="81" t="s">
        <v>730</v>
      </c>
      <c r="S638" s="81" t="s">
        <v>2089</v>
      </c>
      <c r="T638" s="86" t="str">
        <f>HYPERLINK("http://www.youtube.com/channel/UCcPcpbjgONtEip-VGOdTjjQ")</f>
        <v>http://www.youtube.com/channel/UCcPcpbjgONtEip-VGOdTjjQ</v>
      </c>
      <c r="U638" s="81"/>
      <c r="V638" s="81" t="s">
        <v>2334</v>
      </c>
      <c r="W638" s="86" t="str">
        <f>HYPERLINK("https://www.youtube.com/watch?v=MWk8XJWEiO4")</f>
        <v>https://www.youtube.com/watch?v=MWk8XJWEiO4</v>
      </c>
      <c r="X638" s="81" t="s">
        <v>2349</v>
      </c>
      <c r="Y638" s="81">
        <v>3</v>
      </c>
      <c r="Z638" s="88">
        <v>43156.63675925926</v>
      </c>
      <c r="AA638" s="88">
        <v>43156.63675925926</v>
      </c>
      <c r="AB638" s="81"/>
      <c r="AC638" s="81"/>
      <c r="AD638" s="84" t="s">
        <v>2390</v>
      </c>
      <c r="AE638" s="82">
        <v>1</v>
      </c>
      <c r="AF638" s="83" t="str">
        <f>REPLACE(INDEX(GroupVertices[Group],MATCH(Edges[[#This Row],[Vertex 1]],GroupVertices[Vertex],0)),1,1,"")</f>
        <v>5</v>
      </c>
      <c r="AG638" s="83" t="str">
        <f>REPLACE(INDEX(GroupVertices[Group],MATCH(Edges[[#This Row],[Vertex 2]],GroupVertices[Vertex],0)),1,1,"")</f>
        <v>5</v>
      </c>
      <c r="AH638" s="111">
        <v>1</v>
      </c>
      <c r="AI638" s="112">
        <v>50</v>
      </c>
      <c r="AJ638" s="111">
        <v>0</v>
      </c>
      <c r="AK638" s="112">
        <v>0</v>
      </c>
      <c r="AL638" s="111">
        <v>0</v>
      </c>
      <c r="AM638" s="112">
        <v>0</v>
      </c>
      <c r="AN638" s="111">
        <v>1</v>
      </c>
      <c r="AO638" s="112">
        <v>50</v>
      </c>
      <c r="AP638" s="111">
        <v>2</v>
      </c>
    </row>
    <row r="639" spans="1:42" ht="15">
      <c r="A639" s="65" t="s">
        <v>731</v>
      </c>
      <c r="B639" s="65" t="s">
        <v>732</v>
      </c>
      <c r="C639" s="66" t="s">
        <v>4651</v>
      </c>
      <c r="D639" s="67">
        <v>3</v>
      </c>
      <c r="E639" s="68"/>
      <c r="F639" s="69">
        <v>40</v>
      </c>
      <c r="G639" s="66"/>
      <c r="H639" s="70"/>
      <c r="I639" s="71"/>
      <c r="J639" s="71"/>
      <c r="K639" s="35" t="s">
        <v>65</v>
      </c>
      <c r="L639" s="79">
        <v>639</v>
      </c>
      <c r="M639" s="79"/>
      <c r="N639" s="73"/>
      <c r="O639" s="81" t="s">
        <v>845</v>
      </c>
      <c r="P639" s="81" t="s">
        <v>847</v>
      </c>
      <c r="Q639" s="84" t="s">
        <v>1455</v>
      </c>
      <c r="R639" s="81" t="s">
        <v>731</v>
      </c>
      <c r="S639" s="81" t="s">
        <v>2090</v>
      </c>
      <c r="T639" s="86" t="str">
        <f>HYPERLINK("http://www.youtube.com/channel/UCSLzh_2e-fC7yrOAj39TAAw")</f>
        <v>http://www.youtube.com/channel/UCSLzh_2e-fC7yrOAj39TAAw</v>
      </c>
      <c r="U639" s="81" t="s">
        <v>2288</v>
      </c>
      <c r="V639" s="81" t="s">
        <v>2334</v>
      </c>
      <c r="W639" s="86" t="str">
        <f>HYPERLINK("https://www.youtube.com/watch?v=MWk8XJWEiO4")</f>
        <v>https://www.youtube.com/watch?v=MWk8XJWEiO4</v>
      </c>
      <c r="X639" s="81" t="s">
        <v>2349</v>
      </c>
      <c r="Y639" s="81">
        <v>0</v>
      </c>
      <c r="Z639" s="88">
        <v>44301.496342592596</v>
      </c>
      <c r="AA639" s="88">
        <v>44301.496342592596</v>
      </c>
      <c r="AB639" s="81"/>
      <c r="AC639" s="81"/>
      <c r="AD639" s="84" t="s">
        <v>2390</v>
      </c>
      <c r="AE639" s="82">
        <v>1</v>
      </c>
      <c r="AF639" s="83" t="str">
        <f>REPLACE(INDEX(GroupVertices[Group],MATCH(Edges[[#This Row],[Vertex 1]],GroupVertices[Vertex],0)),1,1,"")</f>
        <v>5</v>
      </c>
      <c r="AG639" s="83" t="str">
        <f>REPLACE(INDEX(GroupVertices[Group],MATCH(Edges[[#This Row],[Vertex 2]],GroupVertices[Vertex],0)),1,1,"")</f>
        <v>5</v>
      </c>
      <c r="AH639" s="111">
        <v>0</v>
      </c>
      <c r="AI639" s="112">
        <v>0</v>
      </c>
      <c r="AJ639" s="111">
        <v>0</v>
      </c>
      <c r="AK639" s="112">
        <v>0</v>
      </c>
      <c r="AL639" s="111">
        <v>0</v>
      </c>
      <c r="AM639" s="112">
        <v>0</v>
      </c>
      <c r="AN639" s="111">
        <v>5</v>
      </c>
      <c r="AO639" s="112">
        <v>100</v>
      </c>
      <c r="AP639" s="111">
        <v>5</v>
      </c>
    </row>
    <row r="640" spans="1:42" ht="15">
      <c r="A640" s="65" t="s">
        <v>732</v>
      </c>
      <c r="B640" s="65" t="s">
        <v>841</v>
      </c>
      <c r="C640" s="66" t="s">
        <v>4651</v>
      </c>
      <c r="D640" s="67">
        <v>3</v>
      </c>
      <c r="E640" s="68"/>
      <c r="F640" s="69">
        <v>40</v>
      </c>
      <c r="G640" s="66"/>
      <c r="H640" s="70"/>
      <c r="I640" s="71"/>
      <c r="J640" s="71"/>
      <c r="K640" s="35" t="s">
        <v>65</v>
      </c>
      <c r="L640" s="79">
        <v>640</v>
      </c>
      <c r="M640" s="79"/>
      <c r="N640" s="73"/>
      <c r="O640" s="81" t="s">
        <v>844</v>
      </c>
      <c r="P640" s="81" t="s">
        <v>199</v>
      </c>
      <c r="Q640" s="84" t="s">
        <v>1456</v>
      </c>
      <c r="R640" s="81" t="s">
        <v>732</v>
      </c>
      <c r="S640" s="81" t="s">
        <v>2091</v>
      </c>
      <c r="T640" s="86" t="str">
        <f>HYPERLINK("http://www.youtube.com/channel/UCwSB6LON4E0a7yTaZxepNZA")</f>
        <v>http://www.youtube.com/channel/UCwSB6LON4E0a7yTaZxepNZA</v>
      </c>
      <c r="U640" s="81"/>
      <c r="V640" s="81" t="s">
        <v>2334</v>
      </c>
      <c r="W640" s="86" t="str">
        <f>HYPERLINK("https://www.youtube.com/watch?v=MWk8XJWEiO4")</f>
        <v>https://www.youtube.com/watch?v=MWk8XJWEiO4</v>
      </c>
      <c r="X640" s="81" t="s">
        <v>2349</v>
      </c>
      <c r="Y640" s="81">
        <v>0</v>
      </c>
      <c r="Z640" s="88">
        <v>44143.67496527778</v>
      </c>
      <c r="AA640" s="88">
        <v>44143.67496527778</v>
      </c>
      <c r="AB640" s="81"/>
      <c r="AC640" s="81"/>
      <c r="AD640" s="84" t="s">
        <v>2390</v>
      </c>
      <c r="AE640" s="82">
        <v>1</v>
      </c>
      <c r="AF640" s="83" t="str">
        <f>REPLACE(INDEX(GroupVertices[Group],MATCH(Edges[[#This Row],[Vertex 1]],GroupVertices[Vertex],0)),1,1,"")</f>
        <v>5</v>
      </c>
      <c r="AG640" s="83" t="str">
        <f>REPLACE(INDEX(GroupVertices[Group],MATCH(Edges[[#This Row],[Vertex 2]],GroupVertices[Vertex],0)),1,1,"")</f>
        <v>5</v>
      </c>
      <c r="AH640" s="111">
        <v>1</v>
      </c>
      <c r="AI640" s="112">
        <v>50</v>
      </c>
      <c r="AJ640" s="111">
        <v>0</v>
      </c>
      <c r="AK640" s="112">
        <v>0</v>
      </c>
      <c r="AL640" s="111">
        <v>0</v>
      </c>
      <c r="AM640" s="112">
        <v>0</v>
      </c>
      <c r="AN640" s="111">
        <v>1</v>
      </c>
      <c r="AO640" s="112">
        <v>50</v>
      </c>
      <c r="AP640" s="111">
        <v>2</v>
      </c>
    </row>
    <row r="641" spans="1:42" ht="15">
      <c r="A641" s="65" t="s">
        <v>733</v>
      </c>
      <c r="B641" s="65" t="s">
        <v>841</v>
      </c>
      <c r="C641" s="66" t="s">
        <v>4651</v>
      </c>
      <c r="D641" s="67">
        <v>3</v>
      </c>
      <c r="E641" s="68"/>
      <c r="F641" s="69">
        <v>40</v>
      </c>
      <c r="G641" s="66"/>
      <c r="H641" s="70"/>
      <c r="I641" s="71"/>
      <c r="J641" s="71"/>
      <c r="K641" s="35" t="s">
        <v>65</v>
      </c>
      <c r="L641" s="79">
        <v>641</v>
      </c>
      <c r="M641" s="79"/>
      <c r="N641" s="73"/>
      <c r="O641" s="81" t="s">
        <v>844</v>
      </c>
      <c r="P641" s="81" t="s">
        <v>199</v>
      </c>
      <c r="Q641" s="84" t="s">
        <v>1457</v>
      </c>
      <c r="R641" s="81" t="s">
        <v>733</v>
      </c>
      <c r="S641" s="81" t="s">
        <v>2092</v>
      </c>
      <c r="T641" s="86" t="str">
        <f>HYPERLINK("http://www.youtube.com/channel/UC2LxcXUNLqPhJrjxhuQMT3w")</f>
        <v>http://www.youtube.com/channel/UC2LxcXUNLqPhJrjxhuQMT3w</v>
      </c>
      <c r="U641" s="81"/>
      <c r="V641" s="81" t="s">
        <v>2334</v>
      </c>
      <c r="W641" s="86" t="str">
        <f>HYPERLINK("https://www.youtube.com/watch?v=MWk8XJWEiO4")</f>
        <v>https://www.youtube.com/watch?v=MWk8XJWEiO4</v>
      </c>
      <c r="X641" s="81" t="s">
        <v>2349</v>
      </c>
      <c r="Y641" s="81">
        <v>0</v>
      </c>
      <c r="Z641" s="88">
        <v>44159.11273148148</v>
      </c>
      <c r="AA641" s="88">
        <v>44159.11273148148</v>
      </c>
      <c r="AB641" s="81"/>
      <c r="AC641" s="81"/>
      <c r="AD641" s="84" t="s">
        <v>2390</v>
      </c>
      <c r="AE641" s="82">
        <v>1</v>
      </c>
      <c r="AF641" s="83" t="str">
        <f>REPLACE(INDEX(GroupVertices[Group],MATCH(Edges[[#This Row],[Vertex 1]],GroupVertices[Vertex],0)),1,1,"")</f>
        <v>5</v>
      </c>
      <c r="AG641" s="83" t="str">
        <f>REPLACE(INDEX(GroupVertices[Group],MATCH(Edges[[#This Row],[Vertex 2]],GroupVertices[Vertex],0)),1,1,"")</f>
        <v>5</v>
      </c>
      <c r="AH641" s="111">
        <v>0</v>
      </c>
      <c r="AI641" s="112">
        <v>0</v>
      </c>
      <c r="AJ641" s="111">
        <v>1</v>
      </c>
      <c r="AK641" s="112">
        <v>33.333333333333336</v>
      </c>
      <c r="AL641" s="111">
        <v>0</v>
      </c>
      <c r="AM641" s="112">
        <v>0</v>
      </c>
      <c r="AN641" s="111">
        <v>2</v>
      </c>
      <c r="AO641" s="112">
        <v>66.66666666666667</v>
      </c>
      <c r="AP641" s="111">
        <v>3</v>
      </c>
    </row>
    <row r="642" spans="1:42" ht="15">
      <c r="A642" s="65" t="s">
        <v>734</v>
      </c>
      <c r="B642" s="65" t="s">
        <v>737</v>
      </c>
      <c r="C642" s="66" t="s">
        <v>4651</v>
      </c>
      <c r="D642" s="67">
        <v>3</v>
      </c>
      <c r="E642" s="68"/>
      <c r="F642" s="69">
        <v>40</v>
      </c>
      <c r="G642" s="66"/>
      <c r="H642" s="70"/>
      <c r="I642" s="71"/>
      <c r="J642" s="71"/>
      <c r="K642" s="35" t="s">
        <v>65</v>
      </c>
      <c r="L642" s="79">
        <v>642</v>
      </c>
      <c r="M642" s="79"/>
      <c r="N642" s="73"/>
      <c r="O642" s="81" t="s">
        <v>845</v>
      </c>
      <c r="P642" s="81" t="s">
        <v>847</v>
      </c>
      <c r="Q642" s="84" t="s">
        <v>1458</v>
      </c>
      <c r="R642" s="81" t="s">
        <v>734</v>
      </c>
      <c r="S642" s="81" t="s">
        <v>2093</v>
      </c>
      <c r="T642" s="86" t="str">
        <f>HYPERLINK("http://www.youtube.com/channel/UCXoIkjZ6kQ_h-NIKNxbOseg")</f>
        <v>http://www.youtube.com/channel/UCXoIkjZ6kQ_h-NIKNxbOseg</v>
      </c>
      <c r="U642" s="81" t="s">
        <v>2289</v>
      </c>
      <c r="V642" s="81" t="s">
        <v>2335</v>
      </c>
      <c r="W642" s="86" t="str">
        <f>HYPERLINK("https://www.youtube.com/watch?v=fK1_SH3X2ek")</f>
        <v>https://www.youtube.com/watch?v=fK1_SH3X2ek</v>
      </c>
      <c r="X642" s="81" t="s">
        <v>2349</v>
      </c>
      <c r="Y642" s="81">
        <v>0</v>
      </c>
      <c r="Z642" s="88">
        <v>43972.30842592593</v>
      </c>
      <c r="AA642" s="88">
        <v>43972.30842592593</v>
      </c>
      <c r="AB642" s="81"/>
      <c r="AC642" s="81"/>
      <c r="AD642" s="84" t="s">
        <v>2390</v>
      </c>
      <c r="AE642" s="82">
        <v>1</v>
      </c>
      <c r="AF642" s="83" t="str">
        <f>REPLACE(INDEX(GroupVertices[Group],MATCH(Edges[[#This Row],[Vertex 1]],GroupVertices[Vertex],0)),1,1,"")</f>
        <v>2</v>
      </c>
      <c r="AG642" s="83" t="str">
        <f>REPLACE(INDEX(GroupVertices[Group],MATCH(Edges[[#This Row],[Vertex 2]],GroupVertices[Vertex],0)),1,1,"")</f>
        <v>2</v>
      </c>
      <c r="AH642" s="111">
        <v>0</v>
      </c>
      <c r="AI642" s="112">
        <v>0</v>
      </c>
      <c r="AJ642" s="111">
        <v>0</v>
      </c>
      <c r="AK642" s="112">
        <v>0</v>
      </c>
      <c r="AL642" s="111">
        <v>0</v>
      </c>
      <c r="AM642" s="112">
        <v>0</v>
      </c>
      <c r="AN642" s="111">
        <v>1</v>
      </c>
      <c r="AO642" s="112">
        <v>100</v>
      </c>
      <c r="AP642" s="111">
        <v>1</v>
      </c>
    </row>
    <row r="643" spans="1:42" ht="15">
      <c r="A643" s="65" t="s">
        <v>735</v>
      </c>
      <c r="B643" s="65" t="s">
        <v>737</v>
      </c>
      <c r="C643" s="66" t="s">
        <v>4651</v>
      </c>
      <c r="D643" s="67">
        <v>3</v>
      </c>
      <c r="E643" s="68"/>
      <c r="F643" s="69">
        <v>40</v>
      </c>
      <c r="G643" s="66"/>
      <c r="H643" s="70"/>
      <c r="I643" s="71"/>
      <c r="J643" s="71"/>
      <c r="K643" s="35" t="s">
        <v>65</v>
      </c>
      <c r="L643" s="79">
        <v>643</v>
      </c>
      <c r="M643" s="79"/>
      <c r="N643" s="73"/>
      <c r="O643" s="81" t="s">
        <v>845</v>
      </c>
      <c r="P643" s="81" t="s">
        <v>847</v>
      </c>
      <c r="Q643" s="84" t="s">
        <v>1459</v>
      </c>
      <c r="R643" s="81" t="s">
        <v>735</v>
      </c>
      <c r="S643" s="81" t="s">
        <v>2094</v>
      </c>
      <c r="T643" s="86" t="str">
        <f>HYPERLINK("http://www.youtube.com/channel/UCWKJSLASMS7LgiWB0B3U3VA")</f>
        <v>http://www.youtube.com/channel/UCWKJSLASMS7LgiWB0B3U3VA</v>
      </c>
      <c r="U643" s="81" t="s">
        <v>2289</v>
      </c>
      <c r="V643" s="81" t="s">
        <v>2335</v>
      </c>
      <c r="W643" s="86" t="str">
        <f>HYPERLINK("https://www.youtube.com/watch?v=fK1_SH3X2ek")</f>
        <v>https://www.youtube.com/watch?v=fK1_SH3X2ek</v>
      </c>
      <c r="X643" s="81" t="s">
        <v>2349</v>
      </c>
      <c r="Y643" s="81">
        <v>0</v>
      </c>
      <c r="Z643" s="88">
        <v>42852.03380787037</v>
      </c>
      <c r="AA643" s="88">
        <v>42852.03380787037</v>
      </c>
      <c r="AB643" s="81"/>
      <c r="AC643" s="81"/>
      <c r="AD643" s="84" t="s">
        <v>2390</v>
      </c>
      <c r="AE643" s="82">
        <v>1</v>
      </c>
      <c r="AF643" s="83" t="str">
        <f>REPLACE(INDEX(GroupVertices[Group],MATCH(Edges[[#This Row],[Vertex 1]],GroupVertices[Vertex],0)),1,1,"")</f>
        <v>2</v>
      </c>
      <c r="AG643" s="83" t="str">
        <f>REPLACE(INDEX(GroupVertices[Group],MATCH(Edges[[#This Row],[Vertex 2]],GroupVertices[Vertex],0)),1,1,"")</f>
        <v>2</v>
      </c>
      <c r="AH643" s="111">
        <v>1</v>
      </c>
      <c r="AI643" s="112">
        <v>14.285714285714286</v>
      </c>
      <c r="AJ643" s="111">
        <v>0</v>
      </c>
      <c r="AK643" s="112">
        <v>0</v>
      </c>
      <c r="AL643" s="111">
        <v>0</v>
      </c>
      <c r="AM643" s="112">
        <v>0</v>
      </c>
      <c r="AN643" s="111">
        <v>6</v>
      </c>
      <c r="AO643" s="112">
        <v>85.71428571428571</v>
      </c>
      <c r="AP643" s="111">
        <v>7</v>
      </c>
    </row>
    <row r="644" spans="1:42" ht="15">
      <c r="A644" s="65" t="s">
        <v>736</v>
      </c>
      <c r="B644" s="65" t="s">
        <v>737</v>
      </c>
      <c r="C644" s="66" t="s">
        <v>4651</v>
      </c>
      <c r="D644" s="67">
        <v>3</v>
      </c>
      <c r="E644" s="68"/>
      <c r="F644" s="69">
        <v>40</v>
      </c>
      <c r="G644" s="66"/>
      <c r="H644" s="70"/>
      <c r="I644" s="71"/>
      <c r="J644" s="71"/>
      <c r="K644" s="35" t="s">
        <v>65</v>
      </c>
      <c r="L644" s="79">
        <v>644</v>
      </c>
      <c r="M644" s="79"/>
      <c r="N644" s="73"/>
      <c r="O644" s="81" t="s">
        <v>845</v>
      </c>
      <c r="P644" s="81" t="s">
        <v>847</v>
      </c>
      <c r="Q644" s="84" t="s">
        <v>1460</v>
      </c>
      <c r="R644" s="81" t="s">
        <v>736</v>
      </c>
      <c r="S644" s="81" t="s">
        <v>2095</v>
      </c>
      <c r="T644" s="86" t="str">
        <f>HYPERLINK("http://www.youtube.com/channel/UCsZFWQYkG-slxqG0PSAeuDg")</f>
        <v>http://www.youtube.com/channel/UCsZFWQYkG-slxqG0PSAeuDg</v>
      </c>
      <c r="U644" s="81" t="s">
        <v>2289</v>
      </c>
      <c r="V644" s="81" t="s">
        <v>2335</v>
      </c>
      <c r="W644" s="86" t="str">
        <f>HYPERLINK("https://www.youtube.com/watch?v=fK1_SH3X2ek")</f>
        <v>https://www.youtube.com/watch?v=fK1_SH3X2ek</v>
      </c>
      <c r="X644" s="81" t="s">
        <v>2349</v>
      </c>
      <c r="Y644" s="81">
        <v>1</v>
      </c>
      <c r="Z644" s="88">
        <v>43927.074155092596</v>
      </c>
      <c r="AA644" s="88">
        <v>43927.074155092596</v>
      </c>
      <c r="AB644" s="81" t="s">
        <v>2373</v>
      </c>
      <c r="AC644" s="81" t="s">
        <v>2387</v>
      </c>
      <c r="AD644" s="84" t="s">
        <v>2390</v>
      </c>
      <c r="AE644" s="82">
        <v>1</v>
      </c>
      <c r="AF644" s="83" t="str">
        <f>REPLACE(INDEX(GroupVertices[Group],MATCH(Edges[[#This Row],[Vertex 1]],GroupVertices[Vertex],0)),1,1,"")</f>
        <v>2</v>
      </c>
      <c r="AG644" s="83" t="str">
        <f>REPLACE(INDEX(GroupVertices[Group],MATCH(Edges[[#This Row],[Vertex 2]],GroupVertices[Vertex],0)),1,1,"")</f>
        <v>2</v>
      </c>
      <c r="AH644" s="111">
        <v>2</v>
      </c>
      <c r="AI644" s="112">
        <v>5.555555555555555</v>
      </c>
      <c r="AJ644" s="111">
        <v>0</v>
      </c>
      <c r="AK644" s="112">
        <v>0</v>
      </c>
      <c r="AL644" s="111">
        <v>0</v>
      </c>
      <c r="AM644" s="112">
        <v>0</v>
      </c>
      <c r="AN644" s="111">
        <v>34</v>
      </c>
      <c r="AO644" s="112">
        <v>94.44444444444444</v>
      </c>
      <c r="AP644" s="111">
        <v>36</v>
      </c>
    </row>
    <row r="645" spans="1:42" ht="15">
      <c r="A645" s="65" t="s">
        <v>737</v>
      </c>
      <c r="B645" s="65" t="s">
        <v>842</v>
      </c>
      <c r="C645" s="66" t="s">
        <v>4651</v>
      </c>
      <c r="D645" s="67">
        <v>3</v>
      </c>
      <c r="E645" s="68"/>
      <c r="F645" s="69">
        <v>40</v>
      </c>
      <c r="G645" s="66"/>
      <c r="H645" s="70"/>
      <c r="I645" s="71"/>
      <c r="J645" s="71"/>
      <c r="K645" s="35" t="s">
        <v>65</v>
      </c>
      <c r="L645" s="79">
        <v>645</v>
      </c>
      <c r="M645" s="79"/>
      <c r="N645" s="73"/>
      <c r="O645" s="81" t="s">
        <v>844</v>
      </c>
      <c r="P645" s="81" t="s">
        <v>199</v>
      </c>
      <c r="Q645" s="84" t="s">
        <v>1461</v>
      </c>
      <c r="R645" s="81" t="s">
        <v>737</v>
      </c>
      <c r="S645" s="81" t="s">
        <v>2096</v>
      </c>
      <c r="T645" s="86" t="str">
        <f>HYPERLINK("http://www.youtube.com/channel/UCcKWKoA7pGXi1W7BUZ2xsfg")</f>
        <v>http://www.youtube.com/channel/UCcKWKoA7pGXi1W7BUZ2xsfg</v>
      </c>
      <c r="U645" s="81"/>
      <c r="V645" s="81" t="s">
        <v>2335</v>
      </c>
      <c r="W645" s="86" t="str">
        <f>HYPERLINK("https://www.youtube.com/watch?v=fK1_SH3X2ek")</f>
        <v>https://www.youtube.com/watch?v=fK1_SH3X2ek</v>
      </c>
      <c r="X645" s="81" t="s">
        <v>2349</v>
      </c>
      <c r="Y645" s="81">
        <v>22</v>
      </c>
      <c r="Z645" s="88">
        <v>42837.235138888886</v>
      </c>
      <c r="AA645" s="88">
        <v>42837.235138888886</v>
      </c>
      <c r="AB645" s="81"/>
      <c r="AC645" s="81"/>
      <c r="AD645" s="84" t="s">
        <v>2390</v>
      </c>
      <c r="AE645" s="82">
        <v>1</v>
      </c>
      <c r="AF645" s="83" t="str">
        <f>REPLACE(INDEX(GroupVertices[Group],MATCH(Edges[[#This Row],[Vertex 1]],GroupVertices[Vertex],0)),1,1,"")</f>
        <v>2</v>
      </c>
      <c r="AG645" s="83" t="str">
        <f>REPLACE(INDEX(GroupVertices[Group],MATCH(Edges[[#This Row],[Vertex 2]],GroupVertices[Vertex],0)),1,1,"")</f>
        <v>2</v>
      </c>
      <c r="AH645" s="111">
        <v>1</v>
      </c>
      <c r="AI645" s="112">
        <v>10</v>
      </c>
      <c r="AJ645" s="111">
        <v>0</v>
      </c>
      <c r="AK645" s="112">
        <v>0</v>
      </c>
      <c r="AL645" s="111">
        <v>0</v>
      </c>
      <c r="AM645" s="112">
        <v>0</v>
      </c>
      <c r="AN645" s="111">
        <v>9</v>
      </c>
      <c r="AO645" s="112">
        <v>90</v>
      </c>
      <c r="AP645" s="111">
        <v>10</v>
      </c>
    </row>
    <row r="646" spans="1:42" ht="15">
      <c r="A646" s="65" t="s">
        <v>735</v>
      </c>
      <c r="B646" s="65" t="s">
        <v>738</v>
      </c>
      <c r="C646" s="66" t="s">
        <v>4651</v>
      </c>
      <c r="D646" s="67">
        <v>3</v>
      </c>
      <c r="E646" s="68"/>
      <c r="F646" s="69">
        <v>40</v>
      </c>
      <c r="G646" s="66"/>
      <c r="H646" s="70"/>
      <c r="I646" s="71"/>
      <c r="J646" s="71"/>
      <c r="K646" s="35" t="s">
        <v>65</v>
      </c>
      <c r="L646" s="79">
        <v>646</v>
      </c>
      <c r="M646" s="79"/>
      <c r="N646" s="73"/>
      <c r="O646" s="81" t="s">
        <v>845</v>
      </c>
      <c r="P646" s="81" t="s">
        <v>847</v>
      </c>
      <c r="Q646" s="84" t="s">
        <v>1462</v>
      </c>
      <c r="R646" s="81" t="s">
        <v>735</v>
      </c>
      <c r="S646" s="81" t="s">
        <v>2094</v>
      </c>
      <c r="T646" s="86" t="str">
        <f>HYPERLINK("http://www.youtube.com/channel/UCWKJSLASMS7LgiWB0B3U3VA")</f>
        <v>http://www.youtube.com/channel/UCWKJSLASMS7LgiWB0B3U3VA</v>
      </c>
      <c r="U646" s="81" t="s">
        <v>2290</v>
      </c>
      <c r="V646" s="81" t="s">
        <v>2335</v>
      </c>
      <c r="W646" s="86" t="str">
        <f>HYPERLINK("https://www.youtube.com/watch?v=fK1_SH3X2ek")</f>
        <v>https://www.youtube.com/watch?v=fK1_SH3X2ek</v>
      </c>
      <c r="X646" s="81" t="s">
        <v>2349</v>
      </c>
      <c r="Y646" s="81">
        <v>1</v>
      </c>
      <c r="Z646" s="88">
        <v>43118.04320601852</v>
      </c>
      <c r="AA646" s="88">
        <v>43118.04320601852</v>
      </c>
      <c r="AB646" s="81" t="s">
        <v>2374</v>
      </c>
      <c r="AC646" s="81" t="s">
        <v>2388</v>
      </c>
      <c r="AD646" s="84" t="s">
        <v>2390</v>
      </c>
      <c r="AE646" s="82">
        <v>1</v>
      </c>
      <c r="AF646" s="83" t="str">
        <f>REPLACE(INDEX(GroupVertices[Group],MATCH(Edges[[#This Row],[Vertex 1]],GroupVertices[Vertex],0)),1,1,"")</f>
        <v>2</v>
      </c>
      <c r="AG646" s="83" t="str">
        <f>REPLACE(INDEX(GroupVertices[Group],MATCH(Edges[[#This Row],[Vertex 2]],GroupVertices[Vertex],0)),1,1,"")</f>
        <v>2</v>
      </c>
      <c r="AH646" s="111">
        <v>0</v>
      </c>
      <c r="AI646" s="112">
        <v>0</v>
      </c>
      <c r="AJ646" s="111">
        <v>0</v>
      </c>
      <c r="AK646" s="112">
        <v>0</v>
      </c>
      <c r="AL646" s="111">
        <v>0</v>
      </c>
      <c r="AM646" s="112">
        <v>0</v>
      </c>
      <c r="AN646" s="111">
        <v>20</v>
      </c>
      <c r="AO646" s="112">
        <v>100</v>
      </c>
      <c r="AP646" s="111">
        <v>20</v>
      </c>
    </row>
    <row r="647" spans="1:42" ht="15">
      <c r="A647" s="65" t="s">
        <v>738</v>
      </c>
      <c r="B647" s="65" t="s">
        <v>842</v>
      </c>
      <c r="C647" s="66" t="s">
        <v>4651</v>
      </c>
      <c r="D647" s="67">
        <v>3</v>
      </c>
      <c r="E647" s="68"/>
      <c r="F647" s="69">
        <v>40</v>
      </c>
      <c r="G647" s="66"/>
      <c r="H647" s="70"/>
      <c r="I647" s="71"/>
      <c r="J647" s="71"/>
      <c r="K647" s="35" t="s">
        <v>65</v>
      </c>
      <c r="L647" s="79">
        <v>647</v>
      </c>
      <c r="M647" s="79"/>
      <c r="N647" s="73"/>
      <c r="O647" s="81" t="s">
        <v>844</v>
      </c>
      <c r="P647" s="81" t="s">
        <v>199</v>
      </c>
      <c r="Q647" s="84" t="s">
        <v>1463</v>
      </c>
      <c r="R647" s="81" t="s">
        <v>738</v>
      </c>
      <c r="S647" s="81" t="s">
        <v>2097</v>
      </c>
      <c r="T647" s="86" t="str">
        <f>HYPERLINK("http://www.youtube.com/channel/UCAW8PZ9dS-LxMtpgSGl6srg")</f>
        <v>http://www.youtube.com/channel/UCAW8PZ9dS-LxMtpgSGl6srg</v>
      </c>
      <c r="U647" s="81"/>
      <c r="V647" s="81" t="s">
        <v>2335</v>
      </c>
      <c r="W647" s="86" t="str">
        <f>HYPERLINK("https://www.youtube.com/watch?v=fK1_SH3X2ek")</f>
        <v>https://www.youtube.com/watch?v=fK1_SH3X2ek</v>
      </c>
      <c r="X647" s="81" t="s">
        <v>2349</v>
      </c>
      <c r="Y647" s="81">
        <v>2</v>
      </c>
      <c r="Z647" s="88">
        <v>42872.422418981485</v>
      </c>
      <c r="AA647" s="88">
        <v>42872.422418981485</v>
      </c>
      <c r="AB647" s="81"/>
      <c r="AC647" s="81"/>
      <c r="AD647" s="84" t="s">
        <v>2390</v>
      </c>
      <c r="AE647" s="82">
        <v>1</v>
      </c>
      <c r="AF647" s="83" t="str">
        <f>REPLACE(INDEX(GroupVertices[Group],MATCH(Edges[[#This Row],[Vertex 1]],GroupVertices[Vertex],0)),1,1,"")</f>
        <v>2</v>
      </c>
      <c r="AG647" s="83" t="str">
        <f>REPLACE(INDEX(GroupVertices[Group],MATCH(Edges[[#This Row],[Vertex 2]],GroupVertices[Vertex],0)),1,1,"")</f>
        <v>2</v>
      </c>
      <c r="AH647" s="111">
        <v>1</v>
      </c>
      <c r="AI647" s="112">
        <v>5.555555555555555</v>
      </c>
      <c r="AJ647" s="111">
        <v>0</v>
      </c>
      <c r="AK647" s="112">
        <v>0</v>
      </c>
      <c r="AL647" s="111">
        <v>0</v>
      </c>
      <c r="AM647" s="112">
        <v>0</v>
      </c>
      <c r="AN647" s="111">
        <v>17</v>
      </c>
      <c r="AO647" s="112">
        <v>94.44444444444444</v>
      </c>
      <c r="AP647" s="111">
        <v>18</v>
      </c>
    </row>
    <row r="648" spans="1:42" ht="15">
      <c r="A648" s="65" t="s">
        <v>739</v>
      </c>
      <c r="B648" s="65" t="s">
        <v>840</v>
      </c>
      <c r="C648" s="66" t="s">
        <v>4651</v>
      </c>
      <c r="D648" s="67">
        <v>3</v>
      </c>
      <c r="E648" s="68"/>
      <c r="F648" s="69">
        <v>40</v>
      </c>
      <c r="G648" s="66"/>
      <c r="H648" s="70"/>
      <c r="I648" s="71"/>
      <c r="J648" s="71"/>
      <c r="K648" s="35" t="s">
        <v>65</v>
      </c>
      <c r="L648" s="79">
        <v>648</v>
      </c>
      <c r="M648" s="79"/>
      <c r="N648" s="73"/>
      <c r="O648" s="81" t="s">
        <v>844</v>
      </c>
      <c r="P648" s="81" t="s">
        <v>199</v>
      </c>
      <c r="Q648" s="84" t="s">
        <v>1464</v>
      </c>
      <c r="R648" s="81" t="s">
        <v>739</v>
      </c>
      <c r="S648" s="81" t="s">
        <v>2098</v>
      </c>
      <c r="T648" s="86" t="str">
        <f>HYPERLINK("http://www.youtube.com/channel/UCKeFH_4Fq0vPHhSr-GO7kgg")</f>
        <v>http://www.youtube.com/channel/UCKeFH_4Fq0vPHhSr-GO7kgg</v>
      </c>
      <c r="U648" s="81"/>
      <c r="V648" s="81" t="s">
        <v>2312</v>
      </c>
      <c r="W648" s="86" t="str">
        <f>HYPERLINK("https://www.youtube.com/watch?v=vpEAos0blyw")</f>
        <v>https://www.youtube.com/watch?v=vpEAos0blyw</v>
      </c>
      <c r="X648" s="81" t="s">
        <v>2349</v>
      </c>
      <c r="Y648" s="81">
        <v>9</v>
      </c>
      <c r="Z648" s="88">
        <v>43101.532488425924</v>
      </c>
      <c r="AA648" s="88">
        <v>43101.532488425924</v>
      </c>
      <c r="AB648" s="81"/>
      <c r="AC648" s="81"/>
      <c r="AD648" s="84" t="s">
        <v>2390</v>
      </c>
      <c r="AE648" s="82">
        <v>1</v>
      </c>
      <c r="AF648" s="83" t="str">
        <f>REPLACE(INDEX(GroupVertices[Group],MATCH(Edges[[#This Row],[Vertex 1]],GroupVertices[Vertex],0)),1,1,"")</f>
        <v>2</v>
      </c>
      <c r="AG648" s="83" t="str">
        <f>REPLACE(INDEX(GroupVertices[Group],MATCH(Edges[[#This Row],[Vertex 2]],GroupVertices[Vertex],0)),1,1,"")</f>
        <v>4</v>
      </c>
      <c r="AH648" s="111">
        <v>3</v>
      </c>
      <c r="AI648" s="112">
        <v>23.076923076923077</v>
      </c>
      <c r="AJ648" s="111">
        <v>0</v>
      </c>
      <c r="AK648" s="112">
        <v>0</v>
      </c>
      <c r="AL648" s="111">
        <v>0</v>
      </c>
      <c r="AM648" s="112">
        <v>0</v>
      </c>
      <c r="AN648" s="111">
        <v>10</v>
      </c>
      <c r="AO648" s="112">
        <v>76.92307692307692</v>
      </c>
      <c r="AP648" s="111">
        <v>13</v>
      </c>
    </row>
    <row r="649" spans="1:42" ht="15">
      <c r="A649" s="65" t="s">
        <v>735</v>
      </c>
      <c r="B649" s="65" t="s">
        <v>739</v>
      </c>
      <c r="C649" s="66" t="s">
        <v>4651</v>
      </c>
      <c r="D649" s="67">
        <v>3</v>
      </c>
      <c r="E649" s="68"/>
      <c r="F649" s="69">
        <v>40</v>
      </c>
      <c r="G649" s="66"/>
      <c r="H649" s="70"/>
      <c r="I649" s="71"/>
      <c r="J649" s="71"/>
      <c r="K649" s="35" t="s">
        <v>65</v>
      </c>
      <c r="L649" s="79">
        <v>649</v>
      </c>
      <c r="M649" s="79"/>
      <c r="N649" s="73"/>
      <c r="O649" s="81" t="s">
        <v>845</v>
      </c>
      <c r="P649" s="81" t="s">
        <v>847</v>
      </c>
      <c r="Q649" s="84" t="s">
        <v>1465</v>
      </c>
      <c r="R649" s="81" t="s">
        <v>735</v>
      </c>
      <c r="S649" s="81" t="s">
        <v>2094</v>
      </c>
      <c r="T649" s="86" t="str">
        <f>HYPERLINK("http://www.youtube.com/channel/UCWKJSLASMS7LgiWB0B3U3VA")</f>
        <v>http://www.youtube.com/channel/UCWKJSLASMS7LgiWB0B3U3VA</v>
      </c>
      <c r="U649" s="81" t="s">
        <v>2291</v>
      </c>
      <c r="V649" s="81" t="s">
        <v>2335</v>
      </c>
      <c r="W649" s="86" t="str">
        <f>HYPERLINK("https://www.youtube.com/watch?v=fK1_SH3X2ek")</f>
        <v>https://www.youtube.com/watch?v=fK1_SH3X2ek</v>
      </c>
      <c r="X649" s="81" t="s">
        <v>2349</v>
      </c>
      <c r="Y649" s="81">
        <v>0</v>
      </c>
      <c r="Z649" s="88">
        <v>43492.74215277778</v>
      </c>
      <c r="AA649" s="88">
        <v>43492.74215277778</v>
      </c>
      <c r="AB649" s="81" t="s">
        <v>2375</v>
      </c>
      <c r="AC649" s="81" t="s">
        <v>2388</v>
      </c>
      <c r="AD649" s="84" t="s">
        <v>2390</v>
      </c>
      <c r="AE649" s="82">
        <v>1</v>
      </c>
      <c r="AF649" s="83" t="str">
        <f>REPLACE(INDEX(GroupVertices[Group],MATCH(Edges[[#This Row],[Vertex 1]],GroupVertices[Vertex],0)),1,1,"")</f>
        <v>2</v>
      </c>
      <c r="AG649" s="83" t="str">
        <f>REPLACE(INDEX(GroupVertices[Group],MATCH(Edges[[#This Row],[Vertex 2]],GroupVertices[Vertex],0)),1,1,"")</f>
        <v>2</v>
      </c>
      <c r="AH649" s="111">
        <v>0</v>
      </c>
      <c r="AI649" s="112">
        <v>0</v>
      </c>
      <c r="AJ649" s="111">
        <v>0</v>
      </c>
      <c r="AK649" s="112">
        <v>0</v>
      </c>
      <c r="AL649" s="111">
        <v>0</v>
      </c>
      <c r="AM649" s="112">
        <v>0</v>
      </c>
      <c r="AN649" s="111">
        <v>12</v>
      </c>
      <c r="AO649" s="112">
        <v>100</v>
      </c>
      <c r="AP649" s="111">
        <v>12</v>
      </c>
    </row>
    <row r="650" spans="1:42" ht="15">
      <c r="A650" s="65" t="s">
        <v>739</v>
      </c>
      <c r="B650" s="65" t="s">
        <v>842</v>
      </c>
      <c r="C650" s="66" t="s">
        <v>4651</v>
      </c>
      <c r="D650" s="67">
        <v>3</v>
      </c>
      <c r="E650" s="68"/>
      <c r="F650" s="69">
        <v>40</v>
      </c>
      <c r="G650" s="66"/>
      <c r="H650" s="70"/>
      <c r="I650" s="71"/>
      <c r="J650" s="71"/>
      <c r="K650" s="35" t="s">
        <v>65</v>
      </c>
      <c r="L650" s="79">
        <v>650</v>
      </c>
      <c r="M650" s="79"/>
      <c r="N650" s="73"/>
      <c r="O650" s="81" t="s">
        <v>844</v>
      </c>
      <c r="P650" s="81" t="s">
        <v>199</v>
      </c>
      <c r="Q650" s="84" t="s">
        <v>1466</v>
      </c>
      <c r="R650" s="81" t="s">
        <v>739</v>
      </c>
      <c r="S650" s="81" t="s">
        <v>2098</v>
      </c>
      <c r="T650" s="86" t="str">
        <f>HYPERLINK("http://www.youtube.com/channel/UCKeFH_4Fq0vPHhSr-GO7kgg")</f>
        <v>http://www.youtube.com/channel/UCKeFH_4Fq0vPHhSr-GO7kgg</v>
      </c>
      <c r="U650" s="81"/>
      <c r="V650" s="81" t="s">
        <v>2335</v>
      </c>
      <c r="W650" s="86" t="str">
        <f>HYPERLINK("https://www.youtube.com/watch?v=fK1_SH3X2ek")</f>
        <v>https://www.youtube.com/watch?v=fK1_SH3X2ek</v>
      </c>
      <c r="X650" s="81" t="s">
        <v>2349</v>
      </c>
      <c r="Y650" s="81">
        <v>1</v>
      </c>
      <c r="Z650" s="88">
        <v>43101.51825231482</v>
      </c>
      <c r="AA650" s="88">
        <v>43101.51825231482</v>
      </c>
      <c r="AB650" s="81"/>
      <c r="AC650" s="81"/>
      <c r="AD650" s="84" t="s">
        <v>2390</v>
      </c>
      <c r="AE650" s="82">
        <v>1</v>
      </c>
      <c r="AF650" s="83" t="str">
        <f>REPLACE(INDEX(GroupVertices[Group],MATCH(Edges[[#This Row],[Vertex 1]],GroupVertices[Vertex],0)),1,1,"")</f>
        <v>2</v>
      </c>
      <c r="AG650" s="83" t="str">
        <f>REPLACE(INDEX(GroupVertices[Group],MATCH(Edges[[#This Row],[Vertex 2]],GroupVertices[Vertex],0)),1,1,"")</f>
        <v>2</v>
      </c>
      <c r="AH650" s="111">
        <v>0</v>
      </c>
      <c r="AI650" s="112">
        <v>0</v>
      </c>
      <c r="AJ650" s="111">
        <v>1</v>
      </c>
      <c r="AK650" s="112">
        <v>12.5</v>
      </c>
      <c r="AL650" s="111">
        <v>0</v>
      </c>
      <c r="AM650" s="112">
        <v>0</v>
      </c>
      <c r="AN650" s="111">
        <v>7</v>
      </c>
      <c r="AO650" s="112">
        <v>87.5</v>
      </c>
      <c r="AP650" s="111">
        <v>8</v>
      </c>
    </row>
    <row r="651" spans="1:42" ht="15">
      <c r="A651" s="65" t="s">
        <v>740</v>
      </c>
      <c r="B651" s="65" t="s">
        <v>842</v>
      </c>
      <c r="C651" s="66" t="s">
        <v>4651</v>
      </c>
      <c r="D651" s="67">
        <v>3</v>
      </c>
      <c r="E651" s="68"/>
      <c r="F651" s="69">
        <v>40</v>
      </c>
      <c r="G651" s="66"/>
      <c r="H651" s="70"/>
      <c r="I651" s="71"/>
      <c r="J651" s="71"/>
      <c r="K651" s="35" t="s">
        <v>65</v>
      </c>
      <c r="L651" s="79">
        <v>651</v>
      </c>
      <c r="M651" s="79"/>
      <c r="N651" s="73"/>
      <c r="O651" s="81" t="s">
        <v>844</v>
      </c>
      <c r="P651" s="81" t="s">
        <v>199</v>
      </c>
      <c r="Q651" s="84" t="s">
        <v>1467</v>
      </c>
      <c r="R651" s="81" t="s">
        <v>740</v>
      </c>
      <c r="S651" s="81" t="s">
        <v>2099</v>
      </c>
      <c r="T651" s="86" t="str">
        <f>HYPERLINK("http://www.youtube.com/channel/UCnOEYCZM5jwEFOFP1NYz82A")</f>
        <v>http://www.youtube.com/channel/UCnOEYCZM5jwEFOFP1NYz82A</v>
      </c>
      <c r="U651" s="81"/>
      <c r="V651" s="81" t="s">
        <v>2335</v>
      </c>
      <c r="W651" s="86" t="str">
        <f>HYPERLINK("https://www.youtube.com/watch?v=fK1_SH3X2ek")</f>
        <v>https://www.youtube.com/watch?v=fK1_SH3X2ek</v>
      </c>
      <c r="X651" s="81" t="s">
        <v>2349</v>
      </c>
      <c r="Y651" s="81">
        <v>5</v>
      </c>
      <c r="Z651" s="88">
        <v>43352.59394675926</v>
      </c>
      <c r="AA651" s="88">
        <v>43352.59394675926</v>
      </c>
      <c r="AB651" s="81"/>
      <c r="AC651" s="81"/>
      <c r="AD651" s="84" t="s">
        <v>2390</v>
      </c>
      <c r="AE651" s="82">
        <v>1</v>
      </c>
      <c r="AF651" s="83" t="str">
        <f>REPLACE(INDEX(GroupVertices[Group],MATCH(Edges[[#This Row],[Vertex 1]],GroupVertices[Vertex],0)),1,1,"")</f>
        <v>2</v>
      </c>
      <c r="AG651" s="83" t="str">
        <f>REPLACE(INDEX(GroupVertices[Group],MATCH(Edges[[#This Row],[Vertex 2]],GroupVertices[Vertex],0)),1,1,"")</f>
        <v>2</v>
      </c>
      <c r="AH651" s="111">
        <v>3</v>
      </c>
      <c r="AI651" s="112">
        <v>30</v>
      </c>
      <c r="AJ651" s="111">
        <v>0</v>
      </c>
      <c r="AK651" s="112">
        <v>0</v>
      </c>
      <c r="AL651" s="111">
        <v>0</v>
      </c>
      <c r="AM651" s="112">
        <v>0</v>
      </c>
      <c r="AN651" s="111">
        <v>7</v>
      </c>
      <c r="AO651" s="112">
        <v>70</v>
      </c>
      <c r="AP651" s="111">
        <v>10</v>
      </c>
    </row>
    <row r="652" spans="1:42" ht="15">
      <c r="A652" s="65" t="s">
        <v>741</v>
      </c>
      <c r="B652" s="65" t="s">
        <v>842</v>
      </c>
      <c r="C652" s="66" t="s">
        <v>4651</v>
      </c>
      <c r="D652" s="67">
        <v>3</v>
      </c>
      <c r="E652" s="68"/>
      <c r="F652" s="69">
        <v>40</v>
      </c>
      <c r="G652" s="66"/>
      <c r="H652" s="70"/>
      <c r="I652" s="71"/>
      <c r="J652" s="71"/>
      <c r="K652" s="35" t="s">
        <v>65</v>
      </c>
      <c r="L652" s="79">
        <v>652</v>
      </c>
      <c r="M652" s="79"/>
      <c r="N652" s="73"/>
      <c r="O652" s="81" t="s">
        <v>844</v>
      </c>
      <c r="P652" s="81" t="s">
        <v>199</v>
      </c>
      <c r="Q652" s="84" t="s">
        <v>1468</v>
      </c>
      <c r="R652" s="81" t="s">
        <v>741</v>
      </c>
      <c r="S652" s="81" t="s">
        <v>2100</v>
      </c>
      <c r="T652" s="86" t="str">
        <f>HYPERLINK("http://www.youtube.com/channel/UCOG_T9dGhVa3Sf4ay-_ZLhA")</f>
        <v>http://www.youtube.com/channel/UCOG_T9dGhVa3Sf4ay-_ZLhA</v>
      </c>
      <c r="U652" s="81"/>
      <c r="V652" s="81" t="s">
        <v>2335</v>
      </c>
      <c r="W652" s="86" t="str">
        <f>HYPERLINK("https://www.youtube.com/watch?v=fK1_SH3X2ek")</f>
        <v>https://www.youtube.com/watch?v=fK1_SH3X2ek</v>
      </c>
      <c r="X652" s="81" t="s">
        <v>2349</v>
      </c>
      <c r="Y652" s="81">
        <v>1</v>
      </c>
      <c r="Z652" s="88">
        <v>43430.377233796295</v>
      </c>
      <c r="AA652" s="88">
        <v>43430.377233796295</v>
      </c>
      <c r="AB652" s="81"/>
      <c r="AC652" s="81"/>
      <c r="AD652" s="84" t="s">
        <v>2390</v>
      </c>
      <c r="AE652" s="82">
        <v>1</v>
      </c>
      <c r="AF652" s="83" t="str">
        <f>REPLACE(INDEX(GroupVertices[Group],MATCH(Edges[[#This Row],[Vertex 1]],GroupVertices[Vertex],0)),1,1,"")</f>
        <v>2</v>
      </c>
      <c r="AG652" s="83" t="str">
        <f>REPLACE(INDEX(GroupVertices[Group],MATCH(Edges[[#This Row],[Vertex 2]],GroupVertices[Vertex],0)),1,1,"")</f>
        <v>2</v>
      </c>
      <c r="AH652" s="111">
        <v>1</v>
      </c>
      <c r="AI652" s="112">
        <v>11.11111111111111</v>
      </c>
      <c r="AJ652" s="111">
        <v>0</v>
      </c>
      <c r="AK652" s="112">
        <v>0</v>
      </c>
      <c r="AL652" s="111">
        <v>0</v>
      </c>
      <c r="AM652" s="112">
        <v>0</v>
      </c>
      <c r="AN652" s="111">
        <v>8</v>
      </c>
      <c r="AO652" s="112">
        <v>88.88888888888889</v>
      </c>
      <c r="AP652" s="111">
        <v>9</v>
      </c>
    </row>
    <row r="653" spans="1:42" ht="15">
      <c r="A653" s="65" t="s">
        <v>735</v>
      </c>
      <c r="B653" s="65" t="s">
        <v>743</v>
      </c>
      <c r="C653" s="66" t="s">
        <v>4651</v>
      </c>
      <c r="D653" s="67">
        <v>3</v>
      </c>
      <c r="E653" s="68"/>
      <c r="F653" s="69">
        <v>40</v>
      </c>
      <c r="G653" s="66"/>
      <c r="H653" s="70"/>
      <c r="I653" s="71"/>
      <c r="J653" s="71"/>
      <c r="K653" s="35" t="s">
        <v>65</v>
      </c>
      <c r="L653" s="79">
        <v>653</v>
      </c>
      <c r="M653" s="79"/>
      <c r="N653" s="73"/>
      <c r="O653" s="81" t="s">
        <v>845</v>
      </c>
      <c r="P653" s="81" t="s">
        <v>847</v>
      </c>
      <c r="Q653" s="84" t="s">
        <v>1469</v>
      </c>
      <c r="R653" s="81" t="s">
        <v>735</v>
      </c>
      <c r="S653" s="81" t="s">
        <v>2094</v>
      </c>
      <c r="T653" s="86" t="str">
        <f>HYPERLINK("http://www.youtube.com/channel/UCWKJSLASMS7LgiWB0B3U3VA")</f>
        <v>http://www.youtube.com/channel/UCWKJSLASMS7LgiWB0B3U3VA</v>
      </c>
      <c r="U653" s="81" t="s">
        <v>2292</v>
      </c>
      <c r="V653" s="81" t="s">
        <v>2335</v>
      </c>
      <c r="W653" s="86" t="str">
        <f>HYPERLINK("https://www.youtube.com/watch?v=fK1_SH3X2ek")</f>
        <v>https://www.youtube.com/watch?v=fK1_SH3X2ek</v>
      </c>
      <c r="X653" s="81" t="s">
        <v>2349</v>
      </c>
      <c r="Y653" s="81">
        <v>3</v>
      </c>
      <c r="Z653" s="88">
        <v>44055.47697916667</v>
      </c>
      <c r="AA653" s="88">
        <v>44055.47697916667</v>
      </c>
      <c r="AB653" s="81"/>
      <c r="AC653" s="81"/>
      <c r="AD653" s="84" t="s">
        <v>2390</v>
      </c>
      <c r="AE653" s="82">
        <v>1</v>
      </c>
      <c r="AF653" s="83" t="str">
        <f>REPLACE(INDEX(GroupVertices[Group],MATCH(Edges[[#This Row],[Vertex 1]],GroupVertices[Vertex],0)),1,1,"")</f>
        <v>2</v>
      </c>
      <c r="AG653" s="83" t="str">
        <f>REPLACE(INDEX(GroupVertices[Group],MATCH(Edges[[#This Row],[Vertex 2]],GroupVertices[Vertex],0)),1,1,"")</f>
        <v>2</v>
      </c>
      <c r="AH653" s="111">
        <v>1</v>
      </c>
      <c r="AI653" s="112">
        <v>7.6923076923076925</v>
      </c>
      <c r="AJ653" s="111">
        <v>0</v>
      </c>
      <c r="AK653" s="112">
        <v>0</v>
      </c>
      <c r="AL653" s="111">
        <v>0</v>
      </c>
      <c r="AM653" s="112">
        <v>0</v>
      </c>
      <c r="AN653" s="111">
        <v>12</v>
      </c>
      <c r="AO653" s="112">
        <v>92.3076923076923</v>
      </c>
      <c r="AP653" s="111">
        <v>13</v>
      </c>
    </row>
    <row r="654" spans="1:42" ht="15">
      <c r="A654" s="65" t="s">
        <v>742</v>
      </c>
      <c r="B654" s="65" t="s">
        <v>743</v>
      </c>
      <c r="C654" s="66" t="s">
        <v>4613</v>
      </c>
      <c r="D654" s="67">
        <v>10</v>
      </c>
      <c r="E654" s="68"/>
      <c r="F654" s="69">
        <v>15</v>
      </c>
      <c r="G654" s="66"/>
      <c r="H654" s="70"/>
      <c r="I654" s="71"/>
      <c r="J654" s="71"/>
      <c r="K654" s="35" t="s">
        <v>65</v>
      </c>
      <c r="L654" s="79">
        <v>654</v>
      </c>
      <c r="M654" s="79"/>
      <c r="N654" s="73"/>
      <c r="O654" s="81" t="s">
        <v>845</v>
      </c>
      <c r="P654" s="81" t="s">
        <v>847</v>
      </c>
      <c r="Q654" s="84" t="s">
        <v>1470</v>
      </c>
      <c r="R654" s="81" t="s">
        <v>742</v>
      </c>
      <c r="S654" s="81" t="s">
        <v>2101</v>
      </c>
      <c r="T654" s="86" t="str">
        <f>HYPERLINK("http://www.youtube.com/channel/UCy8XLhlIl992JrAP2hgCscQ")</f>
        <v>http://www.youtube.com/channel/UCy8XLhlIl992JrAP2hgCscQ</v>
      </c>
      <c r="U654" s="81" t="s">
        <v>2292</v>
      </c>
      <c r="V654" s="81" t="s">
        <v>2335</v>
      </c>
      <c r="W654" s="86" t="str">
        <f>HYPERLINK("https://www.youtube.com/watch?v=fK1_SH3X2ek")</f>
        <v>https://www.youtube.com/watch?v=fK1_SH3X2ek</v>
      </c>
      <c r="X654" s="81" t="s">
        <v>2349</v>
      </c>
      <c r="Y654" s="81">
        <v>1</v>
      </c>
      <c r="Z654" s="88">
        <v>44124.663298611114</v>
      </c>
      <c r="AA654" s="88">
        <v>44124.663298611114</v>
      </c>
      <c r="AB654" s="81"/>
      <c r="AC654" s="81"/>
      <c r="AD654" s="84" t="s">
        <v>2390</v>
      </c>
      <c r="AE654" s="82">
        <v>2</v>
      </c>
      <c r="AF654" s="83" t="str">
        <f>REPLACE(INDEX(GroupVertices[Group],MATCH(Edges[[#This Row],[Vertex 1]],GroupVertices[Vertex],0)),1,1,"")</f>
        <v>2</v>
      </c>
      <c r="AG654" s="83" t="str">
        <f>REPLACE(INDEX(GroupVertices[Group],MATCH(Edges[[#This Row],[Vertex 2]],GroupVertices[Vertex],0)),1,1,"")</f>
        <v>2</v>
      </c>
      <c r="AH654" s="111">
        <v>0</v>
      </c>
      <c r="AI654" s="112">
        <v>0</v>
      </c>
      <c r="AJ654" s="111">
        <v>0</v>
      </c>
      <c r="AK654" s="112">
        <v>0</v>
      </c>
      <c r="AL654" s="111">
        <v>0</v>
      </c>
      <c r="AM654" s="112">
        <v>0</v>
      </c>
      <c r="AN654" s="111">
        <v>3</v>
      </c>
      <c r="AO654" s="112">
        <v>100</v>
      </c>
      <c r="AP654" s="111">
        <v>3</v>
      </c>
    </row>
    <row r="655" spans="1:42" ht="15">
      <c r="A655" s="65" t="s">
        <v>742</v>
      </c>
      <c r="B655" s="65" t="s">
        <v>743</v>
      </c>
      <c r="C655" s="66" t="s">
        <v>4613</v>
      </c>
      <c r="D655" s="67">
        <v>10</v>
      </c>
      <c r="E655" s="68"/>
      <c r="F655" s="69">
        <v>15</v>
      </c>
      <c r="G655" s="66"/>
      <c r="H655" s="70"/>
      <c r="I655" s="71"/>
      <c r="J655" s="71"/>
      <c r="K655" s="35" t="s">
        <v>65</v>
      </c>
      <c r="L655" s="79">
        <v>655</v>
      </c>
      <c r="M655" s="79"/>
      <c r="N655" s="73"/>
      <c r="O655" s="81" t="s">
        <v>845</v>
      </c>
      <c r="P655" s="81" t="s">
        <v>847</v>
      </c>
      <c r="Q655" s="84" t="s">
        <v>1471</v>
      </c>
      <c r="R655" s="81" t="s">
        <v>742</v>
      </c>
      <c r="S655" s="81" t="s">
        <v>2101</v>
      </c>
      <c r="T655" s="86" t="str">
        <f>HYPERLINK("http://www.youtube.com/channel/UCy8XLhlIl992JrAP2hgCscQ")</f>
        <v>http://www.youtube.com/channel/UCy8XLhlIl992JrAP2hgCscQ</v>
      </c>
      <c r="U655" s="81" t="s">
        <v>2292</v>
      </c>
      <c r="V655" s="81" t="s">
        <v>2335</v>
      </c>
      <c r="W655" s="86" t="str">
        <f>HYPERLINK("https://www.youtube.com/watch?v=fK1_SH3X2ek")</f>
        <v>https://www.youtube.com/watch?v=fK1_SH3X2ek</v>
      </c>
      <c r="X655" s="81" t="s">
        <v>2349</v>
      </c>
      <c r="Y655" s="81">
        <v>1</v>
      </c>
      <c r="Z655" s="88">
        <v>44124.66417824074</v>
      </c>
      <c r="AA655" s="88">
        <v>44124.66417824074</v>
      </c>
      <c r="AB655" s="81"/>
      <c r="AC655" s="81"/>
      <c r="AD655" s="84" t="s">
        <v>2390</v>
      </c>
      <c r="AE655" s="82">
        <v>2</v>
      </c>
      <c r="AF655" s="83" t="str">
        <f>REPLACE(INDEX(GroupVertices[Group],MATCH(Edges[[#This Row],[Vertex 1]],GroupVertices[Vertex],0)),1,1,"")</f>
        <v>2</v>
      </c>
      <c r="AG655" s="83" t="str">
        <f>REPLACE(INDEX(GroupVertices[Group],MATCH(Edges[[#This Row],[Vertex 2]],GroupVertices[Vertex],0)),1,1,"")</f>
        <v>2</v>
      </c>
      <c r="AH655" s="111">
        <v>0</v>
      </c>
      <c r="AI655" s="112">
        <v>0</v>
      </c>
      <c r="AJ655" s="111">
        <v>1</v>
      </c>
      <c r="AK655" s="112">
        <v>6.666666666666667</v>
      </c>
      <c r="AL655" s="111">
        <v>0</v>
      </c>
      <c r="AM655" s="112">
        <v>0</v>
      </c>
      <c r="AN655" s="111">
        <v>14</v>
      </c>
      <c r="AO655" s="112">
        <v>93.33333333333333</v>
      </c>
      <c r="AP655" s="111">
        <v>15</v>
      </c>
    </row>
    <row r="656" spans="1:42" ht="15">
      <c r="A656" s="65" t="s">
        <v>743</v>
      </c>
      <c r="B656" s="65" t="s">
        <v>842</v>
      </c>
      <c r="C656" s="66" t="s">
        <v>4651</v>
      </c>
      <c r="D656" s="67">
        <v>3</v>
      </c>
      <c r="E656" s="68"/>
      <c r="F656" s="69">
        <v>40</v>
      </c>
      <c r="G656" s="66"/>
      <c r="H656" s="70"/>
      <c r="I656" s="71"/>
      <c r="J656" s="71"/>
      <c r="K656" s="35" t="s">
        <v>65</v>
      </c>
      <c r="L656" s="79">
        <v>656</v>
      </c>
      <c r="M656" s="79"/>
      <c r="N656" s="73"/>
      <c r="O656" s="81" t="s">
        <v>844</v>
      </c>
      <c r="P656" s="81" t="s">
        <v>199</v>
      </c>
      <c r="Q656" s="84" t="s">
        <v>1472</v>
      </c>
      <c r="R656" s="81" t="s">
        <v>743</v>
      </c>
      <c r="S656" s="81" t="s">
        <v>2102</v>
      </c>
      <c r="T656" s="86" t="str">
        <f>HYPERLINK("http://www.youtube.com/channel/UC2TB_zzNN7L2i_WPEaWM-LQ")</f>
        <v>http://www.youtube.com/channel/UC2TB_zzNN7L2i_WPEaWM-LQ</v>
      </c>
      <c r="U656" s="81"/>
      <c r="V656" s="81" t="s">
        <v>2335</v>
      </c>
      <c r="W656" s="86" t="str">
        <f>HYPERLINK("https://www.youtube.com/watch?v=fK1_SH3X2ek")</f>
        <v>https://www.youtube.com/watch?v=fK1_SH3X2ek</v>
      </c>
      <c r="X656" s="81" t="s">
        <v>2349</v>
      </c>
      <c r="Y656" s="81">
        <v>4</v>
      </c>
      <c r="Z656" s="88">
        <v>43465.35077546296</v>
      </c>
      <c r="AA656" s="88">
        <v>43465.35077546296</v>
      </c>
      <c r="AB656" s="81"/>
      <c r="AC656" s="81"/>
      <c r="AD656" s="84" t="s">
        <v>2390</v>
      </c>
      <c r="AE656" s="82">
        <v>1</v>
      </c>
      <c r="AF656" s="83" t="str">
        <f>REPLACE(INDEX(GroupVertices[Group],MATCH(Edges[[#This Row],[Vertex 1]],GroupVertices[Vertex],0)),1,1,"")</f>
        <v>2</v>
      </c>
      <c r="AG656" s="83" t="str">
        <f>REPLACE(INDEX(GroupVertices[Group],MATCH(Edges[[#This Row],[Vertex 2]],GroupVertices[Vertex],0)),1,1,"")</f>
        <v>2</v>
      </c>
      <c r="AH656" s="111">
        <v>1</v>
      </c>
      <c r="AI656" s="112">
        <v>6.666666666666667</v>
      </c>
      <c r="AJ656" s="111">
        <v>0</v>
      </c>
      <c r="AK656" s="112">
        <v>0</v>
      </c>
      <c r="AL656" s="111">
        <v>0</v>
      </c>
      <c r="AM656" s="112">
        <v>0</v>
      </c>
      <c r="AN656" s="111">
        <v>14</v>
      </c>
      <c r="AO656" s="112">
        <v>93.33333333333333</v>
      </c>
      <c r="AP656" s="111">
        <v>15</v>
      </c>
    </row>
    <row r="657" spans="1:42" ht="15">
      <c r="A657" s="65" t="s">
        <v>744</v>
      </c>
      <c r="B657" s="65" t="s">
        <v>842</v>
      </c>
      <c r="C657" s="66" t="s">
        <v>4651</v>
      </c>
      <c r="D657" s="67">
        <v>3</v>
      </c>
      <c r="E657" s="68"/>
      <c r="F657" s="69">
        <v>40</v>
      </c>
      <c r="G657" s="66"/>
      <c r="H657" s="70"/>
      <c r="I657" s="71"/>
      <c r="J657" s="71"/>
      <c r="K657" s="35" t="s">
        <v>65</v>
      </c>
      <c r="L657" s="79">
        <v>657</v>
      </c>
      <c r="M657" s="79"/>
      <c r="N657" s="73"/>
      <c r="O657" s="81" t="s">
        <v>844</v>
      </c>
      <c r="P657" s="81" t="s">
        <v>199</v>
      </c>
      <c r="Q657" s="84" t="s">
        <v>1473</v>
      </c>
      <c r="R657" s="81" t="s">
        <v>744</v>
      </c>
      <c r="S657" s="81" t="s">
        <v>2103</v>
      </c>
      <c r="T657" s="86" t="str">
        <f>HYPERLINK("http://www.youtube.com/channel/UCjWUEivaRP01IGG5QFmYZBA")</f>
        <v>http://www.youtube.com/channel/UCjWUEivaRP01IGG5QFmYZBA</v>
      </c>
      <c r="U657" s="81"/>
      <c r="V657" s="81" t="s">
        <v>2335</v>
      </c>
      <c r="W657" s="86" t="str">
        <f>HYPERLINK("https://www.youtube.com/watch?v=fK1_SH3X2ek")</f>
        <v>https://www.youtube.com/watch?v=fK1_SH3X2ek</v>
      </c>
      <c r="X657" s="81" t="s">
        <v>2349</v>
      </c>
      <c r="Y657" s="81">
        <v>1</v>
      </c>
      <c r="Z657" s="88">
        <v>43505.37125</v>
      </c>
      <c r="AA657" s="88">
        <v>43505.37125</v>
      </c>
      <c r="AB657" s="81"/>
      <c r="AC657" s="81"/>
      <c r="AD657" s="84" t="s">
        <v>2390</v>
      </c>
      <c r="AE657" s="82">
        <v>1</v>
      </c>
      <c r="AF657" s="83" t="str">
        <f>REPLACE(INDEX(GroupVertices[Group],MATCH(Edges[[#This Row],[Vertex 1]],GroupVertices[Vertex],0)),1,1,"")</f>
        <v>2</v>
      </c>
      <c r="AG657" s="83" t="str">
        <f>REPLACE(INDEX(GroupVertices[Group],MATCH(Edges[[#This Row],[Vertex 2]],GroupVertices[Vertex],0)),1,1,"")</f>
        <v>2</v>
      </c>
      <c r="AH657" s="111">
        <v>0</v>
      </c>
      <c r="AI657" s="112">
        <v>0</v>
      </c>
      <c r="AJ657" s="111">
        <v>0</v>
      </c>
      <c r="AK657" s="112">
        <v>0</v>
      </c>
      <c r="AL657" s="111">
        <v>0</v>
      </c>
      <c r="AM657" s="112">
        <v>0</v>
      </c>
      <c r="AN657" s="111">
        <v>1</v>
      </c>
      <c r="AO657" s="112">
        <v>100</v>
      </c>
      <c r="AP657" s="111">
        <v>1</v>
      </c>
    </row>
    <row r="658" spans="1:42" ht="15">
      <c r="A658" s="65" t="s">
        <v>745</v>
      </c>
      <c r="B658" s="65" t="s">
        <v>747</v>
      </c>
      <c r="C658" s="66" t="s">
        <v>4651</v>
      </c>
      <c r="D658" s="67">
        <v>3</v>
      </c>
      <c r="E658" s="68"/>
      <c r="F658" s="69">
        <v>40</v>
      </c>
      <c r="G658" s="66"/>
      <c r="H658" s="70"/>
      <c r="I658" s="71"/>
      <c r="J658" s="71"/>
      <c r="K658" s="35" t="s">
        <v>65</v>
      </c>
      <c r="L658" s="79">
        <v>658</v>
      </c>
      <c r="M658" s="79"/>
      <c r="N658" s="73"/>
      <c r="O658" s="81" t="s">
        <v>845</v>
      </c>
      <c r="P658" s="81" t="s">
        <v>847</v>
      </c>
      <c r="Q658" s="84" t="s">
        <v>1474</v>
      </c>
      <c r="R658" s="81" t="s">
        <v>745</v>
      </c>
      <c r="S658" s="81" t="s">
        <v>2104</v>
      </c>
      <c r="T658" s="86" t="str">
        <f>HYPERLINK("http://www.youtube.com/channel/UCg_EfW_2gQANwFQOUyaDa2g")</f>
        <v>http://www.youtube.com/channel/UCg_EfW_2gQANwFQOUyaDa2g</v>
      </c>
      <c r="U658" s="81" t="s">
        <v>2293</v>
      </c>
      <c r="V658" s="81" t="s">
        <v>2335</v>
      </c>
      <c r="W658" s="86" t="str">
        <f>HYPERLINK("https://www.youtube.com/watch?v=fK1_SH3X2ek")</f>
        <v>https://www.youtube.com/watch?v=fK1_SH3X2ek</v>
      </c>
      <c r="X658" s="81" t="s">
        <v>2349</v>
      </c>
      <c r="Y658" s="81">
        <v>0</v>
      </c>
      <c r="Z658" s="88">
        <v>43525.21471064815</v>
      </c>
      <c r="AA658" s="88">
        <v>43525.21471064815</v>
      </c>
      <c r="AB658" s="81"/>
      <c r="AC658" s="81"/>
      <c r="AD658" s="84" t="s">
        <v>2390</v>
      </c>
      <c r="AE658" s="82">
        <v>1</v>
      </c>
      <c r="AF658" s="83" t="str">
        <f>REPLACE(INDEX(GroupVertices[Group],MATCH(Edges[[#This Row],[Vertex 1]],GroupVertices[Vertex],0)),1,1,"")</f>
        <v>2</v>
      </c>
      <c r="AG658" s="83" t="str">
        <f>REPLACE(INDEX(GroupVertices[Group],MATCH(Edges[[#This Row],[Vertex 2]],GroupVertices[Vertex],0)),1,1,"")</f>
        <v>2</v>
      </c>
      <c r="AH658" s="111">
        <v>0</v>
      </c>
      <c r="AI658" s="112">
        <v>0</v>
      </c>
      <c r="AJ658" s="111">
        <v>0</v>
      </c>
      <c r="AK658" s="112">
        <v>0</v>
      </c>
      <c r="AL658" s="111">
        <v>0</v>
      </c>
      <c r="AM658" s="112">
        <v>0</v>
      </c>
      <c r="AN658" s="111">
        <v>2</v>
      </c>
      <c r="AO658" s="112">
        <v>100</v>
      </c>
      <c r="AP658" s="111">
        <v>2</v>
      </c>
    </row>
    <row r="659" spans="1:42" ht="15">
      <c r="A659" s="65" t="s">
        <v>746</v>
      </c>
      <c r="B659" s="65" t="s">
        <v>747</v>
      </c>
      <c r="C659" s="66" t="s">
        <v>4651</v>
      </c>
      <c r="D659" s="67">
        <v>3</v>
      </c>
      <c r="E659" s="68"/>
      <c r="F659" s="69">
        <v>40</v>
      </c>
      <c r="G659" s="66"/>
      <c r="H659" s="70"/>
      <c r="I659" s="71"/>
      <c r="J659" s="71"/>
      <c r="K659" s="35" t="s">
        <v>65</v>
      </c>
      <c r="L659" s="79">
        <v>659</v>
      </c>
      <c r="M659" s="79"/>
      <c r="N659" s="73"/>
      <c r="O659" s="81" t="s">
        <v>845</v>
      </c>
      <c r="P659" s="81" t="s">
        <v>847</v>
      </c>
      <c r="Q659" s="84" t="s">
        <v>1475</v>
      </c>
      <c r="R659" s="81" t="s">
        <v>746</v>
      </c>
      <c r="S659" s="81" t="s">
        <v>2105</v>
      </c>
      <c r="T659" s="86" t="str">
        <f>HYPERLINK("http://www.youtube.com/channel/UCx54iSl43fUz1XysXN5bugg")</f>
        <v>http://www.youtube.com/channel/UCx54iSl43fUz1XysXN5bugg</v>
      </c>
      <c r="U659" s="81" t="s">
        <v>2293</v>
      </c>
      <c r="V659" s="81" t="s">
        <v>2335</v>
      </c>
      <c r="W659" s="86" t="str">
        <f>HYPERLINK("https://www.youtube.com/watch?v=fK1_SH3X2ek")</f>
        <v>https://www.youtube.com/watch?v=fK1_SH3X2ek</v>
      </c>
      <c r="X659" s="81" t="s">
        <v>2349</v>
      </c>
      <c r="Y659" s="81">
        <v>0</v>
      </c>
      <c r="Z659" s="88">
        <v>43751.14394675926</v>
      </c>
      <c r="AA659" s="88">
        <v>43751.14394675926</v>
      </c>
      <c r="AB659" s="81"/>
      <c r="AC659" s="81"/>
      <c r="AD659" s="84" t="s">
        <v>2390</v>
      </c>
      <c r="AE659" s="82">
        <v>1</v>
      </c>
      <c r="AF659" s="83" t="str">
        <f>REPLACE(INDEX(GroupVertices[Group],MATCH(Edges[[#This Row],[Vertex 1]],GroupVertices[Vertex],0)),1,1,"")</f>
        <v>2</v>
      </c>
      <c r="AG659" s="83" t="str">
        <f>REPLACE(INDEX(GroupVertices[Group],MATCH(Edges[[#This Row],[Vertex 2]],GroupVertices[Vertex],0)),1,1,"")</f>
        <v>2</v>
      </c>
      <c r="AH659" s="111">
        <v>0</v>
      </c>
      <c r="AI659" s="112">
        <v>0</v>
      </c>
      <c r="AJ659" s="111">
        <v>0</v>
      </c>
      <c r="AK659" s="112">
        <v>0</v>
      </c>
      <c r="AL659" s="111">
        <v>0</v>
      </c>
      <c r="AM659" s="112">
        <v>0</v>
      </c>
      <c r="AN659" s="111">
        <v>1</v>
      </c>
      <c r="AO659" s="112">
        <v>100</v>
      </c>
      <c r="AP659" s="111">
        <v>1</v>
      </c>
    </row>
    <row r="660" spans="1:42" ht="15">
      <c r="A660" s="65" t="s">
        <v>747</v>
      </c>
      <c r="B660" s="65" t="s">
        <v>842</v>
      </c>
      <c r="C660" s="66" t="s">
        <v>4651</v>
      </c>
      <c r="D660" s="67">
        <v>3</v>
      </c>
      <c r="E660" s="68"/>
      <c r="F660" s="69">
        <v>40</v>
      </c>
      <c r="G660" s="66"/>
      <c r="H660" s="70"/>
      <c r="I660" s="71"/>
      <c r="J660" s="71"/>
      <c r="K660" s="35" t="s">
        <v>65</v>
      </c>
      <c r="L660" s="79">
        <v>660</v>
      </c>
      <c r="M660" s="79"/>
      <c r="N660" s="73"/>
      <c r="O660" s="81" t="s">
        <v>844</v>
      </c>
      <c r="P660" s="81" t="s">
        <v>199</v>
      </c>
      <c r="Q660" s="84" t="s">
        <v>1476</v>
      </c>
      <c r="R660" s="81" t="s">
        <v>747</v>
      </c>
      <c r="S660" s="81" t="s">
        <v>2106</v>
      </c>
      <c r="T660" s="86" t="str">
        <f>HYPERLINK("http://www.youtube.com/channel/UCEVgc19AwijyWr7r4Ujk9LQ")</f>
        <v>http://www.youtube.com/channel/UCEVgc19AwijyWr7r4Ujk9LQ</v>
      </c>
      <c r="U660" s="81"/>
      <c r="V660" s="81" t="s">
        <v>2335</v>
      </c>
      <c r="W660" s="86" t="str">
        <f>HYPERLINK("https://www.youtube.com/watch?v=fK1_SH3X2ek")</f>
        <v>https://www.youtube.com/watch?v=fK1_SH3X2ek</v>
      </c>
      <c r="X660" s="81" t="s">
        <v>2349</v>
      </c>
      <c r="Y660" s="81">
        <v>1</v>
      </c>
      <c r="Z660" s="88">
        <v>43505.64319444444</v>
      </c>
      <c r="AA660" s="88">
        <v>43505.64319444444</v>
      </c>
      <c r="AB660" s="81"/>
      <c r="AC660" s="81"/>
      <c r="AD660" s="84" t="s">
        <v>2390</v>
      </c>
      <c r="AE660" s="82">
        <v>1</v>
      </c>
      <c r="AF660" s="83" t="str">
        <f>REPLACE(INDEX(GroupVertices[Group],MATCH(Edges[[#This Row],[Vertex 1]],GroupVertices[Vertex],0)),1,1,"")</f>
        <v>2</v>
      </c>
      <c r="AG660" s="83" t="str">
        <f>REPLACE(INDEX(GroupVertices[Group],MATCH(Edges[[#This Row],[Vertex 2]],GroupVertices[Vertex],0)),1,1,"")</f>
        <v>2</v>
      </c>
      <c r="AH660" s="111">
        <v>0</v>
      </c>
      <c r="AI660" s="112">
        <v>0</v>
      </c>
      <c r="AJ660" s="111">
        <v>0</v>
      </c>
      <c r="AK660" s="112">
        <v>0</v>
      </c>
      <c r="AL660" s="111">
        <v>0</v>
      </c>
      <c r="AM660" s="112">
        <v>0</v>
      </c>
      <c r="AN660" s="111">
        <v>2</v>
      </c>
      <c r="AO660" s="112">
        <v>100</v>
      </c>
      <c r="AP660" s="111">
        <v>2</v>
      </c>
    </row>
    <row r="661" spans="1:42" ht="15">
      <c r="A661" s="65" t="s">
        <v>748</v>
      </c>
      <c r="B661" s="65" t="s">
        <v>749</v>
      </c>
      <c r="C661" s="66" t="s">
        <v>4651</v>
      </c>
      <c r="D661" s="67">
        <v>3</v>
      </c>
      <c r="E661" s="68"/>
      <c r="F661" s="69">
        <v>40</v>
      </c>
      <c r="G661" s="66"/>
      <c r="H661" s="70"/>
      <c r="I661" s="71"/>
      <c r="J661" s="71"/>
      <c r="K661" s="35" t="s">
        <v>65</v>
      </c>
      <c r="L661" s="79">
        <v>661</v>
      </c>
      <c r="M661" s="79"/>
      <c r="N661" s="73"/>
      <c r="O661" s="81" t="s">
        <v>845</v>
      </c>
      <c r="P661" s="81" t="s">
        <v>847</v>
      </c>
      <c r="Q661" s="84" t="s">
        <v>1477</v>
      </c>
      <c r="R661" s="81" t="s">
        <v>748</v>
      </c>
      <c r="S661" s="81" t="s">
        <v>2107</v>
      </c>
      <c r="T661" s="86" t="str">
        <f>HYPERLINK("http://www.youtube.com/channel/UCSJfXviTNs8Tce09VU_uAKw")</f>
        <v>http://www.youtube.com/channel/UCSJfXviTNs8Tce09VU_uAKw</v>
      </c>
      <c r="U661" s="81" t="s">
        <v>2294</v>
      </c>
      <c r="V661" s="81" t="s">
        <v>2335</v>
      </c>
      <c r="W661" s="86" t="str">
        <f>HYPERLINK("https://www.youtube.com/watch?v=fK1_SH3X2ek")</f>
        <v>https://www.youtube.com/watch?v=fK1_SH3X2ek</v>
      </c>
      <c r="X661" s="81" t="s">
        <v>2349</v>
      </c>
      <c r="Y661" s="81">
        <v>1</v>
      </c>
      <c r="Z661" s="88">
        <v>43926.49246527778</v>
      </c>
      <c r="AA661" s="88">
        <v>43926.49246527778</v>
      </c>
      <c r="AB661" s="81" t="s">
        <v>2373</v>
      </c>
      <c r="AC661" s="81" t="s">
        <v>2387</v>
      </c>
      <c r="AD661" s="84" t="s">
        <v>2390</v>
      </c>
      <c r="AE661" s="82">
        <v>1</v>
      </c>
      <c r="AF661" s="83" t="str">
        <f>REPLACE(INDEX(GroupVertices[Group],MATCH(Edges[[#This Row],[Vertex 1]],GroupVertices[Vertex],0)),1,1,"")</f>
        <v>2</v>
      </c>
      <c r="AG661" s="83" t="str">
        <f>REPLACE(INDEX(GroupVertices[Group],MATCH(Edges[[#This Row],[Vertex 2]],GroupVertices[Vertex],0)),1,1,"")</f>
        <v>2</v>
      </c>
      <c r="AH661" s="111">
        <v>1</v>
      </c>
      <c r="AI661" s="112">
        <v>2.9411764705882355</v>
      </c>
      <c r="AJ661" s="111">
        <v>0</v>
      </c>
      <c r="AK661" s="112">
        <v>0</v>
      </c>
      <c r="AL661" s="111">
        <v>0</v>
      </c>
      <c r="AM661" s="112">
        <v>0</v>
      </c>
      <c r="AN661" s="111">
        <v>33</v>
      </c>
      <c r="AO661" s="112">
        <v>97.05882352941177</v>
      </c>
      <c r="AP661" s="111">
        <v>34</v>
      </c>
    </row>
    <row r="662" spans="1:42" ht="15">
      <c r="A662" s="65" t="s">
        <v>749</v>
      </c>
      <c r="B662" s="65" t="s">
        <v>842</v>
      </c>
      <c r="C662" s="66" t="s">
        <v>4651</v>
      </c>
      <c r="D662" s="67">
        <v>3</v>
      </c>
      <c r="E662" s="68"/>
      <c r="F662" s="69">
        <v>40</v>
      </c>
      <c r="G662" s="66"/>
      <c r="H662" s="70"/>
      <c r="I662" s="71"/>
      <c r="J662" s="71"/>
      <c r="K662" s="35" t="s">
        <v>65</v>
      </c>
      <c r="L662" s="79">
        <v>662</v>
      </c>
      <c r="M662" s="79"/>
      <c r="N662" s="73"/>
      <c r="O662" s="81" t="s">
        <v>844</v>
      </c>
      <c r="P662" s="81" t="s">
        <v>199</v>
      </c>
      <c r="Q662" s="84" t="s">
        <v>1478</v>
      </c>
      <c r="R662" s="81" t="s">
        <v>749</v>
      </c>
      <c r="S662" s="81" t="s">
        <v>2108</v>
      </c>
      <c r="T662" s="86" t="str">
        <f>HYPERLINK("http://www.youtube.com/channel/UCSqoJhY0KeLismXnsp2wbGg")</f>
        <v>http://www.youtube.com/channel/UCSqoJhY0KeLismXnsp2wbGg</v>
      </c>
      <c r="U662" s="81"/>
      <c r="V662" s="81" t="s">
        <v>2335</v>
      </c>
      <c r="W662" s="86" t="str">
        <f>HYPERLINK("https://www.youtube.com/watch?v=fK1_SH3X2ek")</f>
        <v>https://www.youtube.com/watch?v=fK1_SH3X2ek</v>
      </c>
      <c r="X662" s="81" t="s">
        <v>2349</v>
      </c>
      <c r="Y662" s="81">
        <v>3</v>
      </c>
      <c r="Z662" s="88">
        <v>43551.50666666667</v>
      </c>
      <c r="AA662" s="88">
        <v>43551.50666666667</v>
      </c>
      <c r="AB662" s="81"/>
      <c r="AC662" s="81"/>
      <c r="AD662" s="84" t="s">
        <v>2390</v>
      </c>
      <c r="AE662" s="82">
        <v>1</v>
      </c>
      <c r="AF662" s="83" t="str">
        <f>REPLACE(INDEX(GroupVertices[Group],MATCH(Edges[[#This Row],[Vertex 1]],GroupVertices[Vertex],0)),1,1,"")</f>
        <v>2</v>
      </c>
      <c r="AG662" s="83" t="str">
        <f>REPLACE(INDEX(GroupVertices[Group],MATCH(Edges[[#This Row],[Vertex 2]],GroupVertices[Vertex],0)),1,1,"")</f>
        <v>2</v>
      </c>
      <c r="AH662" s="111">
        <v>4</v>
      </c>
      <c r="AI662" s="112">
        <v>8.695652173913043</v>
      </c>
      <c r="AJ662" s="111">
        <v>2</v>
      </c>
      <c r="AK662" s="112">
        <v>4.3478260869565215</v>
      </c>
      <c r="AL662" s="111">
        <v>0</v>
      </c>
      <c r="AM662" s="112">
        <v>0</v>
      </c>
      <c r="AN662" s="111">
        <v>40</v>
      </c>
      <c r="AO662" s="112">
        <v>86.95652173913044</v>
      </c>
      <c r="AP662" s="111">
        <v>46</v>
      </c>
    </row>
    <row r="663" spans="1:42" ht="15">
      <c r="A663" s="65" t="s">
        <v>748</v>
      </c>
      <c r="B663" s="65" t="s">
        <v>750</v>
      </c>
      <c r="C663" s="66" t="s">
        <v>4651</v>
      </c>
      <c r="D663" s="67">
        <v>3</v>
      </c>
      <c r="E663" s="68"/>
      <c r="F663" s="69">
        <v>40</v>
      </c>
      <c r="G663" s="66"/>
      <c r="H663" s="70"/>
      <c r="I663" s="71"/>
      <c r="J663" s="71"/>
      <c r="K663" s="35" t="s">
        <v>65</v>
      </c>
      <c r="L663" s="79">
        <v>663</v>
      </c>
      <c r="M663" s="79"/>
      <c r="N663" s="73"/>
      <c r="O663" s="81" t="s">
        <v>845</v>
      </c>
      <c r="P663" s="81" t="s">
        <v>847</v>
      </c>
      <c r="Q663" s="84" t="s">
        <v>1479</v>
      </c>
      <c r="R663" s="81" t="s">
        <v>748</v>
      </c>
      <c r="S663" s="81" t="s">
        <v>2107</v>
      </c>
      <c r="T663" s="86" t="str">
        <f>HYPERLINK("http://www.youtube.com/channel/UCSJfXviTNs8Tce09VU_uAKw")</f>
        <v>http://www.youtube.com/channel/UCSJfXviTNs8Tce09VU_uAKw</v>
      </c>
      <c r="U663" s="81" t="s">
        <v>2295</v>
      </c>
      <c r="V663" s="81" t="s">
        <v>2335</v>
      </c>
      <c r="W663" s="86" t="str">
        <f>HYPERLINK("https://www.youtube.com/watch?v=fK1_SH3X2ek")</f>
        <v>https://www.youtube.com/watch?v=fK1_SH3X2ek</v>
      </c>
      <c r="X663" s="81" t="s">
        <v>2349</v>
      </c>
      <c r="Y663" s="81">
        <v>0</v>
      </c>
      <c r="Z663" s="88">
        <v>43926.49190972222</v>
      </c>
      <c r="AA663" s="88">
        <v>43926.49190972222</v>
      </c>
      <c r="AB663" s="81" t="s">
        <v>2373</v>
      </c>
      <c r="AC663" s="81" t="s">
        <v>2387</v>
      </c>
      <c r="AD663" s="84" t="s">
        <v>2390</v>
      </c>
      <c r="AE663" s="82">
        <v>1</v>
      </c>
      <c r="AF663" s="83" t="str">
        <f>REPLACE(INDEX(GroupVertices[Group],MATCH(Edges[[#This Row],[Vertex 1]],GroupVertices[Vertex],0)),1,1,"")</f>
        <v>2</v>
      </c>
      <c r="AG663" s="83" t="str">
        <f>REPLACE(INDEX(GroupVertices[Group],MATCH(Edges[[#This Row],[Vertex 2]],GroupVertices[Vertex],0)),1,1,"")</f>
        <v>2</v>
      </c>
      <c r="AH663" s="111">
        <v>1</v>
      </c>
      <c r="AI663" s="112">
        <v>3.3333333333333335</v>
      </c>
      <c r="AJ663" s="111">
        <v>0</v>
      </c>
      <c r="AK663" s="112">
        <v>0</v>
      </c>
      <c r="AL663" s="111">
        <v>0</v>
      </c>
      <c r="AM663" s="112">
        <v>0</v>
      </c>
      <c r="AN663" s="111">
        <v>29</v>
      </c>
      <c r="AO663" s="112">
        <v>96.66666666666667</v>
      </c>
      <c r="AP663" s="111">
        <v>30</v>
      </c>
    </row>
    <row r="664" spans="1:42" ht="15">
      <c r="A664" s="65" t="s">
        <v>750</v>
      </c>
      <c r="B664" s="65" t="s">
        <v>842</v>
      </c>
      <c r="C664" s="66" t="s">
        <v>4651</v>
      </c>
      <c r="D664" s="67">
        <v>3</v>
      </c>
      <c r="E664" s="68"/>
      <c r="F664" s="69">
        <v>40</v>
      </c>
      <c r="G664" s="66"/>
      <c r="H664" s="70"/>
      <c r="I664" s="71"/>
      <c r="J664" s="71"/>
      <c r="K664" s="35" t="s">
        <v>65</v>
      </c>
      <c r="L664" s="79">
        <v>664</v>
      </c>
      <c r="M664" s="79"/>
      <c r="N664" s="73"/>
      <c r="O664" s="81" t="s">
        <v>844</v>
      </c>
      <c r="P664" s="81" t="s">
        <v>199</v>
      </c>
      <c r="Q664" s="84" t="s">
        <v>1480</v>
      </c>
      <c r="R664" s="81" t="s">
        <v>750</v>
      </c>
      <c r="S664" s="81" t="s">
        <v>2109</v>
      </c>
      <c r="T664" s="86" t="str">
        <f>HYPERLINK("http://www.youtube.com/channel/UCaXUE4Eg9DIxjSu3GuKHHJA")</f>
        <v>http://www.youtube.com/channel/UCaXUE4Eg9DIxjSu3GuKHHJA</v>
      </c>
      <c r="U664" s="81"/>
      <c r="V664" s="81" t="s">
        <v>2335</v>
      </c>
      <c r="W664" s="86" t="str">
        <f>HYPERLINK("https://www.youtube.com/watch?v=fK1_SH3X2ek")</f>
        <v>https://www.youtube.com/watch?v=fK1_SH3X2ek</v>
      </c>
      <c r="X664" s="81" t="s">
        <v>2349</v>
      </c>
      <c r="Y664" s="81">
        <v>1</v>
      </c>
      <c r="Z664" s="88">
        <v>43564.55979166667</v>
      </c>
      <c r="AA664" s="88">
        <v>43564.55979166667</v>
      </c>
      <c r="AB664" s="81"/>
      <c r="AC664" s="81"/>
      <c r="AD664" s="84" t="s">
        <v>2390</v>
      </c>
      <c r="AE664" s="82">
        <v>1</v>
      </c>
      <c r="AF664" s="83" t="str">
        <f>REPLACE(INDEX(GroupVertices[Group],MATCH(Edges[[#This Row],[Vertex 1]],GroupVertices[Vertex],0)),1,1,"")</f>
        <v>2</v>
      </c>
      <c r="AG664" s="83" t="str">
        <f>REPLACE(INDEX(GroupVertices[Group],MATCH(Edges[[#This Row],[Vertex 2]],GroupVertices[Vertex],0)),1,1,"")</f>
        <v>2</v>
      </c>
      <c r="AH664" s="111">
        <v>2</v>
      </c>
      <c r="AI664" s="112">
        <v>28.571428571428573</v>
      </c>
      <c r="AJ664" s="111">
        <v>0</v>
      </c>
      <c r="AK664" s="112">
        <v>0</v>
      </c>
      <c r="AL664" s="111">
        <v>0</v>
      </c>
      <c r="AM664" s="112">
        <v>0</v>
      </c>
      <c r="AN664" s="111">
        <v>5</v>
      </c>
      <c r="AO664" s="112">
        <v>71.42857142857143</v>
      </c>
      <c r="AP664" s="111">
        <v>7</v>
      </c>
    </row>
    <row r="665" spans="1:42" ht="15">
      <c r="A665" s="65" t="s">
        <v>751</v>
      </c>
      <c r="B665" s="65" t="s">
        <v>842</v>
      </c>
      <c r="C665" s="66" t="s">
        <v>4651</v>
      </c>
      <c r="D665" s="67">
        <v>3</v>
      </c>
      <c r="E665" s="68"/>
      <c r="F665" s="69">
        <v>40</v>
      </c>
      <c r="G665" s="66"/>
      <c r="H665" s="70"/>
      <c r="I665" s="71"/>
      <c r="J665" s="71"/>
      <c r="K665" s="35" t="s">
        <v>65</v>
      </c>
      <c r="L665" s="79">
        <v>665</v>
      </c>
      <c r="M665" s="79"/>
      <c r="N665" s="73"/>
      <c r="O665" s="81" t="s">
        <v>844</v>
      </c>
      <c r="P665" s="81" t="s">
        <v>199</v>
      </c>
      <c r="Q665" s="84" t="s">
        <v>1481</v>
      </c>
      <c r="R665" s="81" t="s">
        <v>751</v>
      </c>
      <c r="S665" s="81" t="s">
        <v>2110</v>
      </c>
      <c r="T665" s="86" t="str">
        <f>HYPERLINK("http://www.youtube.com/channel/UCZPWJbdvBBrMxnzF6FiKm_A")</f>
        <v>http://www.youtube.com/channel/UCZPWJbdvBBrMxnzF6FiKm_A</v>
      </c>
      <c r="U665" s="81"/>
      <c r="V665" s="81" t="s">
        <v>2335</v>
      </c>
      <c r="W665" s="86" t="str">
        <f>HYPERLINK("https://www.youtube.com/watch?v=fK1_SH3X2ek")</f>
        <v>https://www.youtube.com/watch?v=fK1_SH3X2ek</v>
      </c>
      <c r="X665" s="81" t="s">
        <v>2349</v>
      </c>
      <c r="Y665" s="81">
        <v>2</v>
      </c>
      <c r="Z665" s="88">
        <v>43564.62173611111</v>
      </c>
      <c r="AA665" s="88">
        <v>43564.62173611111</v>
      </c>
      <c r="AB665" s="81"/>
      <c r="AC665" s="81"/>
      <c r="AD665" s="84" t="s">
        <v>2390</v>
      </c>
      <c r="AE665" s="82">
        <v>1</v>
      </c>
      <c r="AF665" s="83" t="str">
        <f>REPLACE(INDEX(GroupVertices[Group],MATCH(Edges[[#This Row],[Vertex 1]],GroupVertices[Vertex],0)),1,1,"")</f>
        <v>2</v>
      </c>
      <c r="AG665" s="83" t="str">
        <f>REPLACE(INDEX(GroupVertices[Group],MATCH(Edges[[#This Row],[Vertex 2]],GroupVertices[Vertex],0)),1,1,"")</f>
        <v>2</v>
      </c>
      <c r="AH665" s="111">
        <v>2</v>
      </c>
      <c r="AI665" s="112">
        <v>22.22222222222222</v>
      </c>
      <c r="AJ665" s="111">
        <v>0</v>
      </c>
      <c r="AK665" s="112">
        <v>0</v>
      </c>
      <c r="AL665" s="111">
        <v>0</v>
      </c>
      <c r="AM665" s="112">
        <v>0</v>
      </c>
      <c r="AN665" s="111">
        <v>7</v>
      </c>
      <c r="AO665" s="112">
        <v>77.77777777777777</v>
      </c>
      <c r="AP665" s="111">
        <v>9</v>
      </c>
    </row>
    <row r="666" spans="1:42" ht="15">
      <c r="A666" s="65" t="s">
        <v>752</v>
      </c>
      <c r="B666" s="65" t="s">
        <v>842</v>
      </c>
      <c r="C666" s="66" t="s">
        <v>4613</v>
      </c>
      <c r="D666" s="67">
        <v>10</v>
      </c>
      <c r="E666" s="68"/>
      <c r="F666" s="69">
        <v>15</v>
      </c>
      <c r="G666" s="66"/>
      <c r="H666" s="70"/>
      <c r="I666" s="71"/>
      <c r="J666" s="71"/>
      <c r="K666" s="35" t="s">
        <v>65</v>
      </c>
      <c r="L666" s="79">
        <v>666</v>
      </c>
      <c r="M666" s="79"/>
      <c r="N666" s="73"/>
      <c r="O666" s="81" t="s">
        <v>844</v>
      </c>
      <c r="P666" s="81" t="s">
        <v>199</v>
      </c>
      <c r="Q666" s="84" t="s">
        <v>1482</v>
      </c>
      <c r="R666" s="81" t="s">
        <v>752</v>
      </c>
      <c r="S666" s="81" t="s">
        <v>2111</v>
      </c>
      <c r="T666" s="86" t="str">
        <f>HYPERLINK("http://www.youtube.com/channel/UCNW4s2hXa_zbtclkv5hF0XA")</f>
        <v>http://www.youtube.com/channel/UCNW4s2hXa_zbtclkv5hF0XA</v>
      </c>
      <c r="U666" s="81"/>
      <c r="V666" s="81" t="s">
        <v>2335</v>
      </c>
      <c r="W666" s="86" t="str">
        <f>HYPERLINK("https://www.youtube.com/watch?v=fK1_SH3X2ek")</f>
        <v>https://www.youtube.com/watch?v=fK1_SH3X2ek</v>
      </c>
      <c r="X666" s="81" t="s">
        <v>2349</v>
      </c>
      <c r="Y666" s="81">
        <v>1</v>
      </c>
      <c r="Z666" s="88">
        <v>43856.030706018515</v>
      </c>
      <c r="AA666" s="88">
        <v>43856.030706018515</v>
      </c>
      <c r="AB666" s="81"/>
      <c r="AC666" s="81"/>
      <c r="AD666" s="84" t="s">
        <v>2390</v>
      </c>
      <c r="AE666" s="82">
        <v>2</v>
      </c>
      <c r="AF666" s="83" t="str">
        <f>REPLACE(INDEX(GroupVertices[Group],MATCH(Edges[[#This Row],[Vertex 1]],GroupVertices[Vertex],0)),1,1,"")</f>
        <v>2</v>
      </c>
      <c r="AG666" s="83" t="str">
        <f>REPLACE(INDEX(GroupVertices[Group],MATCH(Edges[[#This Row],[Vertex 2]],GroupVertices[Vertex],0)),1,1,"")</f>
        <v>2</v>
      </c>
      <c r="AH666" s="111">
        <v>0</v>
      </c>
      <c r="AI666" s="112">
        <v>0</v>
      </c>
      <c r="AJ666" s="111">
        <v>2</v>
      </c>
      <c r="AK666" s="112">
        <v>9.523809523809524</v>
      </c>
      <c r="AL666" s="111">
        <v>0</v>
      </c>
      <c r="AM666" s="112">
        <v>0</v>
      </c>
      <c r="AN666" s="111">
        <v>19</v>
      </c>
      <c r="AO666" s="112">
        <v>90.47619047619048</v>
      </c>
      <c r="AP666" s="111">
        <v>21</v>
      </c>
    </row>
    <row r="667" spans="1:42" ht="15">
      <c r="A667" s="65" t="s">
        <v>752</v>
      </c>
      <c r="B667" s="65" t="s">
        <v>842</v>
      </c>
      <c r="C667" s="66" t="s">
        <v>4613</v>
      </c>
      <c r="D667" s="67">
        <v>10</v>
      </c>
      <c r="E667" s="68"/>
      <c r="F667" s="69">
        <v>15</v>
      </c>
      <c r="G667" s="66"/>
      <c r="H667" s="70"/>
      <c r="I667" s="71"/>
      <c r="J667" s="71"/>
      <c r="K667" s="35" t="s">
        <v>65</v>
      </c>
      <c r="L667" s="79">
        <v>667</v>
      </c>
      <c r="M667" s="79"/>
      <c r="N667" s="73"/>
      <c r="O667" s="81" t="s">
        <v>844</v>
      </c>
      <c r="P667" s="81" t="s">
        <v>199</v>
      </c>
      <c r="Q667" s="84" t="s">
        <v>1483</v>
      </c>
      <c r="R667" s="81" t="s">
        <v>752</v>
      </c>
      <c r="S667" s="81" t="s">
        <v>2111</v>
      </c>
      <c r="T667" s="86" t="str">
        <f>HYPERLINK("http://www.youtube.com/channel/UCNW4s2hXa_zbtclkv5hF0XA")</f>
        <v>http://www.youtube.com/channel/UCNW4s2hXa_zbtclkv5hF0XA</v>
      </c>
      <c r="U667" s="81"/>
      <c r="V667" s="81" t="s">
        <v>2335</v>
      </c>
      <c r="W667" s="86" t="str">
        <f>HYPERLINK("https://www.youtube.com/watch?v=fK1_SH3X2ek")</f>
        <v>https://www.youtube.com/watch?v=fK1_SH3X2ek</v>
      </c>
      <c r="X667" s="81" t="s">
        <v>2349</v>
      </c>
      <c r="Y667" s="81">
        <v>1</v>
      </c>
      <c r="Z667" s="88">
        <v>43856.04922453704</v>
      </c>
      <c r="AA667" s="88">
        <v>43856.09483796296</v>
      </c>
      <c r="AB667" s="81"/>
      <c r="AC667" s="81"/>
      <c r="AD667" s="84" t="s">
        <v>2390</v>
      </c>
      <c r="AE667" s="82">
        <v>2</v>
      </c>
      <c r="AF667" s="83" t="str">
        <f>REPLACE(INDEX(GroupVertices[Group],MATCH(Edges[[#This Row],[Vertex 1]],GroupVertices[Vertex],0)),1,1,"")</f>
        <v>2</v>
      </c>
      <c r="AG667" s="83" t="str">
        <f>REPLACE(INDEX(GroupVertices[Group],MATCH(Edges[[#This Row],[Vertex 2]],GroupVertices[Vertex],0)),1,1,"")</f>
        <v>2</v>
      </c>
      <c r="AH667" s="111">
        <v>2</v>
      </c>
      <c r="AI667" s="112">
        <v>0.8733624454148472</v>
      </c>
      <c r="AJ667" s="111">
        <v>7</v>
      </c>
      <c r="AK667" s="112">
        <v>3.056768558951965</v>
      </c>
      <c r="AL667" s="111">
        <v>0</v>
      </c>
      <c r="AM667" s="112">
        <v>0</v>
      </c>
      <c r="AN667" s="111">
        <v>220</v>
      </c>
      <c r="AO667" s="112">
        <v>96.06986899563319</v>
      </c>
      <c r="AP667" s="111">
        <v>229</v>
      </c>
    </row>
    <row r="668" spans="1:42" ht="15">
      <c r="A668" s="65" t="s">
        <v>753</v>
      </c>
      <c r="B668" s="65" t="s">
        <v>754</v>
      </c>
      <c r="C668" s="66" t="s">
        <v>4651</v>
      </c>
      <c r="D668" s="67">
        <v>3</v>
      </c>
      <c r="E668" s="68"/>
      <c r="F668" s="69">
        <v>40</v>
      </c>
      <c r="G668" s="66"/>
      <c r="H668" s="70"/>
      <c r="I668" s="71"/>
      <c r="J668" s="71"/>
      <c r="K668" s="35" t="s">
        <v>65</v>
      </c>
      <c r="L668" s="79">
        <v>668</v>
      </c>
      <c r="M668" s="79"/>
      <c r="N668" s="73"/>
      <c r="O668" s="81" t="s">
        <v>845</v>
      </c>
      <c r="P668" s="81" t="s">
        <v>847</v>
      </c>
      <c r="Q668" s="84" t="s">
        <v>1484</v>
      </c>
      <c r="R668" s="81" t="s">
        <v>753</v>
      </c>
      <c r="S668" s="81" t="s">
        <v>2112</v>
      </c>
      <c r="T668" s="86" t="str">
        <f>HYPERLINK("http://www.youtube.com/channel/UCQ0xORuuU7Ym_BOdcC7oH1A")</f>
        <v>http://www.youtube.com/channel/UCQ0xORuuU7Ym_BOdcC7oH1A</v>
      </c>
      <c r="U668" s="81" t="s">
        <v>2296</v>
      </c>
      <c r="V668" s="81" t="s">
        <v>2335</v>
      </c>
      <c r="W668" s="86" t="str">
        <f>HYPERLINK("https://www.youtube.com/watch?v=fK1_SH3X2ek")</f>
        <v>https://www.youtube.com/watch?v=fK1_SH3X2ek</v>
      </c>
      <c r="X668" s="81" t="s">
        <v>2349</v>
      </c>
      <c r="Y668" s="81">
        <v>0</v>
      </c>
      <c r="Z668" s="88">
        <v>43952.56144675926</v>
      </c>
      <c r="AA668" s="88">
        <v>43952.56144675926</v>
      </c>
      <c r="AB668" s="81"/>
      <c r="AC668" s="81"/>
      <c r="AD668" s="84" t="s">
        <v>2390</v>
      </c>
      <c r="AE668" s="82">
        <v>1</v>
      </c>
      <c r="AF668" s="83" t="str">
        <f>REPLACE(INDEX(GroupVertices[Group],MATCH(Edges[[#This Row],[Vertex 1]],GroupVertices[Vertex],0)),1,1,"")</f>
        <v>2</v>
      </c>
      <c r="AG668" s="83" t="str">
        <f>REPLACE(INDEX(GroupVertices[Group],MATCH(Edges[[#This Row],[Vertex 2]],GroupVertices[Vertex],0)),1,1,"")</f>
        <v>2</v>
      </c>
      <c r="AH668" s="111">
        <v>0</v>
      </c>
      <c r="AI668" s="112">
        <v>0</v>
      </c>
      <c r="AJ668" s="111">
        <v>0</v>
      </c>
      <c r="AK668" s="112">
        <v>0</v>
      </c>
      <c r="AL668" s="111">
        <v>0</v>
      </c>
      <c r="AM668" s="112">
        <v>0</v>
      </c>
      <c r="AN668" s="111">
        <v>5</v>
      </c>
      <c r="AO668" s="112">
        <v>100</v>
      </c>
      <c r="AP668" s="111">
        <v>5</v>
      </c>
    </row>
    <row r="669" spans="1:42" ht="15">
      <c r="A669" s="65" t="s">
        <v>754</v>
      </c>
      <c r="B669" s="65" t="s">
        <v>842</v>
      </c>
      <c r="C669" s="66" t="s">
        <v>4651</v>
      </c>
      <c r="D669" s="67">
        <v>3</v>
      </c>
      <c r="E669" s="68"/>
      <c r="F669" s="69">
        <v>40</v>
      </c>
      <c r="G669" s="66"/>
      <c r="H669" s="70"/>
      <c r="I669" s="71"/>
      <c r="J669" s="71"/>
      <c r="K669" s="35" t="s">
        <v>65</v>
      </c>
      <c r="L669" s="79">
        <v>669</v>
      </c>
      <c r="M669" s="79"/>
      <c r="N669" s="73"/>
      <c r="O669" s="81" t="s">
        <v>844</v>
      </c>
      <c r="P669" s="81" t="s">
        <v>199</v>
      </c>
      <c r="Q669" s="84" t="s">
        <v>1485</v>
      </c>
      <c r="R669" s="81" t="s">
        <v>754</v>
      </c>
      <c r="S669" s="81" t="s">
        <v>2113</v>
      </c>
      <c r="T669" s="86" t="str">
        <f>HYPERLINK("http://www.youtube.com/channel/UCrCIH0x2X9Nq-qc3OyNPLZQ")</f>
        <v>http://www.youtube.com/channel/UCrCIH0x2X9Nq-qc3OyNPLZQ</v>
      </c>
      <c r="U669" s="81"/>
      <c r="V669" s="81" t="s">
        <v>2335</v>
      </c>
      <c r="W669" s="86" t="str">
        <f>HYPERLINK("https://www.youtube.com/watch?v=fK1_SH3X2ek")</f>
        <v>https://www.youtube.com/watch?v=fK1_SH3X2ek</v>
      </c>
      <c r="X669" s="81" t="s">
        <v>2349</v>
      </c>
      <c r="Y669" s="81">
        <v>5</v>
      </c>
      <c r="Z669" s="88">
        <v>43870.69210648148</v>
      </c>
      <c r="AA669" s="88">
        <v>43870.69210648148</v>
      </c>
      <c r="AB669" s="81"/>
      <c r="AC669" s="81"/>
      <c r="AD669" s="84" t="s">
        <v>2390</v>
      </c>
      <c r="AE669" s="82">
        <v>1</v>
      </c>
      <c r="AF669" s="83" t="str">
        <f>REPLACE(INDEX(GroupVertices[Group],MATCH(Edges[[#This Row],[Vertex 1]],GroupVertices[Vertex],0)),1,1,"")</f>
        <v>2</v>
      </c>
      <c r="AG669" s="83" t="str">
        <f>REPLACE(INDEX(GroupVertices[Group],MATCH(Edges[[#This Row],[Vertex 2]],GroupVertices[Vertex],0)),1,1,"")</f>
        <v>2</v>
      </c>
      <c r="AH669" s="111">
        <v>1</v>
      </c>
      <c r="AI669" s="112">
        <v>33.333333333333336</v>
      </c>
      <c r="AJ669" s="111">
        <v>0</v>
      </c>
      <c r="AK669" s="112">
        <v>0</v>
      </c>
      <c r="AL669" s="111">
        <v>0</v>
      </c>
      <c r="AM669" s="112">
        <v>0</v>
      </c>
      <c r="AN669" s="111">
        <v>2</v>
      </c>
      <c r="AO669" s="112">
        <v>66.66666666666667</v>
      </c>
      <c r="AP669" s="111">
        <v>3</v>
      </c>
    </row>
    <row r="670" spans="1:42" ht="15">
      <c r="A670" s="65" t="s">
        <v>742</v>
      </c>
      <c r="B670" s="65" t="s">
        <v>755</v>
      </c>
      <c r="C670" s="66" t="s">
        <v>4613</v>
      </c>
      <c r="D670" s="67">
        <v>10</v>
      </c>
      <c r="E670" s="68"/>
      <c r="F670" s="69">
        <v>15</v>
      </c>
      <c r="G670" s="66"/>
      <c r="H670" s="70"/>
      <c r="I670" s="71"/>
      <c r="J670" s="71"/>
      <c r="K670" s="35" t="s">
        <v>65</v>
      </c>
      <c r="L670" s="79">
        <v>670</v>
      </c>
      <c r="M670" s="79"/>
      <c r="N670" s="73"/>
      <c r="O670" s="81" t="s">
        <v>845</v>
      </c>
      <c r="P670" s="81" t="s">
        <v>847</v>
      </c>
      <c r="Q670" s="84" t="s">
        <v>1486</v>
      </c>
      <c r="R670" s="81" t="s">
        <v>742</v>
      </c>
      <c r="S670" s="81" t="s">
        <v>2101</v>
      </c>
      <c r="T670" s="86" t="str">
        <f>HYPERLINK("http://www.youtube.com/channel/UCy8XLhlIl992JrAP2hgCscQ")</f>
        <v>http://www.youtube.com/channel/UCy8XLhlIl992JrAP2hgCscQ</v>
      </c>
      <c r="U670" s="81" t="s">
        <v>2297</v>
      </c>
      <c r="V670" s="81" t="s">
        <v>2335</v>
      </c>
      <c r="W670" s="86" t="str">
        <f>HYPERLINK("https://www.youtube.com/watch?v=fK1_SH3X2ek")</f>
        <v>https://www.youtube.com/watch?v=fK1_SH3X2ek</v>
      </c>
      <c r="X670" s="81" t="s">
        <v>2349</v>
      </c>
      <c r="Y670" s="81">
        <v>1</v>
      </c>
      <c r="Z670" s="88">
        <v>44124.66025462963</v>
      </c>
      <c r="AA670" s="88">
        <v>44124.66025462963</v>
      </c>
      <c r="AB670" s="81"/>
      <c r="AC670" s="81"/>
      <c r="AD670" s="84" t="s">
        <v>2390</v>
      </c>
      <c r="AE670" s="82">
        <v>2</v>
      </c>
      <c r="AF670" s="83" t="str">
        <f>REPLACE(INDEX(GroupVertices[Group],MATCH(Edges[[#This Row],[Vertex 1]],GroupVertices[Vertex],0)),1,1,"")</f>
        <v>2</v>
      </c>
      <c r="AG670" s="83" t="str">
        <f>REPLACE(INDEX(GroupVertices[Group],MATCH(Edges[[#This Row],[Vertex 2]],GroupVertices[Vertex],0)),1,1,"")</f>
        <v>2</v>
      </c>
      <c r="AH670" s="111">
        <v>1</v>
      </c>
      <c r="AI670" s="112">
        <v>7.142857142857143</v>
      </c>
      <c r="AJ670" s="111">
        <v>1</v>
      </c>
      <c r="AK670" s="112">
        <v>7.142857142857143</v>
      </c>
      <c r="AL670" s="111">
        <v>0</v>
      </c>
      <c r="AM670" s="112">
        <v>0</v>
      </c>
      <c r="AN670" s="111">
        <v>12</v>
      </c>
      <c r="AO670" s="112">
        <v>85.71428571428571</v>
      </c>
      <c r="AP670" s="111">
        <v>14</v>
      </c>
    </row>
    <row r="671" spans="1:42" ht="15">
      <c r="A671" s="65" t="s">
        <v>742</v>
      </c>
      <c r="B671" s="65" t="s">
        <v>755</v>
      </c>
      <c r="C671" s="66" t="s">
        <v>4613</v>
      </c>
      <c r="D671" s="67">
        <v>10</v>
      </c>
      <c r="E671" s="68"/>
      <c r="F671" s="69">
        <v>15</v>
      </c>
      <c r="G671" s="66"/>
      <c r="H671" s="70"/>
      <c r="I671" s="71"/>
      <c r="J671" s="71"/>
      <c r="K671" s="35" t="s">
        <v>65</v>
      </c>
      <c r="L671" s="79">
        <v>671</v>
      </c>
      <c r="M671" s="79"/>
      <c r="N671" s="73"/>
      <c r="O671" s="81" t="s">
        <v>845</v>
      </c>
      <c r="P671" s="81" t="s">
        <v>847</v>
      </c>
      <c r="Q671" s="84" t="s">
        <v>1487</v>
      </c>
      <c r="R671" s="81" t="s">
        <v>742</v>
      </c>
      <c r="S671" s="81" t="s">
        <v>2101</v>
      </c>
      <c r="T671" s="86" t="str">
        <f>HYPERLINK("http://www.youtube.com/channel/UCy8XLhlIl992JrAP2hgCscQ")</f>
        <v>http://www.youtube.com/channel/UCy8XLhlIl992JrAP2hgCscQ</v>
      </c>
      <c r="U671" s="81" t="s">
        <v>2297</v>
      </c>
      <c r="V671" s="81" t="s">
        <v>2335</v>
      </c>
      <c r="W671" s="86" t="str">
        <f>HYPERLINK("https://www.youtube.com/watch?v=fK1_SH3X2ek")</f>
        <v>https://www.youtube.com/watch?v=fK1_SH3X2ek</v>
      </c>
      <c r="X671" s="81" t="s">
        <v>2349</v>
      </c>
      <c r="Y671" s="81">
        <v>1</v>
      </c>
      <c r="Z671" s="88">
        <v>44124.66105324074</v>
      </c>
      <c r="AA671" s="88">
        <v>44124.66105324074</v>
      </c>
      <c r="AB671" s="81"/>
      <c r="AC671" s="81"/>
      <c r="AD671" s="84" t="s">
        <v>2390</v>
      </c>
      <c r="AE671" s="82">
        <v>2</v>
      </c>
      <c r="AF671" s="83" t="str">
        <f>REPLACE(INDEX(GroupVertices[Group],MATCH(Edges[[#This Row],[Vertex 1]],GroupVertices[Vertex],0)),1,1,"")</f>
        <v>2</v>
      </c>
      <c r="AG671" s="83" t="str">
        <f>REPLACE(INDEX(GroupVertices[Group],MATCH(Edges[[#This Row],[Vertex 2]],GroupVertices[Vertex],0)),1,1,"")</f>
        <v>2</v>
      </c>
      <c r="AH671" s="111">
        <v>1</v>
      </c>
      <c r="AI671" s="112">
        <v>5.2631578947368425</v>
      </c>
      <c r="AJ671" s="111">
        <v>1</v>
      </c>
      <c r="AK671" s="112">
        <v>5.2631578947368425</v>
      </c>
      <c r="AL671" s="111">
        <v>0</v>
      </c>
      <c r="AM671" s="112">
        <v>0</v>
      </c>
      <c r="AN671" s="111">
        <v>17</v>
      </c>
      <c r="AO671" s="112">
        <v>89.47368421052632</v>
      </c>
      <c r="AP671" s="111">
        <v>19</v>
      </c>
    </row>
    <row r="672" spans="1:42" ht="15">
      <c r="A672" s="65" t="s">
        <v>755</v>
      </c>
      <c r="B672" s="65" t="s">
        <v>842</v>
      </c>
      <c r="C672" s="66" t="s">
        <v>4651</v>
      </c>
      <c r="D672" s="67">
        <v>3</v>
      </c>
      <c r="E672" s="68"/>
      <c r="F672" s="69">
        <v>40</v>
      </c>
      <c r="G672" s="66"/>
      <c r="H672" s="70"/>
      <c r="I672" s="71"/>
      <c r="J672" s="71"/>
      <c r="K672" s="35" t="s">
        <v>65</v>
      </c>
      <c r="L672" s="79">
        <v>672</v>
      </c>
      <c r="M672" s="79"/>
      <c r="N672" s="73"/>
      <c r="O672" s="81" t="s">
        <v>844</v>
      </c>
      <c r="P672" s="81" t="s">
        <v>199</v>
      </c>
      <c r="Q672" s="84" t="s">
        <v>1488</v>
      </c>
      <c r="R672" s="81" t="s">
        <v>755</v>
      </c>
      <c r="S672" s="81" t="s">
        <v>2114</v>
      </c>
      <c r="T672" s="86" t="str">
        <f>HYPERLINK("http://www.youtube.com/channel/UClAJGOLHfWZyl6ZKqLEnJHg")</f>
        <v>http://www.youtube.com/channel/UClAJGOLHfWZyl6ZKqLEnJHg</v>
      </c>
      <c r="U672" s="81"/>
      <c r="V672" s="81" t="s">
        <v>2335</v>
      </c>
      <c r="W672" s="86" t="str">
        <f>HYPERLINK("https://www.youtube.com/watch?v=fK1_SH3X2ek")</f>
        <v>https://www.youtube.com/watch?v=fK1_SH3X2ek</v>
      </c>
      <c r="X672" s="81" t="s">
        <v>2349</v>
      </c>
      <c r="Y672" s="81">
        <v>4</v>
      </c>
      <c r="Z672" s="88">
        <v>43895.406701388885</v>
      </c>
      <c r="AA672" s="88">
        <v>43895.406701388885</v>
      </c>
      <c r="AB672" s="81"/>
      <c r="AC672" s="81"/>
      <c r="AD672" s="84" t="s">
        <v>2390</v>
      </c>
      <c r="AE672" s="82">
        <v>1</v>
      </c>
      <c r="AF672" s="83" t="str">
        <f>REPLACE(INDEX(GroupVertices[Group],MATCH(Edges[[#This Row],[Vertex 1]],GroupVertices[Vertex],0)),1,1,"")</f>
        <v>2</v>
      </c>
      <c r="AG672" s="83" t="str">
        <f>REPLACE(INDEX(GroupVertices[Group],MATCH(Edges[[#This Row],[Vertex 2]],GroupVertices[Vertex],0)),1,1,"")</f>
        <v>2</v>
      </c>
      <c r="AH672" s="111">
        <v>1</v>
      </c>
      <c r="AI672" s="112">
        <v>10</v>
      </c>
      <c r="AJ672" s="111">
        <v>1</v>
      </c>
      <c r="AK672" s="112">
        <v>10</v>
      </c>
      <c r="AL672" s="111">
        <v>0</v>
      </c>
      <c r="AM672" s="112">
        <v>0</v>
      </c>
      <c r="AN672" s="111">
        <v>8</v>
      </c>
      <c r="AO672" s="112">
        <v>80</v>
      </c>
      <c r="AP672" s="111">
        <v>10</v>
      </c>
    </row>
    <row r="673" spans="1:42" ht="15">
      <c r="A673" s="65" t="s">
        <v>756</v>
      </c>
      <c r="B673" s="65" t="s">
        <v>842</v>
      </c>
      <c r="C673" s="66" t="s">
        <v>4651</v>
      </c>
      <c r="D673" s="67">
        <v>3</v>
      </c>
      <c r="E673" s="68"/>
      <c r="F673" s="69">
        <v>40</v>
      </c>
      <c r="G673" s="66"/>
      <c r="H673" s="70"/>
      <c r="I673" s="71"/>
      <c r="J673" s="71"/>
      <c r="K673" s="35" t="s">
        <v>65</v>
      </c>
      <c r="L673" s="79">
        <v>673</v>
      </c>
      <c r="M673" s="79"/>
      <c r="N673" s="73"/>
      <c r="O673" s="81" t="s">
        <v>844</v>
      </c>
      <c r="P673" s="81" t="s">
        <v>199</v>
      </c>
      <c r="Q673" s="84" t="s">
        <v>1489</v>
      </c>
      <c r="R673" s="81" t="s">
        <v>756</v>
      </c>
      <c r="S673" s="81" t="s">
        <v>2115</v>
      </c>
      <c r="T673" s="86" t="str">
        <f>HYPERLINK("http://www.youtube.com/channel/UCy7nI1ISKSL4DabMq45Yzgg")</f>
        <v>http://www.youtube.com/channel/UCy7nI1ISKSL4DabMq45Yzgg</v>
      </c>
      <c r="U673" s="81"/>
      <c r="V673" s="81" t="s">
        <v>2335</v>
      </c>
      <c r="W673" s="86" t="str">
        <f>HYPERLINK("https://www.youtube.com/watch?v=fK1_SH3X2ek")</f>
        <v>https://www.youtube.com/watch?v=fK1_SH3X2ek</v>
      </c>
      <c r="X673" s="81" t="s">
        <v>2349</v>
      </c>
      <c r="Y673" s="81">
        <v>1</v>
      </c>
      <c r="Z673" s="88">
        <v>43895.642233796294</v>
      </c>
      <c r="AA673" s="88">
        <v>43895.642233796294</v>
      </c>
      <c r="AB673" s="81"/>
      <c r="AC673" s="81"/>
      <c r="AD673" s="84" t="s">
        <v>2390</v>
      </c>
      <c r="AE673" s="82">
        <v>1</v>
      </c>
      <c r="AF673" s="83" t="str">
        <f>REPLACE(INDEX(GroupVertices[Group],MATCH(Edges[[#This Row],[Vertex 1]],GroupVertices[Vertex],0)),1,1,"")</f>
        <v>2</v>
      </c>
      <c r="AG673" s="83" t="str">
        <f>REPLACE(INDEX(GroupVertices[Group],MATCH(Edges[[#This Row],[Vertex 2]],GroupVertices[Vertex],0)),1,1,"")</f>
        <v>2</v>
      </c>
      <c r="AH673" s="111">
        <v>2</v>
      </c>
      <c r="AI673" s="112">
        <v>20</v>
      </c>
      <c r="AJ673" s="111">
        <v>0</v>
      </c>
      <c r="AK673" s="112">
        <v>0</v>
      </c>
      <c r="AL673" s="111">
        <v>0</v>
      </c>
      <c r="AM673" s="112">
        <v>0</v>
      </c>
      <c r="AN673" s="111">
        <v>8</v>
      </c>
      <c r="AO673" s="112">
        <v>80</v>
      </c>
      <c r="AP673" s="111">
        <v>10</v>
      </c>
    </row>
    <row r="674" spans="1:42" ht="15">
      <c r="A674" s="65" t="s">
        <v>757</v>
      </c>
      <c r="B674" s="65" t="s">
        <v>758</v>
      </c>
      <c r="C674" s="66" t="s">
        <v>4651</v>
      </c>
      <c r="D674" s="67">
        <v>3</v>
      </c>
      <c r="E674" s="68"/>
      <c r="F674" s="69">
        <v>40</v>
      </c>
      <c r="G674" s="66"/>
      <c r="H674" s="70"/>
      <c r="I674" s="71"/>
      <c r="J674" s="71"/>
      <c r="K674" s="35" t="s">
        <v>65</v>
      </c>
      <c r="L674" s="79">
        <v>674</v>
      </c>
      <c r="M674" s="79"/>
      <c r="N674" s="73"/>
      <c r="O674" s="81" t="s">
        <v>845</v>
      </c>
      <c r="P674" s="81" t="s">
        <v>847</v>
      </c>
      <c r="Q674" s="84" t="s">
        <v>1490</v>
      </c>
      <c r="R674" s="81" t="s">
        <v>757</v>
      </c>
      <c r="S674" s="81" t="s">
        <v>2116</v>
      </c>
      <c r="T674" s="86" t="str">
        <f>HYPERLINK("http://www.youtube.com/channel/UClnojW-58I9WE8weIj_0J9A")</f>
        <v>http://www.youtube.com/channel/UClnojW-58I9WE8weIj_0J9A</v>
      </c>
      <c r="U674" s="81" t="s">
        <v>2298</v>
      </c>
      <c r="V674" s="81" t="s">
        <v>2335</v>
      </c>
      <c r="W674" s="86" t="str">
        <f>HYPERLINK("https://www.youtube.com/watch?v=fK1_SH3X2ek")</f>
        <v>https://www.youtube.com/watch?v=fK1_SH3X2ek</v>
      </c>
      <c r="X674" s="81" t="s">
        <v>2349</v>
      </c>
      <c r="Y674" s="81">
        <v>0</v>
      </c>
      <c r="Z674" s="88">
        <v>43922.736608796295</v>
      </c>
      <c r="AA674" s="88">
        <v>43922.736608796295</v>
      </c>
      <c r="AB674" s="81"/>
      <c r="AC674" s="81"/>
      <c r="AD674" s="84" t="s">
        <v>2390</v>
      </c>
      <c r="AE674" s="82">
        <v>1</v>
      </c>
      <c r="AF674" s="83" t="str">
        <f>REPLACE(INDEX(GroupVertices[Group],MATCH(Edges[[#This Row],[Vertex 1]],GroupVertices[Vertex],0)),1,1,"")</f>
        <v>2</v>
      </c>
      <c r="AG674" s="83" t="str">
        <f>REPLACE(INDEX(GroupVertices[Group],MATCH(Edges[[#This Row],[Vertex 2]],GroupVertices[Vertex],0)),1,1,"")</f>
        <v>2</v>
      </c>
      <c r="AH674" s="111">
        <v>0</v>
      </c>
      <c r="AI674" s="112">
        <v>0</v>
      </c>
      <c r="AJ674" s="111">
        <v>0</v>
      </c>
      <c r="AK674" s="112">
        <v>0</v>
      </c>
      <c r="AL674" s="111">
        <v>0</v>
      </c>
      <c r="AM674" s="112">
        <v>0</v>
      </c>
      <c r="AN674" s="111">
        <v>1</v>
      </c>
      <c r="AO674" s="112">
        <v>100</v>
      </c>
      <c r="AP674" s="111">
        <v>1</v>
      </c>
    </row>
    <row r="675" spans="1:42" ht="15">
      <c r="A675" s="65" t="s">
        <v>758</v>
      </c>
      <c r="B675" s="65" t="s">
        <v>842</v>
      </c>
      <c r="C675" s="66" t="s">
        <v>4651</v>
      </c>
      <c r="D675" s="67">
        <v>3</v>
      </c>
      <c r="E675" s="68"/>
      <c r="F675" s="69">
        <v>40</v>
      </c>
      <c r="G675" s="66"/>
      <c r="H675" s="70"/>
      <c r="I675" s="71"/>
      <c r="J675" s="71"/>
      <c r="K675" s="35" t="s">
        <v>65</v>
      </c>
      <c r="L675" s="79">
        <v>675</v>
      </c>
      <c r="M675" s="79"/>
      <c r="N675" s="73"/>
      <c r="O675" s="81" t="s">
        <v>844</v>
      </c>
      <c r="P675" s="81" t="s">
        <v>199</v>
      </c>
      <c r="Q675" s="84" t="s">
        <v>1491</v>
      </c>
      <c r="R675" s="81" t="s">
        <v>758</v>
      </c>
      <c r="S675" s="81" t="s">
        <v>2117</v>
      </c>
      <c r="T675" s="86" t="str">
        <f>HYPERLINK("http://www.youtube.com/channel/UCAT9SfyewrfIMlREAUYjJjA")</f>
        <v>http://www.youtube.com/channel/UCAT9SfyewrfIMlREAUYjJjA</v>
      </c>
      <c r="U675" s="81"/>
      <c r="V675" s="81" t="s">
        <v>2335</v>
      </c>
      <c r="W675" s="86" t="str">
        <f>HYPERLINK("https://www.youtube.com/watch?v=fK1_SH3X2ek")</f>
        <v>https://www.youtube.com/watch?v=fK1_SH3X2ek</v>
      </c>
      <c r="X675" s="81" t="s">
        <v>2349</v>
      </c>
      <c r="Y675" s="81">
        <v>2</v>
      </c>
      <c r="Z675" s="88">
        <v>43921.660405092596</v>
      </c>
      <c r="AA675" s="88">
        <v>43921.660405092596</v>
      </c>
      <c r="AB675" s="81"/>
      <c r="AC675" s="81"/>
      <c r="AD675" s="84" t="s">
        <v>2390</v>
      </c>
      <c r="AE675" s="82">
        <v>1</v>
      </c>
      <c r="AF675" s="83" t="str">
        <f>REPLACE(INDEX(GroupVertices[Group],MATCH(Edges[[#This Row],[Vertex 1]],GroupVertices[Vertex],0)),1,1,"")</f>
        <v>2</v>
      </c>
      <c r="AG675" s="83" t="str">
        <f>REPLACE(INDEX(GroupVertices[Group],MATCH(Edges[[#This Row],[Vertex 2]],GroupVertices[Vertex],0)),1,1,"")</f>
        <v>2</v>
      </c>
      <c r="AH675" s="111">
        <v>0</v>
      </c>
      <c r="AI675" s="112">
        <v>0</v>
      </c>
      <c r="AJ675" s="111">
        <v>1</v>
      </c>
      <c r="AK675" s="112">
        <v>16.666666666666668</v>
      </c>
      <c r="AL675" s="111">
        <v>0</v>
      </c>
      <c r="AM675" s="112">
        <v>0</v>
      </c>
      <c r="AN675" s="111">
        <v>5</v>
      </c>
      <c r="AO675" s="112">
        <v>83.33333333333333</v>
      </c>
      <c r="AP675" s="111">
        <v>6</v>
      </c>
    </row>
    <row r="676" spans="1:42" ht="15">
      <c r="A676" s="65" t="s">
        <v>759</v>
      </c>
      <c r="B676" s="65" t="s">
        <v>757</v>
      </c>
      <c r="C676" s="66" t="s">
        <v>4651</v>
      </c>
      <c r="D676" s="67">
        <v>3</v>
      </c>
      <c r="E676" s="68"/>
      <c r="F676" s="69">
        <v>40</v>
      </c>
      <c r="G676" s="66"/>
      <c r="H676" s="70"/>
      <c r="I676" s="71"/>
      <c r="J676" s="71"/>
      <c r="K676" s="35" t="s">
        <v>65</v>
      </c>
      <c r="L676" s="79">
        <v>676</v>
      </c>
      <c r="M676" s="79"/>
      <c r="N676" s="73"/>
      <c r="O676" s="81" t="s">
        <v>845</v>
      </c>
      <c r="P676" s="81" t="s">
        <v>847</v>
      </c>
      <c r="Q676" s="84" t="s">
        <v>1492</v>
      </c>
      <c r="R676" s="81" t="s">
        <v>759</v>
      </c>
      <c r="S676" s="81" t="s">
        <v>2118</v>
      </c>
      <c r="T676" s="86" t="str">
        <f>HYPERLINK("http://www.youtube.com/channel/UCxnol9Dl-jD2QSEVc2EZxzg")</f>
        <v>http://www.youtube.com/channel/UCxnol9Dl-jD2QSEVc2EZxzg</v>
      </c>
      <c r="U676" s="81" t="s">
        <v>2299</v>
      </c>
      <c r="V676" s="81" t="s">
        <v>2335</v>
      </c>
      <c r="W676" s="86" t="str">
        <f>HYPERLINK("https://www.youtube.com/watch?v=")</f>
        <v>https://www.youtube.com/watch?v=</v>
      </c>
      <c r="X676" s="81" t="s">
        <v>2349</v>
      </c>
      <c r="Y676" s="81">
        <v>3</v>
      </c>
      <c r="Z676" s="88">
        <v>43924.82549768518</v>
      </c>
      <c r="AA676" s="88">
        <v>43924.82549768518</v>
      </c>
      <c r="AB676" s="81"/>
      <c r="AC676" s="81"/>
      <c r="AD676" s="84" t="s">
        <v>2390</v>
      </c>
      <c r="AE676" s="82">
        <v>1</v>
      </c>
      <c r="AF676" s="83" t="str">
        <f>REPLACE(INDEX(GroupVertices[Group],MATCH(Edges[[#This Row],[Vertex 1]],GroupVertices[Vertex],0)),1,1,"")</f>
        <v>2</v>
      </c>
      <c r="AG676" s="83" t="str">
        <f>REPLACE(INDEX(GroupVertices[Group],MATCH(Edges[[#This Row],[Vertex 2]],GroupVertices[Vertex],0)),1,1,"")</f>
        <v>2</v>
      </c>
      <c r="AH676" s="111">
        <v>1</v>
      </c>
      <c r="AI676" s="112">
        <v>20</v>
      </c>
      <c r="AJ676" s="111">
        <v>0</v>
      </c>
      <c r="AK676" s="112">
        <v>0</v>
      </c>
      <c r="AL676" s="111">
        <v>0</v>
      </c>
      <c r="AM676" s="112">
        <v>0</v>
      </c>
      <c r="AN676" s="111">
        <v>4</v>
      </c>
      <c r="AO676" s="112">
        <v>80</v>
      </c>
      <c r="AP676" s="111">
        <v>5</v>
      </c>
    </row>
    <row r="677" spans="1:42" ht="15">
      <c r="A677" s="65" t="s">
        <v>392</v>
      </c>
      <c r="B677" s="65" t="s">
        <v>757</v>
      </c>
      <c r="C677" s="66" t="s">
        <v>4651</v>
      </c>
      <c r="D677" s="67">
        <v>3</v>
      </c>
      <c r="E677" s="68"/>
      <c r="F677" s="69">
        <v>40</v>
      </c>
      <c r="G677" s="66"/>
      <c r="H677" s="70"/>
      <c r="I677" s="71"/>
      <c r="J677" s="71"/>
      <c r="K677" s="35" t="s">
        <v>65</v>
      </c>
      <c r="L677" s="79">
        <v>677</v>
      </c>
      <c r="M677" s="79"/>
      <c r="N677" s="73"/>
      <c r="O677" s="81" t="s">
        <v>845</v>
      </c>
      <c r="P677" s="81" t="s">
        <v>847</v>
      </c>
      <c r="Q677" s="84" t="s">
        <v>1490</v>
      </c>
      <c r="R677" s="81" t="s">
        <v>392</v>
      </c>
      <c r="S677" s="81" t="s">
        <v>1751</v>
      </c>
      <c r="T677" s="86" t="str">
        <f>HYPERLINK("http://www.youtube.com/channel/UCcR3lvb6rzItuTw9H5_I2TQ")</f>
        <v>http://www.youtube.com/channel/UCcR3lvb6rzItuTw9H5_I2TQ</v>
      </c>
      <c r="U677" s="81" t="s">
        <v>2299</v>
      </c>
      <c r="V677" s="81" t="s">
        <v>2335</v>
      </c>
      <c r="W677" s="86" t="str">
        <f>HYPERLINK("https://www.youtube.com/watch?v=")</f>
        <v>https://www.youtube.com/watch?v=</v>
      </c>
      <c r="X677" s="81" t="s">
        <v>2349</v>
      </c>
      <c r="Y677" s="81">
        <v>3</v>
      </c>
      <c r="Z677" s="88">
        <v>43929.874606481484</v>
      </c>
      <c r="AA677" s="88">
        <v>43929.874606481484</v>
      </c>
      <c r="AB677" s="81"/>
      <c r="AC677" s="81"/>
      <c r="AD677" s="84" t="s">
        <v>2390</v>
      </c>
      <c r="AE677" s="82">
        <v>1</v>
      </c>
      <c r="AF677" s="83" t="str">
        <f>REPLACE(INDEX(GroupVertices[Group],MATCH(Edges[[#This Row],[Vertex 1]],GroupVertices[Vertex],0)),1,1,"")</f>
        <v>4</v>
      </c>
      <c r="AG677" s="83" t="str">
        <f>REPLACE(INDEX(GroupVertices[Group],MATCH(Edges[[#This Row],[Vertex 2]],GroupVertices[Vertex],0)),1,1,"")</f>
        <v>2</v>
      </c>
      <c r="AH677" s="111">
        <v>0</v>
      </c>
      <c r="AI677" s="112">
        <v>0</v>
      </c>
      <c r="AJ677" s="111">
        <v>0</v>
      </c>
      <c r="AK677" s="112">
        <v>0</v>
      </c>
      <c r="AL677" s="111">
        <v>0</v>
      </c>
      <c r="AM677" s="112">
        <v>0</v>
      </c>
      <c r="AN677" s="111">
        <v>1</v>
      </c>
      <c r="AO677" s="112">
        <v>100</v>
      </c>
      <c r="AP677" s="111">
        <v>1</v>
      </c>
    </row>
    <row r="678" spans="1:42" ht="15">
      <c r="A678" s="65" t="s">
        <v>760</v>
      </c>
      <c r="B678" s="65" t="s">
        <v>757</v>
      </c>
      <c r="C678" s="66" t="s">
        <v>4613</v>
      </c>
      <c r="D678" s="67">
        <v>10</v>
      </c>
      <c r="E678" s="68"/>
      <c r="F678" s="69">
        <v>15</v>
      </c>
      <c r="G678" s="66"/>
      <c r="H678" s="70"/>
      <c r="I678" s="71"/>
      <c r="J678" s="71"/>
      <c r="K678" s="35" t="s">
        <v>65</v>
      </c>
      <c r="L678" s="79">
        <v>678</v>
      </c>
      <c r="M678" s="79"/>
      <c r="N678" s="73"/>
      <c r="O678" s="81" t="s">
        <v>845</v>
      </c>
      <c r="P678" s="81" t="s">
        <v>847</v>
      </c>
      <c r="Q678" s="84" t="s">
        <v>1050</v>
      </c>
      <c r="R678" s="81" t="s">
        <v>760</v>
      </c>
      <c r="S678" s="81" t="s">
        <v>2119</v>
      </c>
      <c r="T678" s="86" t="str">
        <f>HYPERLINK("http://www.youtube.com/channel/UCL1rU-jRwC0itTwpu9z7Lmg")</f>
        <v>http://www.youtube.com/channel/UCL1rU-jRwC0itTwpu9z7Lmg</v>
      </c>
      <c r="U678" s="81" t="s">
        <v>2299</v>
      </c>
      <c r="V678" s="81" t="s">
        <v>2335</v>
      </c>
      <c r="W678" s="86" t="str">
        <f>HYPERLINK("https://www.youtube.com/watch?v=")</f>
        <v>https://www.youtube.com/watch?v=</v>
      </c>
      <c r="X678" s="81" t="s">
        <v>2349</v>
      </c>
      <c r="Y678" s="81">
        <v>2</v>
      </c>
      <c r="Z678" s="88">
        <v>43944.64487268519</v>
      </c>
      <c r="AA678" s="88">
        <v>43944.64487268519</v>
      </c>
      <c r="AB678" s="81"/>
      <c r="AC678" s="81"/>
      <c r="AD678" s="84" t="s">
        <v>2390</v>
      </c>
      <c r="AE678" s="82">
        <v>2</v>
      </c>
      <c r="AF678" s="83" t="str">
        <f>REPLACE(INDEX(GroupVertices[Group],MATCH(Edges[[#This Row],[Vertex 1]],GroupVertices[Vertex],0)),1,1,"")</f>
        <v>2</v>
      </c>
      <c r="AG678" s="83" t="str">
        <f>REPLACE(INDEX(GroupVertices[Group],MATCH(Edges[[#This Row],[Vertex 2]],GroupVertices[Vertex],0)),1,1,"")</f>
        <v>2</v>
      </c>
      <c r="AH678" s="111">
        <v>0</v>
      </c>
      <c r="AI678" s="112">
        <v>0</v>
      </c>
      <c r="AJ678" s="111">
        <v>0</v>
      </c>
      <c r="AK678" s="112">
        <v>0</v>
      </c>
      <c r="AL678" s="111">
        <v>0</v>
      </c>
      <c r="AM678" s="112">
        <v>0</v>
      </c>
      <c r="AN678" s="111">
        <v>1</v>
      </c>
      <c r="AO678" s="112">
        <v>100</v>
      </c>
      <c r="AP678" s="111">
        <v>1</v>
      </c>
    </row>
    <row r="679" spans="1:42" ht="15">
      <c r="A679" s="65" t="s">
        <v>760</v>
      </c>
      <c r="B679" s="65" t="s">
        <v>757</v>
      </c>
      <c r="C679" s="66" t="s">
        <v>4613</v>
      </c>
      <c r="D679" s="67">
        <v>10</v>
      </c>
      <c r="E679" s="68"/>
      <c r="F679" s="69">
        <v>15</v>
      </c>
      <c r="G679" s="66"/>
      <c r="H679" s="70"/>
      <c r="I679" s="71"/>
      <c r="J679" s="71"/>
      <c r="K679" s="35" t="s">
        <v>65</v>
      </c>
      <c r="L679" s="79">
        <v>679</v>
      </c>
      <c r="M679" s="79"/>
      <c r="N679" s="73"/>
      <c r="O679" s="81" t="s">
        <v>845</v>
      </c>
      <c r="P679" s="81" t="s">
        <v>847</v>
      </c>
      <c r="Q679" s="84" t="s">
        <v>1493</v>
      </c>
      <c r="R679" s="81" t="s">
        <v>760</v>
      </c>
      <c r="S679" s="81" t="s">
        <v>2119</v>
      </c>
      <c r="T679" s="86" t="str">
        <f>HYPERLINK("http://www.youtube.com/channel/UCL1rU-jRwC0itTwpu9z7Lmg")</f>
        <v>http://www.youtube.com/channel/UCL1rU-jRwC0itTwpu9z7Lmg</v>
      </c>
      <c r="U679" s="81" t="s">
        <v>2299</v>
      </c>
      <c r="V679" s="81" t="s">
        <v>2335</v>
      </c>
      <c r="W679" s="86" t="str">
        <f>HYPERLINK("https://www.youtube.com/watch?v=")</f>
        <v>https://www.youtube.com/watch?v=</v>
      </c>
      <c r="X679" s="81" t="s">
        <v>2349</v>
      </c>
      <c r="Y679" s="81">
        <v>2</v>
      </c>
      <c r="Z679" s="88">
        <v>43944.65037037037</v>
      </c>
      <c r="AA679" s="88">
        <v>43944.65037037037</v>
      </c>
      <c r="AB679" s="81"/>
      <c r="AC679" s="81"/>
      <c r="AD679" s="84" t="s">
        <v>2390</v>
      </c>
      <c r="AE679" s="82">
        <v>2</v>
      </c>
      <c r="AF679" s="83" t="str">
        <f>REPLACE(INDEX(GroupVertices[Group],MATCH(Edges[[#This Row],[Vertex 1]],GroupVertices[Vertex],0)),1,1,"")</f>
        <v>2</v>
      </c>
      <c r="AG679" s="83" t="str">
        <f>REPLACE(INDEX(GroupVertices[Group],MATCH(Edges[[#This Row],[Vertex 2]],GroupVertices[Vertex],0)),1,1,"")</f>
        <v>2</v>
      </c>
      <c r="AH679" s="111">
        <v>0</v>
      </c>
      <c r="AI679" s="112">
        <v>0</v>
      </c>
      <c r="AJ679" s="111">
        <v>0</v>
      </c>
      <c r="AK679" s="112">
        <v>0</v>
      </c>
      <c r="AL679" s="111">
        <v>0</v>
      </c>
      <c r="AM679" s="112">
        <v>0</v>
      </c>
      <c r="AN679" s="111">
        <v>5</v>
      </c>
      <c r="AO679" s="112">
        <v>100</v>
      </c>
      <c r="AP679" s="111">
        <v>5</v>
      </c>
    </row>
    <row r="680" spans="1:42" ht="15">
      <c r="A680" s="65" t="s">
        <v>761</v>
      </c>
      <c r="B680" s="65" t="s">
        <v>757</v>
      </c>
      <c r="C680" s="66" t="s">
        <v>4651</v>
      </c>
      <c r="D680" s="67">
        <v>3</v>
      </c>
      <c r="E680" s="68"/>
      <c r="F680" s="69">
        <v>40</v>
      </c>
      <c r="G680" s="66"/>
      <c r="H680" s="70"/>
      <c r="I680" s="71"/>
      <c r="J680" s="71"/>
      <c r="K680" s="35" t="s">
        <v>65</v>
      </c>
      <c r="L680" s="79">
        <v>680</v>
      </c>
      <c r="M680" s="79"/>
      <c r="N680" s="73"/>
      <c r="O680" s="81" t="s">
        <v>845</v>
      </c>
      <c r="P680" s="81" t="s">
        <v>847</v>
      </c>
      <c r="Q680" s="84" t="s">
        <v>1494</v>
      </c>
      <c r="R680" s="81" t="s">
        <v>761</v>
      </c>
      <c r="S680" s="81" t="s">
        <v>2120</v>
      </c>
      <c r="T680" s="86" t="str">
        <f>HYPERLINK("http://www.youtube.com/channel/UCPb6pOgqpY3ye-z9595hDyA")</f>
        <v>http://www.youtube.com/channel/UCPb6pOgqpY3ye-z9595hDyA</v>
      </c>
      <c r="U680" s="81" t="s">
        <v>2299</v>
      </c>
      <c r="V680" s="81" t="s">
        <v>2335</v>
      </c>
      <c r="W680" s="86" t="str">
        <f>HYPERLINK("https://www.youtube.com/watch?v=")</f>
        <v>https://www.youtube.com/watch?v=</v>
      </c>
      <c r="X680" s="81" t="s">
        <v>2349</v>
      </c>
      <c r="Y680" s="81">
        <v>2</v>
      </c>
      <c r="Z680" s="88">
        <v>43948.740428240744</v>
      </c>
      <c r="AA680" s="88">
        <v>43948.740428240744</v>
      </c>
      <c r="AB680" s="81"/>
      <c r="AC680" s="81"/>
      <c r="AD680" s="84" t="s">
        <v>2390</v>
      </c>
      <c r="AE680" s="82">
        <v>1</v>
      </c>
      <c r="AF680" s="83" t="str">
        <f>REPLACE(INDEX(GroupVertices[Group],MATCH(Edges[[#This Row],[Vertex 1]],GroupVertices[Vertex],0)),1,1,"")</f>
        <v>2</v>
      </c>
      <c r="AG680" s="83" t="str">
        <f>REPLACE(INDEX(GroupVertices[Group],MATCH(Edges[[#This Row],[Vertex 2]],GroupVertices[Vertex],0)),1,1,"")</f>
        <v>2</v>
      </c>
      <c r="AH680" s="111">
        <v>0</v>
      </c>
      <c r="AI680" s="112">
        <v>0</v>
      </c>
      <c r="AJ680" s="111">
        <v>0</v>
      </c>
      <c r="AK680" s="112">
        <v>0</v>
      </c>
      <c r="AL680" s="111">
        <v>0</v>
      </c>
      <c r="AM680" s="112">
        <v>0</v>
      </c>
      <c r="AN680" s="111">
        <v>2</v>
      </c>
      <c r="AO680" s="112">
        <v>100</v>
      </c>
      <c r="AP680" s="111">
        <v>2</v>
      </c>
    </row>
    <row r="681" spans="1:42" ht="15">
      <c r="A681" s="65" t="s">
        <v>762</v>
      </c>
      <c r="B681" s="65" t="s">
        <v>757</v>
      </c>
      <c r="C681" s="66" t="s">
        <v>4651</v>
      </c>
      <c r="D681" s="67">
        <v>3</v>
      </c>
      <c r="E681" s="68"/>
      <c r="F681" s="69">
        <v>40</v>
      </c>
      <c r="G681" s="66"/>
      <c r="H681" s="70"/>
      <c r="I681" s="71"/>
      <c r="J681" s="71"/>
      <c r="K681" s="35" t="s">
        <v>65</v>
      </c>
      <c r="L681" s="79">
        <v>681</v>
      </c>
      <c r="M681" s="79"/>
      <c r="N681" s="73"/>
      <c r="O681" s="81" t="s">
        <v>845</v>
      </c>
      <c r="P681" s="81" t="s">
        <v>847</v>
      </c>
      <c r="Q681" s="84" t="s">
        <v>1495</v>
      </c>
      <c r="R681" s="81" t="s">
        <v>762</v>
      </c>
      <c r="S681" s="81" t="s">
        <v>2121</v>
      </c>
      <c r="T681" s="86" t="str">
        <f>HYPERLINK("http://www.youtube.com/channel/UCtojG0-YFF6E_STBkGB9GlA")</f>
        <v>http://www.youtube.com/channel/UCtojG0-YFF6E_STBkGB9GlA</v>
      </c>
      <c r="U681" s="81" t="s">
        <v>2299</v>
      </c>
      <c r="V681" s="81" t="s">
        <v>2335</v>
      </c>
      <c r="W681" s="86" t="str">
        <f>HYPERLINK("https://www.youtube.com/watch?v=")</f>
        <v>https://www.youtube.com/watch?v=</v>
      </c>
      <c r="X681" s="81" t="s">
        <v>2349</v>
      </c>
      <c r="Y681" s="81">
        <v>1</v>
      </c>
      <c r="Z681" s="88">
        <v>43959.79534722222</v>
      </c>
      <c r="AA681" s="88">
        <v>43959.79534722222</v>
      </c>
      <c r="AB681" s="81"/>
      <c r="AC681" s="81"/>
      <c r="AD681" s="84" t="s">
        <v>2390</v>
      </c>
      <c r="AE681" s="82">
        <v>1</v>
      </c>
      <c r="AF681" s="83" t="str">
        <f>REPLACE(INDEX(GroupVertices[Group],MATCH(Edges[[#This Row],[Vertex 1]],GroupVertices[Vertex],0)),1,1,"")</f>
        <v>2</v>
      </c>
      <c r="AG681" s="83" t="str">
        <f>REPLACE(INDEX(GroupVertices[Group],MATCH(Edges[[#This Row],[Vertex 2]],GroupVertices[Vertex],0)),1,1,"")</f>
        <v>2</v>
      </c>
      <c r="AH681" s="111">
        <v>0</v>
      </c>
      <c r="AI681" s="112">
        <v>0</v>
      </c>
      <c r="AJ681" s="111">
        <v>0</v>
      </c>
      <c r="AK681" s="112">
        <v>0</v>
      </c>
      <c r="AL681" s="111">
        <v>0</v>
      </c>
      <c r="AM681" s="112">
        <v>0</v>
      </c>
      <c r="AN681" s="111">
        <v>1</v>
      </c>
      <c r="AO681" s="112">
        <v>100</v>
      </c>
      <c r="AP681" s="111">
        <v>1</v>
      </c>
    </row>
    <row r="682" spans="1:42" ht="15">
      <c r="A682" s="65" t="s">
        <v>763</v>
      </c>
      <c r="B682" s="65" t="s">
        <v>757</v>
      </c>
      <c r="C682" s="66" t="s">
        <v>4651</v>
      </c>
      <c r="D682" s="67">
        <v>3</v>
      </c>
      <c r="E682" s="68"/>
      <c r="F682" s="69">
        <v>40</v>
      </c>
      <c r="G682" s="66"/>
      <c r="H682" s="70"/>
      <c r="I682" s="71"/>
      <c r="J682" s="71"/>
      <c r="K682" s="35" t="s">
        <v>65</v>
      </c>
      <c r="L682" s="79">
        <v>682</v>
      </c>
      <c r="M682" s="79"/>
      <c r="N682" s="73"/>
      <c r="O682" s="81" t="s">
        <v>845</v>
      </c>
      <c r="P682" s="81" t="s">
        <v>847</v>
      </c>
      <c r="Q682" s="84" t="s">
        <v>1496</v>
      </c>
      <c r="R682" s="81" t="s">
        <v>763</v>
      </c>
      <c r="S682" s="81" t="s">
        <v>2122</v>
      </c>
      <c r="T682" s="86" t="str">
        <f>HYPERLINK("http://www.youtube.com/channel/UCVWdrNV8bxniNzRsFK-sBtg")</f>
        <v>http://www.youtube.com/channel/UCVWdrNV8bxniNzRsFK-sBtg</v>
      </c>
      <c r="U682" s="81" t="s">
        <v>2299</v>
      </c>
      <c r="V682" s="81" t="s">
        <v>2335</v>
      </c>
      <c r="W682" s="86" t="str">
        <f>HYPERLINK("https://www.youtube.com/watch?v=")</f>
        <v>https://www.youtube.com/watch?v=</v>
      </c>
      <c r="X682" s="81" t="s">
        <v>2349</v>
      </c>
      <c r="Y682" s="81">
        <v>1</v>
      </c>
      <c r="Z682" s="88">
        <v>43964.78925925926</v>
      </c>
      <c r="AA682" s="88">
        <v>43964.78925925926</v>
      </c>
      <c r="AB682" s="81"/>
      <c r="AC682" s="81"/>
      <c r="AD682" s="84" t="s">
        <v>2390</v>
      </c>
      <c r="AE682" s="82">
        <v>1</v>
      </c>
      <c r="AF682" s="83" t="str">
        <f>REPLACE(INDEX(GroupVertices[Group],MATCH(Edges[[#This Row],[Vertex 1]],GroupVertices[Vertex],0)),1,1,"")</f>
        <v>2</v>
      </c>
      <c r="AG682" s="83" t="str">
        <f>REPLACE(INDEX(GroupVertices[Group],MATCH(Edges[[#This Row],[Vertex 2]],GroupVertices[Vertex],0)),1,1,"")</f>
        <v>2</v>
      </c>
      <c r="AH682" s="111">
        <v>0</v>
      </c>
      <c r="AI682" s="112">
        <v>0</v>
      </c>
      <c r="AJ682" s="111">
        <v>0</v>
      </c>
      <c r="AK682" s="112">
        <v>0</v>
      </c>
      <c r="AL682" s="111">
        <v>0</v>
      </c>
      <c r="AM682" s="112">
        <v>0</v>
      </c>
      <c r="AN682" s="111">
        <v>5</v>
      </c>
      <c r="AO682" s="112">
        <v>100</v>
      </c>
      <c r="AP682" s="111">
        <v>5</v>
      </c>
    </row>
    <row r="683" spans="1:42" ht="15">
      <c r="A683" s="65" t="s">
        <v>764</v>
      </c>
      <c r="B683" s="65" t="s">
        <v>757</v>
      </c>
      <c r="C683" s="66" t="s">
        <v>4651</v>
      </c>
      <c r="D683" s="67">
        <v>3</v>
      </c>
      <c r="E683" s="68"/>
      <c r="F683" s="69">
        <v>40</v>
      </c>
      <c r="G683" s="66"/>
      <c r="H683" s="70"/>
      <c r="I683" s="71"/>
      <c r="J683" s="71"/>
      <c r="K683" s="35" t="s">
        <v>65</v>
      </c>
      <c r="L683" s="79">
        <v>683</v>
      </c>
      <c r="M683" s="79"/>
      <c r="N683" s="73"/>
      <c r="O683" s="81" t="s">
        <v>845</v>
      </c>
      <c r="P683" s="81" t="s">
        <v>847</v>
      </c>
      <c r="Q683" s="84" t="s">
        <v>1497</v>
      </c>
      <c r="R683" s="81" t="s">
        <v>764</v>
      </c>
      <c r="S683" s="81" t="s">
        <v>2123</v>
      </c>
      <c r="T683" s="86" t="str">
        <f>HYPERLINK("http://www.youtube.com/channel/UC0-aV8W_jMNPr6pkPHoHklA")</f>
        <v>http://www.youtube.com/channel/UC0-aV8W_jMNPr6pkPHoHklA</v>
      </c>
      <c r="U683" s="81" t="s">
        <v>2299</v>
      </c>
      <c r="V683" s="81" t="s">
        <v>2335</v>
      </c>
      <c r="W683" s="86" t="str">
        <f>HYPERLINK("https://www.youtube.com/watch?v=")</f>
        <v>https://www.youtube.com/watch?v=</v>
      </c>
      <c r="X683" s="81" t="s">
        <v>2349</v>
      </c>
      <c r="Y683" s="81">
        <v>1</v>
      </c>
      <c r="Z683" s="88">
        <v>43991.83541666667</v>
      </c>
      <c r="AA683" s="88">
        <v>43991.83541666667</v>
      </c>
      <c r="AB683" s="81"/>
      <c r="AC683" s="81"/>
      <c r="AD683" s="84" t="s">
        <v>2390</v>
      </c>
      <c r="AE683" s="82">
        <v>1</v>
      </c>
      <c r="AF683" s="83" t="str">
        <f>REPLACE(INDEX(GroupVertices[Group],MATCH(Edges[[#This Row],[Vertex 1]],GroupVertices[Vertex],0)),1,1,"")</f>
        <v>2</v>
      </c>
      <c r="AG683" s="83" t="str">
        <f>REPLACE(INDEX(GroupVertices[Group],MATCH(Edges[[#This Row],[Vertex 2]],GroupVertices[Vertex],0)),1,1,"")</f>
        <v>2</v>
      </c>
      <c r="AH683" s="111">
        <v>1</v>
      </c>
      <c r="AI683" s="112">
        <v>100</v>
      </c>
      <c r="AJ683" s="111">
        <v>0</v>
      </c>
      <c r="AK683" s="112">
        <v>0</v>
      </c>
      <c r="AL683" s="111">
        <v>0</v>
      </c>
      <c r="AM683" s="112">
        <v>0</v>
      </c>
      <c r="AN683" s="111">
        <v>0</v>
      </c>
      <c r="AO683" s="112">
        <v>0</v>
      </c>
      <c r="AP683" s="111">
        <v>1</v>
      </c>
    </row>
    <row r="684" spans="1:42" ht="15">
      <c r="A684" s="65" t="s">
        <v>765</v>
      </c>
      <c r="B684" s="65" t="s">
        <v>757</v>
      </c>
      <c r="C684" s="66" t="s">
        <v>4651</v>
      </c>
      <c r="D684" s="67">
        <v>3</v>
      </c>
      <c r="E684" s="68"/>
      <c r="F684" s="69">
        <v>40</v>
      </c>
      <c r="G684" s="66"/>
      <c r="H684" s="70"/>
      <c r="I684" s="71"/>
      <c r="J684" s="71"/>
      <c r="K684" s="35" t="s">
        <v>65</v>
      </c>
      <c r="L684" s="79">
        <v>684</v>
      </c>
      <c r="M684" s="79"/>
      <c r="N684" s="73"/>
      <c r="O684" s="81" t="s">
        <v>845</v>
      </c>
      <c r="P684" s="81" t="s">
        <v>847</v>
      </c>
      <c r="Q684" s="84" t="s">
        <v>1498</v>
      </c>
      <c r="R684" s="81" t="s">
        <v>765</v>
      </c>
      <c r="S684" s="81" t="s">
        <v>2124</v>
      </c>
      <c r="T684" s="86" t="str">
        <f>HYPERLINK("http://www.youtube.com/channel/UCnr_NEU1KQ6uBsB0-pj7Z2Q")</f>
        <v>http://www.youtube.com/channel/UCnr_NEU1KQ6uBsB0-pj7Z2Q</v>
      </c>
      <c r="U684" s="81" t="s">
        <v>2299</v>
      </c>
      <c r="V684" s="81" t="s">
        <v>2335</v>
      </c>
      <c r="W684" s="86" t="str">
        <f>HYPERLINK("https://www.youtube.com/watch?v=")</f>
        <v>https://www.youtube.com/watch?v=</v>
      </c>
      <c r="X684" s="81" t="s">
        <v>2349</v>
      </c>
      <c r="Y684" s="81">
        <v>1</v>
      </c>
      <c r="Z684" s="88">
        <v>44059.66881944444</v>
      </c>
      <c r="AA684" s="88">
        <v>44059.66881944444</v>
      </c>
      <c r="AB684" s="81"/>
      <c r="AC684" s="81"/>
      <c r="AD684" s="84" t="s">
        <v>2390</v>
      </c>
      <c r="AE684" s="82">
        <v>1</v>
      </c>
      <c r="AF684" s="83" t="str">
        <f>REPLACE(INDEX(GroupVertices[Group],MATCH(Edges[[#This Row],[Vertex 1]],GroupVertices[Vertex],0)),1,1,"")</f>
        <v>2</v>
      </c>
      <c r="AG684" s="83" t="str">
        <f>REPLACE(INDEX(GroupVertices[Group],MATCH(Edges[[#This Row],[Vertex 2]],GroupVertices[Vertex],0)),1,1,"")</f>
        <v>2</v>
      </c>
      <c r="AH684" s="111">
        <v>0</v>
      </c>
      <c r="AI684" s="112">
        <v>0</v>
      </c>
      <c r="AJ684" s="111">
        <v>0</v>
      </c>
      <c r="AK684" s="112">
        <v>0</v>
      </c>
      <c r="AL684" s="111">
        <v>0</v>
      </c>
      <c r="AM684" s="112">
        <v>0</v>
      </c>
      <c r="AN684" s="111">
        <v>2</v>
      </c>
      <c r="AO684" s="112">
        <v>100</v>
      </c>
      <c r="AP684" s="111">
        <v>2</v>
      </c>
    </row>
    <row r="685" spans="1:42" ht="15">
      <c r="A685" s="65" t="s">
        <v>766</v>
      </c>
      <c r="B685" s="65" t="s">
        <v>757</v>
      </c>
      <c r="C685" s="66" t="s">
        <v>4651</v>
      </c>
      <c r="D685" s="67">
        <v>3</v>
      </c>
      <c r="E685" s="68"/>
      <c r="F685" s="69">
        <v>40</v>
      </c>
      <c r="G685" s="66"/>
      <c r="H685" s="70"/>
      <c r="I685" s="71"/>
      <c r="J685" s="71"/>
      <c r="K685" s="35" t="s">
        <v>65</v>
      </c>
      <c r="L685" s="79">
        <v>685</v>
      </c>
      <c r="M685" s="79"/>
      <c r="N685" s="73"/>
      <c r="O685" s="81" t="s">
        <v>845</v>
      </c>
      <c r="P685" s="81" t="s">
        <v>847</v>
      </c>
      <c r="Q685" s="84" t="s">
        <v>1499</v>
      </c>
      <c r="R685" s="81" t="s">
        <v>766</v>
      </c>
      <c r="S685" s="81" t="s">
        <v>2125</v>
      </c>
      <c r="T685" s="86" t="str">
        <f>HYPERLINK("http://www.youtube.com/channel/UCzoCYX25FsK-ndwsTo_rNlw")</f>
        <v>http://www.youtube.com/channel/UCzoCYX25FsK-ndwsTo_rNlw</v>
      </c>
      <c r="U685" s="81" t="s">
        <v>2299</v>
      </c>
      <c r="V685" s="81" t="s">
        <v>2335</v>
      </c>
      <c r="W685" s="86" t="str">
        <f>HYPERLINK("https://www.youtube.com/watch?v=")</f>
        <v>https://www.youtube.com/watch?v=</v>
      </c>
      <c r="X685" s="81" t="s">
        <v>2349</v>
      </c>
      <c r="Y685" s="81">
        <v>1</v>
      </c>
      <c r="Z685" s="88">
        <v>44064.28773148148</v>
      </c>
      <c r="AA685" s="88">
        <v>44064.28773148148</v>
      </c>
      <c r="AB685" s="81"/>
      <c r="AC685" s="81"/>
      <c r="AD685" s="84" t="s">
        <v>2390</v>
      </c>
      <c r="AE685" s="82">
        <v>1</v>
      </c>
      <c r="AF685" s="83" t="str">
        <f>REPLACE(INDEX(GroupVertices[Group],MATCH(Edges[[#This Row],[Vertex 1]],GroupVertices[Vertex],0)),1,1,"")</f>
        <v>2</v>
      </c>
      <c r="AG685" s="83" t="str">
        <f>REPLACE(INDEX(GroupVertices[Group],MATCH(Edges[[#This Row],[Vertex 2]],GroupVertices[Vertex],0)),1,1,"")</f>
        <v>2</v>
      </c>
      <c r="AH685" s="111">
        <v>0</v>
      </c>
      <c r="AI685" s="112">
        <v>0</v>
      </c>
      <c r="AJ685" s="111">
        <v>0</v>
      </c>
      <c r="AK685" s="112">
        <v>0</v>
      </c>
      <c r="AL685" s="111">
        <v>0</v>
      </c>
      <c r="AM685" s="112">
        <v>0</v>
      </c>
      <c r="AN685" s="111">
        <v>1</v>
      </c>
      <c r="AO685" s="112">
        <v>100</v>
      </c>
      <c r="AP685" s="111">
        <v>1</v>
      </c>
    </row>
    <row r="686" spans="1:42" ht="15">
      <c r="A686" s="65" t="s">
        <v>767</v>
      </c>
      <c r="B686" s="65" t="s">
        <v>757</v>
      </c>
      <c r="C686" s="66" t="s">
        <v>4651</v>
      </c>
      <c r="D686" s="67">
        <v>3</v>
      </c>
      <c r="E686" s="68"/>
      <c r="F686" s="69">
        <v>40</v>
      </c>
      <c r="G686" s="66"/>
      <c r="H686" s="70"/>
      <c r="I686" s="71"/>
      <c r="J686" s="71"/>
      <c r="K686" s="35" t="s">
        <v>65</v>
      </c>
      <c r="L686" s="79">
        <v>686</v>
      </c>
      <c r="M686" s="79"/>
      <c r="N686" s="73"/>
      <c r="O686" s="81" t="s">
        <v>845</v>
      </c>
      <c r="P686" s="81" t="s">
        <v>847</v>
      </c>
      <c r="Q686" s="84" t="s">
        <v>1050</v>
      </c>
      <c r="R686" s="81" t="s">
        <v>767</v>
      </c>
      <c r="S686" s="81" t="s">
        <v>2126</v>
      </c>
      <c r="T686" s="86" t="str">
        <f>HYPERLINK("http://www.youtube.com/channel/UCn6p8O-NWPYAAvZ5MUzK9zw")</f>
        <v>http://www.youtube.com/channel/UCn6p8O-NWPYAAvZ5MUzK9zw</v>
      </c>
      <c r="U686" s="81" t="s">
        <v>2299</v>
      </c>
      <c r="V686" s="81" t="s">
        <v>2335</v>
      </c>
      <c r="W686" s="86" t="str">
        <f>HYPERLINK("https://www.youtube.com/watch?v=")</f>
        <v>https://www.youtube.com/watch?v=</v>
      </c>
      <c r="X686" s="81" t="s">
        <v>2349</v>
      </c>
      <c r="Y686" s="81">
        <v>2</v>
      </c>
      <c r="Z686" s="88">
        <v>44113.68528935185</v>
      </c>
      <c r="AA686" s="88">
        <v>44113.68528935185</v>
      </c>
      <c r="AB686" s="81"/>
      <c r="AC686" s="81"/>
      <c r="AD686" s="84" t="s">
        <v>2390</v>
      </c>
      <c r="AE686" s="82">
        <v>1</v>
      </c>
      <c r="AF686" s="83" t="str">
        <f>REPLACE(INDEX(GroupVertices[Group],MATCH(Edges[[#This Row],[Vertex 1]],GroupVertices[Vertex],0)),1,1,"")</f>
        <v>2</v>
      </c>
      <c r="AG686" s="83" t="str">
        <f>REPLACE(INDEX(GroupVertices[Group],MATCH(Edges[[#This Row],[Vertex 2]],GroupVertices[Vertex],0)),1,1,"")</f>
        <v>2</v>
      </c>
      <c r="AH686" s="111">
        <v>0</v>
      </c>
      <c r="AI686" s="112">
        <v>0</v>
      </c>
      <c r="AJ686" s="111">
        <v>0</v>
      </c>
      <c r="AK686" s="112">
        <v>0</v>
      </c>
      <c r="AL686" s="111">
        <v>0</v>
      </c>
      <c r="AM686" s="112">
        <v>0</v>
      </c>
      <c r="AN686" s="111">
        <v>1</v>
      </c>
      <c r="AO686" s="112">
        <v>100</v>
      </c>
      <c r="AP686" s="111">
        <v>1</v>
      </c>
    </row>
    <row r="687" spans="1:42" ht="15">
      <c r="A687" s="65" t="s">
        <v>768</v>
      </c>
      <c r="B687" s="65" t="s">
        <v>757</v>
      </c>
      <c r="C687" s="66" t="s">
        <v>4651</v>
      </c>
      <c r="D687" s="67">
        <v>3</v>
      </c>
      <c r="E687" s="68"/>
      <c r="F687" s="69">
        <v>40</v>
      </c>
      <c r="G687" s="66"/>
      <c r="H687" s="70"/>
      <c r="I687" s="71"/>
      <c r="J687" s="71"/>
      <c r="K687" s="35" t="s">
        <v>65</v>
      </c>
      <c r="L687" s="79">
        <v>687</v>
      </c>
      <c r="M687" s="79"/>
      <c r="N687" s="73"/>
      <c r="O687" s="81" t="s">
        <v>845</v>
      </c>
      <c r="P687" s="81" t="s">
        <v>847</v>
      </c>
      <c r="Q687" s="84" t="s">
        <v>1500</v>
      </c>
      <c r="R687" s="81" t="s">
        <v>768</v>
      </c>
      <c r="S687" s="81" t="s">
        <v>2127</v>
      </c>
      <c r="T687" s="86" t="str">
        <f>HYPERLINK("http://www.youtube.com/channel/UCWDyZ4tze7sg8PvKfBwjZ6w")</f>
        <v>http://www.youtube.com/channel/UCWDyZ4tze7sg8PvKfBwjZ6w</v>
      </c>
      <c r="U687" s="81" t="s">
        <v>2299</v>
      </c>
      <c r="V687" s="81" t="s">
        <v>2335</v>
      </c>
      <c r="W687" s="86" t="str">
        <f>HYPERLINK("https://www.youtube.com/watch?v=")</f>
        <v>https://www.youtube.com/watch?v=</v>
      </c>
      <c r="X687" s="81" t="s">
        <v>2349</v>
      </c>
      <c r="Y687" s="81">
        <v>2</v>
      </c>
      <c r="Z687" s="88">
        <v>44120.93111111111</v>
      </c>
      <c r="AA687" s="88">
        <v>44120.93111111111</v>
      </c>
      <c r="AB687" s="81"/>
      <c r="AC687" s="81"/>
      <c r="AD687" s="84" t="s">
        <v>2390</v>
      </c>
      <c r="AE687" s="82">
        <v>1</v>
      </c>
      <c r="AF687" s="83" t="str">
        <f>REPLACE(INDEX(GroupVertices[Group],MATCH(Edges[[#This Row],[Vertex 1]],GroupVertices[Vertex],0)),1,1,"")</f>
        <v>2</v>
      </c>
      <c r="AG687" s="83" t="str">
        <f>REPLACE(INDEX(GroupVertices[Group],MATCH(Edges[[#This Row],[Vertex 2]],GroupVertices[Vertex],0)),1,1,"")</f>
        <v>2</v>
      </c>
      <c r="AH687" s="111">
        <v>0</v>
      </c>
      <c r="AI687" s="112">
        <v>0</v>
      </c>
      <c r="AJ687" s="111">
        <v>0</v>
      </c>
      <c r="AK687" s="112">
        <v>0</v>
      </c>
      <c r="AL687" s="111">
        <v>0</v>
      </c>
      <c r="AM687" s="112">
        <v>0</v>
      </c>
      <c r="AN687" s="111">
        <v>2</v>
      </c>
      <c r="AO687" s="112">
        <v>100</v>
      </c>
      <c r="AP687" s="111">
        <v>2</v>
      </c>
    </row>
    <row r="688" spans="1:42" ht="15">
      <c r="A688" s="65" t="s">
        <v>769</v>
      </c>
      <c r="B688" s="65" t="s">
        <v>757</v>
      </c>
      <c r="C688" s="66" t="s">
        <v>4651</v>
      </c>
      <c r="D688" s="67">
        <v>3</v>
      </c>
      <c r="E688" s="68"/>
      <c r="F688" s="69">
        <v>40</v>
      </c>
      <c r="G688" s="66"/>
      <c r="H688" s="70"/>
      <c r="I688" s="71"/>
      <c r="J688" s="71"/>
      <c r="K688" s="35" t="s">
        <v>65</v>
      </c>
      <c r="L688" s="79">
        <v>688</v>
      </c>
      <c r="M688" s="79"/>
      <c r="N688" s="73"/>
      <c r="O688" s="81" t="s">
        <v>845</v>
      </c>
      <c r="P688" s="81" t="s">
        <v>847</v>
      </c>
      <c r="Q688" s="84" t="s">
        <v>1050</v>
      </c>
      <c r="R688" s="81" t="s">
        <v>769</v>
      </c>
      <c r="S688" s="81" t="s">
        <v>2128</v>
      </c>
      <c r="T688" s="86" t="str">
        <f>HYPERLINK("http://www.youtube.com/channel/UCGiyitvsoE0mvDymzZTN55A")</f>
        <v>http://www.youtube.com/channel/UCGiyitvsoE0mvDymzZTN55A</v>
      </c>
      <c r="U688" s="81" t="s">
        <v>2299</v>
      </c>
      <c r="V688" s="81" t="s">
        <v>2335</v>
      </c>
      <c r="W688" s="86" t="str">
        <f>HYPERLINK("https://www.youtube.com/watch?v=")</f>
        <v>https://www.youtube.com/watch?v=</v>
      </c>
      <c r="X688" s="81" t="s">
        <v>2349</v>
      </c>
      <c r="Y688" s="81">
        <v>1</v>
      </c>
      <c r="Z688" s="88">
        <v>44166.62232638889</v>
      </c>
      <c r="AA688" s="88">
        <v>44166.62232638889</v>
      </c>
      <c r="AB688" s="81"/>
      <c r="AC688" s="81"/>
      <c r="AD688" s="84" t="s">
        <v>2390</v>
      </c>
      <c r="AE688" s="82">
        <v>1</v>
      </c>
      <c r="AF688" s="83" t="str">
        <f>REPLACE(INDEX(GroupVertices[Group],MATCH(Edges[[#This Row],[Vertex 1]],GroupVertices[Vertex],0)),1,1,"")</f>
        <v>2</v>
      </c>
      <c r="AG688" s="83" t="str">
        <f>REPLACE(INDEX(GroupVertices[Group],MATCH(Edges[[#This Row],[Vertex 2]],GroupVertices[Vertex],0)),1,1,"")</f>
        <v>2</v>
      </c>
      <c r="AH688" s="111">
        <v>0</v>
      </c>
      <c r="AI688" s="112">
        <v>0</v>
      </c>
      <c r="AJ688" s="111">
        <v>0</v>
      </c>
      <c r="AK688" s="112">
        <v>0</v>
      </c>
      <c r="AL688" s="111">
        <v>0</v>
      </c>
      <c r="AM688" s="112">
        <v>0</v>
      </c>
      <c r="AN688" s="111">
        <v>1</v>
      </c>
      <c r="AO688" s="112">
        <v>100</v>
      </c>
      <c r="AP688" s="111">
        <v>1</v>
      </c>
    </row>
    <row r="689" spans="1:42" ht="15">
      <c r="A689" s="65" t="s">
        <v>770</v>
      </c>
      <c r="B689" s="65" t="s">
        <v>757</v>
      </c>
      <c r="C689" s="66" t="s">
        <v>4613</v>
      </c>
      <c r="D689" s="67">
        <v>10</v>
      </c>
      <c r="E689" s="68"/>
      <c r="F689" s="69">
        <v>15</v>
      </c>
      <c r="G689" s="66"/>
      <c r="H689" s="70"/>
      <c r="I689" s="71"/>
      <c r="J689" s="71"/>
      <c r="K689" s="35" t="s">
        <v>65</v>
      </c>
      <c r="L689" s="79">
        <v>689</v>
      </c>
      <c r="M689" s="79"/>
      <c r="N689" s="73"/>
      <c r="O689" s="81" t="s">
        <v>845</v>
      </c>
      <c r="P689" s="81" t="s">
        <v>847</v>
      </c>
      <c r="Q689" s="84" t="s">
        <v>1501</v>
      </c>
      <c r="R689" s="81" t="s">
        <v>770</v>
      </c>
      <c r="S689" s="81" t="s">
        <v>2129</v>
      </c>
      <c r="T689" s="86" t="str">
        <f>HYPERLINK("http://www.youtube.com/channel/UCB6idNRhVqMo-V57OKOa7uQ")</f>
        <v>http://www.youtube.com/channel/UCB6idNRhVqMo-V57OKOa7uQ</v>
      </c>
      <c r="U689" s="81" t="s">
        <v>2299</v>
      </c>
      <c r="V689" s="81" t="s">
        <v>2335</v>
      </c>
      <c r="W689" s="86" t="str">
        <f>HYPERLINK("https://www.youtube.com/watch?v=")</f>
        <v>https://www.youtube.com/watch?v=</v>
      </c>
      <c r="X689" s="81" t="s">
        <v>2349</v>
      </c>
      <c r="Y689" s="81">
        <v>1</v>
      </c>
      <c r="Z689" s="88">
        <v>44229.45626157407</v>
      </c>
      <c r="AA689" s="88">
        <v>44229.45626157407</v>
      </c>
      <c r="AB689" s="81"/>
      <c r="AC689" s="81"/>
      <c r="AD689" s="84" t="s">
        <v>2390</v>
      </c>
      <c r="AE689" s="82">
        <v>2</v>
      </c>
      <c r="AF689" s="83" t="str">
        <f>REPLACE(INDEX(GroupVertices[Group],MATCH(Edges[[#This Row],[Vertex 1]],GroupVertices[Vertex],0)),1,1,"")</f>
        <v>2</v>
      </c>
      <c r="AG689" s="83" t="str">
        <f>REPLACE(INDEX(GroupVertices[Group],MATCH(Edges[[#This Row],[Vertex 2]],GroupVertices[Vertex],0)),1,1,"")</f>
        <v>2</v>
      </c>
      <c r="AH689" s="111">
        <v>0</v>
      </c>
      <c r="AI689" s="112">
        <v>0</v>
      </c>
      <c r="AJ689" s="111">
        <v>0</v>
      </c>
      <c r="AK689" s="112">
        <v>0</v>
      </c>
      <c r="AL689" s="111">
        <v>0</v>
      </c>
      <c r="AM689" s="112">
        <v>0</v>
      </c>
      <c r="AN689" s="111">
        <v>2</v>
      </c>
      <c r="AO689" s="112">
        <v>100</v>
      </c>
      <c r="AP689" s="111">
        <v>2</v>
      </c>
    </row>
    <row r="690" spans="1:42" ht="15">
      <c r="A690" s="65" t="s">
        <v>770</v>
      </c>
      <c r="B690" s="65" t="s">
        <v>757</v>
      </c>
      <c r="C690" s="66" t="s">
        <v>4613</v>
      </c>
      <c r="D690" s="67">
        <v>10</v>
      </c>
      <c r="E690" s="68"/>
      <c r="F690" s="69">
        <v>15</v>
      </c>
      <c r="G690" s="66"/>
      <c r="H690" s="70"/>
      <c r="I690" s="71"/>
      <c r="J690" s="71"/>
      <c r="K690" s="35" t="s">
        <v>65</v>
      </c>
      <c r="L690" s="79">
        <v>690</v>
      </c>
      <c r="M690" s="79"/>
      <c r="N690" s="73"/>
      <c r="O690" s="81" t="s">
        <v>845</v>
      </c>
      <c r="P690" s="81" t="s">
        <v>847</v>
      </c>
      <c r="Q690" s="84" t="s">
        <v>1502</v>
      </c>
      <c r="R690" s="81" t="s">
        <v>770</v>
      </c>
      <c r="S690" s="81" t="s">
        <v>2129</v>
      </c>
      <c r="T690" s="86" t="str">
        <f>HYPERLINK("http://www.youtube.com/channel/UCB6idNRhVqMo-V57OKOa7uQ")</f>
        <v>http://www.youtube.com/channel/UCB6idNRhVqMo-V57OKOa7uQ</v>
      </c>
      <c r="U690" s="81" t="s">
        <v>2299</v>
      </c>
      <c r="V690" s="81" t="s">
        <v>2335</v>
      </c>
      <c r="W690" s="86" t="str">
        <f>HYPERLINK("https://www.youtube.com/watch?v=")</f>
        <v>https://www.youtube.com/watch?v=</v>
      </c>
      <c r="X690" s="81" t="s">
        <v>2349</v>
      </c>
      <c r="Y690" s="81">
        <v>0</v>
      </c>
      <c r="Z690" s="88">
        <v>44229.45636574074</v>
      </c>
      <c r="AA690" s="88">
        <v>44229.45636574074</v>
      </c>
      <c r="AB690" s="81"/>
      <c r="AC690" s="81"/>
      <c r="AD690" s="84" t="s">
        <v>2390</v>
      </c>
      <c r="AE690" s="82">
        <v>2</v>
      </c>
      <c r="AF690" s="83" t="str">
        <f>REPLACE(INDEX(GroupVertices[Group],MATCH(Edges[[#This Row],[Vertex 1]],GroupVertices[Vertex],0)),1,1,"")</f>
        <v>2</v>
      </c>
      <c r="AG690" s="83" t="str">
        <f>REPLACE(INDEX(GroupVertices[Group],MATCH(Edges[[#This Row],[Vertex 2]],GroupVertices[Vertex],0)),1,1,"")</f>
        <v>2</v>
      </c>
      <c r="AH690" s="111">
        <v>0</v>
      </c>
      <c r="AI690" s="112">
        <v>0</v>
      </c>
      <c r="AJ690" s="111">
        <v>1</v>
      </c>
      <c r="AK690" s="112">
        <v>25</v>
      </c>
      <c r="AL690" s="111">
        <v>0</v>
      </c>
      <c r="AM690" s="112">
        <v>0</v>
      </c>
      <c r="AN690" s="111">
        <v>3</v>
      </c>
      <c r="AO690" s="112">
        <v>75</v>
      </c>
      <c r="AP690" s="111">
        <v>4</v>
      </c>
    </row>
    <row r="691" spans="1:42" ht="15">
      <c r="A691" s="65" t="s">
        <v>771</v>
      </c>
      <c r="B691" s="65" t="s">
        <v>757</v>
      </c>
      <c r="C691" s="66" t="s">
        <v>4651</v>
      </c>
      <c r="D691" s="67">
        <v>3</v>
      </c>
      <c r="E691" s="68"/>
      <c r="F691" s="69">
        <v>40</v>
      </c>
      <c r="G691" s="66"/>
      <c r="H691" s="70"/>
      <c r="I691" s="71"/>
      <c r="J691" s="71"/>
      <c r="K691" s="35" t="s">
        <v>65</v>
      </c>
      <c r="L691" s="79">
        <v>691</v>
      </c>
      <c r="M691" s="79"/>
      <c r="N691" s="73"/>
      <c r="O691" s="81" t="s">
        <v>845</v>
      </c>
      <c r="P691" s="81" t="s">
        <v>847</v>
      </c>
      <c r="Q691" s="84" t="s">
        <v>1503</v>
      </c>
      <c r="R691" s="81" t="s">
        <v>771</v>
      </c>
      <c r="S691" s="81" t="s">
        <v>2130</v>
      </c>
      <c r="T691" s="86" t="str">
        <f>HYPERLINK("http://www.youtube.com/channel/UCqmW71_NOWovrUsgcCsJoaA")</f>
        <v>http://www.youtube.com/channel/UCqmW71_NOWovrUsgcCsJoaA</v>
      </c>
      <c r="U691" s="81" t="s">
        <v>2299</v>
      </c>
      <c r="V691" s="81" t="s">
        <v>2335</v>
      </c>
      <c r="W691" s="86" t="str">
        <f>HYPERLINK("https://www.youtube.com/watch?v=")</f>
        <v>https://www.youtube.com/watch?v=</v>
      </c>
      <c r="X691" s="81" t="s">
        <v>2349</v>
      </c>
      <c r="Y691" s="81">
        <v>2</v>
      </c>
      <c r="Z691" s="88">
        <v>44237.06917824074</v>
      </c>
      <c r="AA691" s="88">
        <v>44237.06917824074</v>
      </c>
      <c r="AB691" s="81"/>
      <c r="AC691" s="81"/>
      <c r="AD691" s="84" t="s">
        <v>2390</v>
      </c>
      <c r="AE691" s="82">
        <v>1</v>
      </c>
      <c r="AF691" s="83" t="str">
        <f>REPLACE(INDEX(GroupVertices[Group],MATCH(Edges[[#This Row],[Vertex 1]],GroupVertices[Vertex],0)),1,1,"")</f>
        <v>2</v>
      </c>
      <c r="AG691" s="83" t="str">
        <f>REPLACE(INDEX(GroupVertices[Group],MATCH(Edges[[#This Row],[Vertex 2]],GroupVertices[Vertex],0)),1,1,"")</f>
        <v>2</v>
      </c>
      <c r="AH691" s="111">
        <v>0</v>
      </c>
      <c r="AI691" s="112">
        <v>0</v>
      </c>
      <c r="AJ691" s="111">
        <v>0</v>
      </c>
      <c r="AK691" s="112">
        <v>0</v>
      </c>
      <c r="AL691" s="111">
        <v>0</v>
      </c>
      <c r="AM691" s="112">
        <v>0</v>
      </c>
      <c r="AN691" s="111">
        <v>2</v>
      </c>
      <c r="AO691" s="112">
        <v>100</v>
      </c>
      <c r="AP691" s="111">
        <v>2</v>
      </c>
    </row>
    <row r="692" spans="1:42" ht="15">
      <c r="A692" s="65" t="s">
        <v>772</v>
      </c>
      <c r="B692" s="65" t="s">
        <v>757</v>
      </c>
      <c r="C692" s="66" t="s">
        <v>4651</v>
      </c>
      <c r="D692" s="67">
        <v>3</v>
      </c>
      <c r="E692" s="68"/>
      <c r="F692" s="69">
        <v>40</v>
      </c>
      <c r="G692" s="66"/>
      <c r="H692" s="70"/>
      <c r="I692" s="71"/>
      <c r="J692" s="71"/>
      <c r="K692" s="35" t="s">
        <v>65</v>
      </c>
      <c r="L692" s="79">
        <v>692</v>
      </c>
      <c r="M692" s="79"/>
      <c r="N692" s="73"/>
      <c r="O692" s="81" t="s">
        <v>845</v>
      </c>
      <c r="P692" s="81" t="s">
        <v>847</v>
      </c>
      <c r="Q692" s="84" t="s">
        <v>1504</v>
      </c>
      <c r="R692" s="81" t="s">
        <v>772</v>
      </c>
      <c r="S692" s="81" t="s">
        <v>2131</v>
      </c>
      <c r="T692" s="86" t="str">
        <f>HYPERLINK("http://www.youtube.com/channel/UC5c65XLWE2VC5GyFqnIwIsw")</f>
        <v>http://www.youtube.com/channel/UC5c65XLWE2VC5GyFqnIwIsw</v>
      </c>
      <c r="U692" s="81" t="s">
        <v>2299</v>
      </c>
      <c r="V692" s="81" t="s">
        <v>2335</v>
      </c>
      <c r="W692" s="86" t="str">
        <f>HYPERLINK("https://www.youtube.com/watch?v=")</f>
        <v>https://www.youtube.com/watch?v=</v>
      </c>
      <c r="X692" s="81" t="s">
        <v>2349</v>
      </c>
      <c r="Y692" s="81">
        <v>0</v>
      </c>
      <c r="Z692" s="88">
        <v>44237.660046296296</v>
      </c>
      <c r="AA692" s="88">
        <v>44237.660046296296</v>
      </c>
      <c r="AB692" s="81"/>
      <c r="AC692" s="81"/>
      <c r="AD692" s="84" t="s">
        <v>2390</v>
      </c>
      <c r="AE692" s="82">
        <v>1</v>
      </c>
      <c r="AF692" s="83" t="str">
        <f>REPLACE(INDEX(GroupVertices[Group],MATCH(Edges[[#This Row],[Vertex 1]],GroupVertices[Vertex],0)),1,1,"")</f>
        <v>2</v>
      </c>
      <c r="AG692" s="83" t="str">
        <f>REPLACE(INDEX(GroupVertices[Group],MATCH(Edges[[#This Row],[Vertex 2]],GroupVertices[Vertex],0)),1,1,"")</f>
        <v>2</v>
      </c>
      <c r="AH692" s="111">
        <v>0</v>
      </c>
      <c r="AI692" s="112">
        <v>0</v>
      </c>
      <c r="AJ692" s="111">
        <v>0</v>
      </c>
      <c r="AK692" s="112">
        <v>0</v>
      </c>
      <c r="AL692" s="111">
        <v>0</v>
      </c>
      <c r="AM692" s="112">
        <v>0</v>
      </c>
      <c r="AN692" s="111">
        <v>1</v>
      </c>
      <c r="AO692" s="112">
        <v>100</v>
      </c>
      <c r="AP692" s="111">
        <v>1</v>
      </c>
    </row>
    <row r="693" spans="1:42" ht="15">
      <c r="A693" s="65" t="s">
        <v>773</v>
      </c>
      <c r="B693" s="65" t="s">
        <v>757</v>
      </c>
      <c r="C693" s="66" t="s">
        <v>4651</v>
      </c>
      <c r="D693" s="67">
        <v>3</v>
      </c>
      <c r="E693" s="68"/>
      <c r="F693" s="69">
        <v>40</v>
      </c>
      <c r="G693" s="66"/>
      <c r="H693" s="70"/>
      <c r="I693" s="71"/>
      <c r="J693" s="71"/>
      <c r="K693" s="35" t="s">
        <v>65</v>
      </c>
      <c r="L693" s="79">
        <v>693</v>
      </c>
      <c r="M693" s="79"/>
      <c r="N693" s="73"/>
      <c r="O693" s="81" t="s">
        <v>845</v>
      </c>
      <c r="P693" s="81" t="s">
        <v>847</v>
      </c>
      <c r="Q693" s="84" t="s">
        <v>1505</v>
      </c>
      <c r="R693" s="81" t="s">
        <v>773</v>
      </c>
      <c r="S693" s="81" t="s">
        <v>2132</v>
      </c>
      <c r="T693" s="86" t="str">
        <f>HYPERLINK("http://www.youtube.com/channel/UC3HQFQ3A1f7bOQ6Op3sO6VA")</f>
        <v>http://www.youtube.com/channel/UC3HQFQ3A1f7bOQ6Op3sO6VA</v>
      </c>
      <c r="U693" s="81" t="s">
        <v>2299</v>
      </c>
      <c r="V693" s="81" t="s">
        <v>2335</v>
      </c>
      <c r="W693" s="86" t="str">
        <f>HYPERLINK("https://www.youtube.com/watch?v=")</f>
        <v>https://www.youtube.com/watch?v=</v>
      </c>
      <c r="X693" s="81" t="s">
        <v>2349</v>
      </c>
      <c r="Y693" s="81">
        <v>0</v>
      </c>
      <c r="Z693" s="88">
        <v>44249.631377314814</v>
      </c>
      <c r="AA693" s="88">
        <v>44249.631377314814</v>
      </c>
      <c r="AB693" s="81"/>
      <c r="AC693" s="81"/>
      <c r="AD693" s="84" t="s">
        <v>2390</v>
      </c>
      <c r="AE693" s="82">
        <v>1</v>
      </c>
      <c r="AF693" s="83" t="str">
        <f>REPLACE(INDEX(GroupVertices[Group],MATCH(Edges[[#This Row],[Vertex 1]],GroupVertices[Vertex],0)),1,1,"")</f>
        <v>2</v>
      </c>
      <c r="AG693" s="83" t="str">
        <f>REPLACE(INDEX(GroupVertices[Group],MATCH(Edges[[#This Row],[Vertex 2]],GroupVertices[Vertex],0)),1,1,"")</f>
        <v>2</v>
      </c>
      <c r="AH693" s="111">
        <v>1</v>
      </c>
      <c r="AI693" s="112">
        <v>33.333333333333336</v>
      </c>
      <c r="AJ693" s="111">
        <v>0</v>
      </c>
      <c r="AK693" s="112">
        <v>0</v>
      </c>
      <c r="AL693" s="111">
        <v>0</v>
      </c>
      <c r="AM693" s="112">
        <v>0</v>
      </c>
      <c r="AN693" s="111">
        <v>2</v>
      </c>
      <c r="AO693" s="112">
        <v>66.66666666666667</v>
      </c>
      <c r="AP693" s="111">
        <v>3</v>
      </c>
    </row>
    <row r="694" spans="1:42" ht="15">
      <c r="A694" s="65" t="s">
        <v>774</v>
      </c>
      <c r="B694" s="65" t="s">
        <v>757</v>
      </c>
      <c r="C694" s="66" t="s">
        <v>4651</v>
      </c>
      <c r="D694" s="67">
        <v>3</v>
      </c>
      <c r="E694" s="68"/>
      <c r="F694" s="69">
        <v>40</v>
      </c>
      <c r="G694" s="66"/>
      <c r="H694" s="70"/>
      <c r="I694" s="71"/>
      <c r="J694" s="71"/>
      <c r="K694" s="35" t="s">
        <v>65</v>
      </c>
      <c r="L694" s="79">
        <v>694</v>
      </c>
      <c r="M694" s="79"/>
      <c r="N694" s="73"/>
      <c r="O694" s="81" t="s">
        <v>845</v>
      </c>
      <c r="P694" s="81" t="s">
        <v>847</v>
      </c>
      <c r="Q694" s="84" t="s">
        <v>1506</v>
      </c>
      <c r="R694" s="81" t="s">
        <v>774</v>
      </c>
      <c r="S694" s="81" t="s">
        <v>2133</v>
      </c>
      <c r="T694" s="86" t="str">
        <f>HYPERLINK("http://www.youtube.com/channel/UCwP0bxHg-8LXbS1QMYzhSRA")</f>
        <v>http://www.youtube.com/channel/UCwP0bxHg-8LXbS1QMYzhSRA</v>
      </c>
      <c r="U694" s="81" t="s">
        <v>2299</v>
      </c>
      <c r="V694" s="81" t="s">
        <v>2335</v>
      </c>
      <c r="W694" s="86" t="str">
        <f>HYPERLINK("https://www.youtube.com/watch?v=")</f>
        <v>https://www.youtube.com/watch?v=</v>
      </c>
      <c r="X694" s="81" t="s">
        <v>2349</v>
      </c>
      <c r="Y694" s="81">
        <v>0</v>
      </c>
      <c r="Z694" s="88">
        <v>44252.80625</v>
      </c>
      <c r="AA694" s="88">
        <v>44252.80625</v>
      </c>
      <c r="AB694" s="81"/>
      <c r="AC694" s="81"/>
      <c r="AD694" s="84" t="s">
        <v>2390</v>
      </c>
      <c r="AE694" s="82">
        <v>1</v>
      </c>
      <c r="AF694" s="83" t="str">
        <f>REPLACE(INDEX(GroupVertices[Group],MATCH(Edges[[#This Row],[Vertex 1]],GroupVertices[Vertex],0)),1,1,"")</f>
        <v>2</v>
      </c>
      <c r="AG694" s="83" t="str">
        <f>REPLACE(INDEX(GroupVertices[Group],MATCH(Edges[[#This Row],[Vertex 2]],GroupVertices[Vertex],0)),1,1,"")</f>
        <v>2</v>
      </c>
      <c r="AH694" s="111">
        <v>0</v>
      </c>
      <c r="AI694" s="112">
        <v>0</v>
      </c>
      <c r="AJ694" s="111">
        <v>0</v>
      </c>
      <c r="AK694" s="112">
        <v>0</v>
      </c>
      <c r="AL694" s="111">
        <v>0</v>
      </c>
      <c r="AM694" s="112">
        <v>0</v>
      </c>
      <c r="AN694" s="111">
        <v>1</v>
      </c>
      <c r="AO694" s="112">
        <v>100</v>
      </c>
      <c r="AP694" s="111">
        <v>1</v>
      </c>
    </row>
    <row r="695" spans="1:42" ht="15">
      <c r="A695" s="65" t="s">
        <v>775</v>
      </c>
      <c r="B695" s="65" t="s">
        <v>757</v>
      </c>
      <c r="C695" s="66" t="s">
        <v>4651</v>
      </c>
      <c r="D695" s="67">
        <v>3</v>
      </c>
      <c r="E695" s="68"/>
      <c r="F695" s="69">
        <v>40</v>
      </c>
      <c r="G695" s="66"/>
      <c r="H695" s="70"/>
      <c r="I695" s="71"/>
      <c r="J695" s="71"/>
      <c r="K695" s="35" t="s">
        <v>65</v>
      </c>
      <c r="L695" s="79">
        <v>695</v>
      </c>
      <c r="M695" s="79"/>
      <c r="N695" s="73"/>
      <c r="O695" s="81" t="s">
        <v>845</v>
      </c>
      <c r="P695" s="81" t="s">
        <v>847</v>
      </c>
      <c r="Q695" s="84" t="s">
        <v>1506</v>
      </c>
      <c r="R695" s="81" t="s">
        <v>775</v>
      </c>
      <c r="S695" s="81" t="s">
        <v>2134</v>
      </c>
      <c r="T695" s="86" t="str">
        <f>HYPERLINK("http://www.youtube.com/channel/UCN7DbIpJ94hcULRngZR-qRA")</f>
        <v>http://www.youtube.com/channel/UCN7DbIpJ94hcULRngZR-qRA</v>
      </c>
      <c r="U695" s="81" t="s">
        <v>2299</v>
      </c>
      <c r="V695" s="81" t="s">
        <v>2335</v>
      </c>
      <c r="W695" s="86" t="str">
        <f>HYPERLINK("https://www.youtube.com/watch?v=")</f>
        <v>https://www.youtube.com/watch?v=</v>
      </c>
      <c r="X695" s="81" t="s">
        <v>2349</v>
      </c>
      <c r="Y695" s="81">
        <v>0</v>
      </c>
      <c r="Z695" s="88">
        <v>44257.45581018519</v>
      </c>
      <c r="AA695" s="88">
        <v>44257.45581018519</v>
      </c>
      <c r="AB695" s="81"/>
      <c r="AC695" s="81"/>
      <c r="AD695" s="84" t="s">
        <v>2390</v>
      </c>
      <c r="AE695" s="82">
        <v>1</v>
      </c>
      <c r="AF695" s="83" t="str">
        <f>REPLACE(INDEX(GroupVertices[Group],MATCH(Edges[[#This Row],[Vertex 1]],GroupVertices[Vertex],0)),1,1,"")</f>
        <v>2</v>
      </c>
      <c r="AG695" s="83" t="str">
        <f>REPLACE(INDEX(GroupVertices[Group],MATCH(Edges[[#This Row],[Vertex 2]],GroupVertices[Vertex],0)),1,1,"")</f>
        <v>2</v>
      </c>
      <c r="AH695" s="111">
        <v>0</v>
      </c>
      <c r="AI695" s="112">
        <v>0</v>
      </c>
      <c r="AJ695" s="111">
        <v>0</v>
      </c>
      <c r="AK695" s="112">
        <v>0</v>
      </c>
      <c r="AL695" s="111">
        <v>0</v>
      </c>
      <c r="AM695" s="112">
        <v>0</v>
      </c>
      <c r="AN695" s="111">
        <v>1</v>
      </c>
      <c r="AO695" s="112">
        <v>100</v>
      </c>
      <c r="AP695" s="111">
        <v>1</v>
      </c>
    </row>
    <row r="696" spans="1:42" ht="15">
      <c r="A696" s="65" t="s">
        <v>776</v>
      </c>
      <c r="B696" s="65" t="s">
        <v>757</v>
      </c>
      <c r="C696" s="66" t="s">
        <v>4651</v>
      </c>
      <c r="D696" s="67">
        <v>3</v>
      </c>
      <c r="E696" s="68"/>
      <c r="F696" s="69">
        <v>40</v>
      </c>
      <c r="G696" s="66"/>
      <c r="H696" s="70"/>
      <c r="I696" s="71"/>
      <c r="J696" s="71"/>
      <c r="K696" s="35" t="s">
        <v>65</v>
      </c>
      <c r="L696" s="79">
        <v>696</v>
      </c>
      <c r="M696" s="79"/>
      <c r="N696" s="73"/>
      <c r="O696" s="81" t="s">
        <v>845</v>
      </c>
      <c r="P696" s="81" t="s">
        <v>847</v>
      </c>
      <c r="Q696" s="84" t="s">
        <v>1050</v>
      </c>
      <c r="R696" s="81" t="s">
        <v>776</v>
      </c>
      <c r="S696" s="81" t="s">
        <v>2135</v>
      </c>
      <c r="T696" s="86" t="str">
        <f>HYPERLINK("http://www.youtube.com/channel/UCYdODoJdVvDp-9z2mt6wgyQ")</f>
        <v>http://www.youtube.com/channel/UCYdODoJdVvDp-9z2mt6wgyQ</v>
      </c>
      <c r="U696" s="81" t="s">
        <v>2299</v>
      </c>
      <c r="V696" s="81" t="s">
        <v>2335</v>
      </c>
      <c r="W696" s="86" t="str">
        <f>HYPERLINK("https://www.youtube.com/watch?v=")</f>
        <v>https://www.youtube.com/watch?v=</v>
      </c>
      <c r="X696" s="81" t="s">
        <v>2349</v>
      </c>
      <c r="Y696" s="81">
        <v>0</v>
      </c>
      <c r="Z696" s="88">
        <v>44260.06798611111</v>
      </c>
      <c r="AA696" s="88">
        <v>44260.06798611111</v>
      </c>
      <c r="AB696" s="81"/>
      <c r="AC696" s="81"/>
      <c r="AD696" s="84" t="s">
        <v>2390</v>
      </c>
      <c r="AE696" s="82">
        <v>1</v>
      </c>
      <c r="AF696" s="83" t="str">
        <f>REPLACE(INDEX(GroupVertices[Group],MATCH(Edges[[#This Row],[Vertex 1]],GroupVertices[Vertex],0)),1,1,"")</f>
        <v>2</v>
      </c>
      <c r="AG696" s="83" t="str">
        <f>REPLACE(INDEX(GroupVertices[Group],MATCH(Edges[[#This Row],[Vertex 2]],GroupVertices[Vertex],0)),1,1,"")</f>
        <v>2</v>
      </c>
      <c r="AH696" s="111">
        <v>0</v>
      </c>
      <c r="AI696" s="112">
        <v>0</v>
      </c>
      <c r="AJ696" s="111">
        <v>0</v>
      </c>
      <c r="AK696" s="112">
        <v>0</v>
      </c>
      <c r="AL696" s="111">
        <v>0</v>
      </c>
      <c r="AM696" s="112">
        <v>0</v>
      </c>
      <c r="AN696" s="111">
        <v>1</v>
      </c>
      <c r="AO696" s="112">
        <v>100</v>
      </c>
      <c r="AP696" s="111">
        <v>1</v>
      </c>
    </row>
    <row r="697" spans="1:42" ht="15">
      <c r="A697" s="65" t="s">
        <v>777</v>
      </c>
      <c r="B697" s="65" t="s">
        <v>757</v>
      </c>
      <c r="C697" s="66" t="s">
        <v>4651</v>
      </c>
      <c r="D697" s="67">
        <v>3</v>
      </c>
      <c r="E697" s="68"/>
      <c r="F697" s="69">
        <v>40</v>
      </c>
      <c r="G697" s="66"/>
      <c r="H697" s="70"/>
      <c r="I697" s="71"/>
      <c r="J697" s="71"/>
      <c r="K697" s="35" t="s">
        <v>65</v>
      </c>
      <c r="L697" s="79">
        <v>697</v>
      </c>
      <c r="M697" s="79"/>
      <c r="N697" s="73"/>
      <c r="O697" s="81" t="s">
        <v>845</v>
      </c>
      <c r="P697" s="81" t="s">
        <v>847</v>
      </c>
      <c r="Q697" s="84" t="s">
        <v>1507</v>
      </c>
      <c r="R697" s="81" t="s">
        <v>777</v>
      </c>
      <c r="S697" s="81" t="s">
        <v>2136</v>
      </c>
      <c r="T697" s="86" t="str">
        <f>HYPERLINK("http://www.youtube.com/channel/UCUZeBEoKiTTz0pPp5pii-aw")</f>
        <v>http://www.youtube.com/channel/UCUZeBEoKiTTz0pPp5pii-aw</v>
      </c>
      <c r="U697" s="81" t="s">
        <v>2299</v>
      </c>
      <c r="V697" s="81" t="s">
        <v>2335</v>
      </c>
      <c r="W697" s="86" t="str">
        <f>HYPERLINK("https://www.youtube.com/watch?v=")</f>
        <v>https://www.youtube.com/watch?v=</v>
      </c>
      <c r="X697" s="81" t="s">
        <v>2349</v>
      </c>
      <c r="Y697" s="81">
        <v>0</v>
      </c>
      <c r="Z697" s="88">
        <v>44310.942037037035</v>
      </c>
      <c r="AA697" s="88">
        <v>44310.942037037035</v>
      </c>
      <c r="AB697" s="81"/>
      <c r="AC697" s="81"/>
      <c r="AD697" s="84" t="s">
        <v>2390</v>
      </c>
      <c r="AE697" s="82">
        <v>1</v>
      </c>
      <c r="AF697" s="83" t="str">
        <f>REPLACE(INDEX(GroupVertices[Group],MATCH(Edges[[#This Row],[Vertex 1]],GroupVertices[Vertex],0)),1,1,"")</f>
        <v>2</v>
      </c>
      <c r="AG697" s="83" t="str">
        <f>REPLACE(INDEX(GroupVertices[Group],MATCH(Edges[[#This Row],[Vertex 2]],GroupVertices[Vertex],0)),1,1,"")</f>
        <v>2</v>
      </c>
      <c r="AH697" s="111">
        <v>0</v>
      </c>
      <c r="AI697" s="112">
        <v>0</v>
      </c>
      <c r="AJ697" s="111">
        <v>0</v>
      </c>
      <c r="AK697" s="112">
        <v>0</v>
      </c>
      <c r="AL697" s="111">
        <v>0</v>
      </c>
      <c r="AM697" s="112">
        <v>0</v>
      </c>
      <c r="AN697" s="111">
        <v>8</v>
      </c>
      <c r="AO697" s="112">
        <v>100</v>
      </c>
      <c r="AP697" s="111">
        <v>8</v>
      </c>
    </row>
    <row r="698" spans="1:42" ht="15">
      <c r="A698" s="65" t="s">
        <v>778</v>
      </c>
      <c r="B698" s="65" t="s">
        <v>757</v>
      </c>
      <c r="C698" s="66" t="s">
        <v>4651</v>
      </c>
      <c r="D698" s="67">
        <v>3</v>
      </c>
      <c r="E698" s="68"/>
      <c r="F698" s="69">
        <v>40</v>
      </c>
      <c r="G698" s="66"/>
      <c r="H698" s="70"/>
      <c r="I698" s="71"/>
      <c r="J698" s="71"/>
      <c r="K698" s="35" t="s">
        <v>65</v>
      </c>
      <c r="L698" s="79">
        <v>698</v>
      </c>
      <c r="M698" s="79"/>
      <c r="N698" s="73"/>
      <c r="O698" s="81" t="s">
        <v>845</v>
      </c>
      <c r="P698" s="81" t="s">
        <v>847</v>
      </c>
      <c r="Q698" s="84" t="s">
        <v>1490</v>
      </c>
      <c r="R698" s="81" t="s">
        <v>778</v>
      </c>
      <c r="S698" s="81" t="s">
        <v>2137</v>
      </c>
      <c r="T698" s="86" t="str">
        <f>HYPERLINK("http://www.youtube.com/channel/UCy4crOLyffyAStwBkGRO9hg")</f>
        <v>http://www.youtube.com/channel/UCy4crOLyffyAStwBkGRO9hg</v>
      </c>
      <c r="U698" s="81" t="s">
        <v>2299</v>
      </c>
      <c r="V698" s="81" t="s">
        <v>2335</v>
      </c>
      <c r="W698" s="86" t="str">
        <f>HYPERLINK("https://www.youtube.com/watch?v=")</f>
        <v>https://www.youtube.com/watch?v=</v>
      </c>
      <c r="X698" s="81" t="s">
        <v>2349</v>
      </c>
      <c r="Y698" s="81">
        <v>0</v>
      </c>
      <c r="Z698" s="88">
        <v>44322.314351851855</v>
      </c>
      <c r="AA698" s="88">
        <v>44322.314351851855</v>
      </c>
      <c r="AB698" s="81"/>
      <c r="AC698" s="81"/>
      <c r="AD698" s="84" t="s">
        <v>2390</v>
      </c>
      <c r="AE698" s="82">
        <v>1</v>
      </c>
      <c r="AF698" s="83" t="str">
        <f>REPLACE(INDEX(GroupVertices[Group],MATCH(Edges[[#This Row],[Vertex 1]],GroupVertices[Vertex],0)),1,1,"")</f>
        <v>2</v>
      </c>
      <c r="AG698" s="83" t="str">
        <f>REPLACE(INDEX(GroupVertices[Group],MATCH(Edges[[#This Row],[Vertex 2]],GroupVertices[Vertex],0)),1,1,"")</f>
        <v>2</v>
      </c>
      <c r="AH698" s="111">
        <v>0</v>
      </c>
      <c r="AI698" s="112">
        <v>0</v>
      </c>
      <c r="AJ698" s="111">
        <v>0</v>
      </c>
      <c r="AK698" s="112">
        <v>0</v>
      </c>
      <c r="AL698" s="111">
        <v>0</v>
      </c>
      <c r="AM698" s="112">
        <v>0</v>
      </c>
      <c r="AN698" s="111">
        <v>1</v>
      </c>
      <c r="AO698" s="112">
        <v>100</v>
      </c>
      <c r="AP698" s="111">
        <v>1</v>
      </c>
    </row>
    <row r="699" spans="1:42" ht="15">
      <c r="A699" s="65" t="s">
        <v>757</v>
      </c>
      <c r="B699" s="65" t="s">
        <v>757</v>
      </c>
      <c r="C699" s="66" t="s">
        <v>4613</v>
      </c>
      <c r="D699" s="67">
        <v>10</v>
      </c>
      <c r="E699" s="68"/>
      <c r="F699" s="69">
        <v>15</v>
      </c>
      <c r="G699" s="66"/>
      <c r="H699" s="70"/>
      <c r="I699" s="71"/>
      <c r="J699" s="71"/>
      <c r="K699" s="35" t="s">
        <v>65</v>
      </c>
      <c r="L699" s="79">
        <v>699</v>
      </c>
      <c r="M699" s="79"/>
      <c r="N699" s="73"/>
      <c r="O699" s="81" t="s">
        <v>845</v>
      </c>
      <c r="P699" s="81" t="s">
        <v>847</v>
      </c>
      <c r="Q699" s="84" t="s">
        <v>1508</v>
      </c>
      <c r="R699" s="81" t="s">
        <v>757</v>
      </c>
      <c r="S699" s="81" t="s">
        <v>2116</v>
      </c>
      <c r="T699" s="86" t="str">
        <f>HYPERLINK("http://www.youtube.com/channel/UClnojW-58I9WE8weIj_0J9A")</f>
        <v>http://www.youtube.com/channel/UClnojW-58I9WE8weIj_0J9A</v>
      </c>
      <c r="U699" s="81" t="s">
        <v>2299</v>
      </c>
      <c r="V699" s="81" t="s">
        <v>2335</v>
      </c>
      <c r="W699" s="86" t="str">
        <f>HYPERLINK("https://www.youtube.com/watch?v=")</f>
        <v>https://www.youtube.com/watch?v=</v>
      </c>
      <c r="X699" s="81" t="s">
        <v>2349</v>
      </c>
      <c r="Y699" s="81">
        <v>8</v>
      </c>
      <c r="Z699" s="88">
        <v>43924.83689814815</v>
      </c>
      <c r="AA699" s="88">
        <v>43924.83689814815</v>
      </c>
      <c r="AB699" s="81"/>
      <c r="AC699" s="81"/>
      <c r="AD699" s="84" t="s">
        <v>2390</v>
      </c>
      <c r="AE699" s="82">
        <v>4</v>
      </c>
      <c r="AF699" s="83" t="str">
        <f>REPLACE(INDEX(GroupVertices[Group],MATCH(Edges[[#This Row],[Vertex 1]],GroupVertices[Vertex],0)),1,1,"")</f>
        <v>2</v>
      </c>
      <c r="AG699" s="83" t="str">
        <f>REPLACE(INDEX(GroupVertices[Group],MATCH(Edges[[#This Row],[Vertex 2]],GroupVertices[Vertex],0)),1,1,"")</f>
        <v>2</v>
      </c>
      <c r="AH699" s="111">
        <v>0</v>
      </c>
      <c r="AI699" s="112">
        <v>0</v>
      </c>
      <c r="AJ699" s="111">
        <v>0</v>
      </c>
      <c r="AK699" s="112">
        <v>0</v>
      </c>
      <c r="AL699" s="111">
        <v>0</v>
      </c>
      <c r="AM699" s="112">
        <v>0</v>
      </c>
      <c r="AN699" s="111">
        <v>4</v>
      </c>
      <c r="AO699" s="112">
        <v>100</v>
      </c>
      <c r="AP699" s="111">
        <v>4</v>
      </c>
    </row>
    <row r="700" spans="1:42" ht="15">
      <c r="A700" s="65" t="s">
        <v>757</v>
      </c>
      <c r="B700" s="65" t="s">
        <v>757</v>
      </c>
      <c r="C700" s="66" t="s">
        <v>4613</v>
      </c>
      <c r="D700" s="67">
        <v>10</v>
      </c>
      <c r="E700" s="68"/>
      <c r="F700" s="69">
        <v>15</v>
      </c>
      <c r="G700" s="66"/>
      <c r="H700" s="70"/>
      <c r="I700" s="71"/>
      <c r="J700" s="71"/>
      <c r="K700" s="35" t="s">
        <v>65</v>
      </c>
      <c r="L700" s="79">
        <v>700</v>
      </c>
      <c r="M700" s="79"/>
      <c r="N700" s="73"/>
      <c r="O700" s="81" t="s">
        <v>845</v>
      </c>
      <c r="P700" s="81" t="s">
        <v>847</v>
      </c>
      <c r="Q700" s="84" t="s">
        <v>1509</v>
      </c>
      <c r="R700" s="81" t="s">
        <v>757</v>
      </c>
      <c r="S700" s="81" t="s">
        <v>2116</v>
      </c>
      <c r="T700" s="86" t="str">
        <f>HYPERLINK("http://www.youtube.com/channel/UClnojW-58I9WE8weIj_0J9A")</f>
        <v>http://www.youtube.com/channel/UClnojW-58I9WE8weIj_0J9A</v>
      </c>
      <c r="U700" s="81" t="s">
        <v>2299</v>
      </c>
      <c r="V700" s="81" t="s">
        <v>2335</v>
      </c>
      <c r="W700" s="86" t="str">
        <f>HYPERLINK("https://www.youtube.com/watch?v=")</f>
        <v>https://www.youtube.com/watch?v=</v>
      </c>
      <c r="X700" s="81" t="s">
        <v>2349</v>
      </c>
      <c r="Y700" s="81">
        <v>3</v>
      </c>
      <c r="Z700" s="88">
        <v>43944.64748842592</v>
      </c>
      <c r="AA700" s="88">
        <v>43944.64748842592</v>
      </c>
      <c r="AB700" s="81"/>
      <c r="AC700" s="81"/>
      <c r="AD700" s="84" t="s">
        <v>2390</v>
      </c>
      <c r="AE700" s="82">
        <v>4</v>
      </c>
      <c r="AF700" s="83" t="str">
        <f>REPLACE(INDEX(GroupVertices[Group],MATCH(Edges[[#This Row],[Vertex 1]],GroupVertices[Vertex],0)),1,1,"")</f>
        <v>2</v>
      </c>
      <c r="AG700" s="83" t="str">
        <f>REPLACE(INDEX(GroupVertices[Group],MATCH(Edges[[#This Row],[Vertex 2]],GroupVertices[Vertex],0)),1,1,"")</f>
        <v>2</v>
      </c>
      <c r="AH700" s="111">
        <v>1</v>
      </c>
      <c r="AI700" s="112">
        <v>12.5</v>
      </c>
      <c r="AJ700" s="111">
        <v>0</v>
      </c>
      <c r="AK700" s="112">
        <v>0</v>
      </c>
      <c r="AL700" s="111">
        <v>0</v>
      </c>
      <c r="AM700" s="112">
        <v>0</v>
      </c>
      <c r="AN700" s="111">
        <v>7</v>
      </c>
      <c r="AO700" s="112">
        <v>87.5</v>
      </c>
      <c r="AP700" s="111">
        <v>8</v>
      </c>
    </row>
    <row r="701" spans="1:42" ht="15">
      <c r="A701" s="65" t="s">
        <v>757</v>
      </c>
      <c r="B701" s="65" t="s">
        <v>757</v>
      </c>
      <c r="C701" s="66" t="s">
        <v>4613</v>
      </c>
      <c r="D701" s="67">
        <v>10</v>
      </c>
      <c r="E701" s="68"/>
      <c r="F701" s="69">
        <v>15</v>
      </c>
      <c r="G701" s="66"/>
      <c r="H701" s="70"/>
      <c r="I701" s="71"/>
      <c r="J701" s="71"/>
      <c r="K701" s="35" t="s">
        <v>65</v>
      </c>
      <c r="L701" s="79">
        <v>701</v>
      </c>
      <c r="M701" s="79"/>
      <c r="N701" s="73"/>
      <c r="O701" s="81" t="s">
        <v>845</v>
      </c>
      <c r="P701" s="81" t="s">
        <v>847</v>
      </c>
      <c r="Q701" s="84" t="s">
        <v>1510</v>
      </c>
      <c r="R701" s="81" t="s">
        <v>757</v>
      </c>
      <c r="S701" s="81" t="s">
        <v>2116</v>
      </c>
      <c r="T701" s="86" t="str">
        <f>HYPERLINK("http://www.youtube.com/channel/UClnojW-58I9WE8weIj_0J9A")</f>
        <v>http://www.youtube.com/channel/UClnojW-58I9WE8weIj_0J9A</v>
      </c>
      <c r="U701" s="81" t="s">
        <v>2299</v>
      </c>
      <c r="V701" s="81" t="s">
        <v>2335</v>
      </c>
      <c r="W701" s="86" t="str">
        <f>HYPERLINK("https://www.youtube.com/watch?v=")</f>
        <v>https://www.youtube.com/watch?v=</v>
      </c>
      <c r="X701" s="81" t="s">
        <v>2349</v>
      </c>
      <c r="Y701" s="81">
        <v>2</v>
      </c>
      <c r="Z701" s="88">
        <v>43944.6475462963</v>
      </c>
      <c r="AA701" s="88">
        <v>43944.6475462963</v>
      </c>
      <c r="AB701" s="81"/>
      <c r="AC701" s="81"/>
      <c r="AD701" s="84" t="s">
        <v>2390</v>
      </c>
      <c r="AE701" s="82">
        <v>4</v>
      </c>
      <c r="AF701" s="83" t="str">
        <f>REPLACE(INDEX(GroupVertices[Group],MATCH(Edges[[#This Row],[Vertex 1]],GroupVertices[Vertex],0)),1,1,"")</f>
        <v>2</v>
      </c>
      <c r="AG701" s="83" t="str">
        <f>REPLACE(INDEX(GroupVertices[Group],MATCH(Edges[[#This Row],[Vertex 2]],GroupVertices[Vertex],0)),1,1,"")</f>
        <v>2</v>
      </c>
      <c r="AH701" s="111">
        <v>0</v>
      </c>
      <c r="AI701" s="112">
        <v>0</v>
      </c>
      <c r="AJ701" s="111">
        <v>0</v>
      </c>
      <c r="AK701" s="112">
        <v>0</v>
      </c>
      <c r="AL701" s="111">
        <v>0</v>
      </c>
      <c r="AM701" s="112">
        <v>0</v>
      </c>
      <c r="AN701" s="111">
        <v>3</v>
      </c>
      <c r="AO701" s="112">
        <v>100</v>
      </c>
      <c r="AP701" s="111">
        <v>3</v>
      </c>
    </row>
    <row r="702" spans="1:42" ht="15">
      <c r="A702" s="65" t="s">
        <v>757</v>
      </c>
      <c r="B702" s="65" t="s">
        <v>757</v>
      </c>
      <c r="C702" s="66" t="s">
        <v>4613</v>
      </c>
      <c r="D702" s="67">
        <v>10</v>
      </c>
      <c r="E702" s="68"/>
      <c r="F702" s="69">
        <v>15</v>
      </c>
      <c r="G702" s="66"/>
      <c r="H702" s="70"/>
      <c r="I702" s="71"/>
      <c r="J702" s="71"/>
      <c r="K702" s="35" t="s">
        <v>65</v>
      </c>
      <c r="L702" s="79">
        <v>702</v>
      </c>
      <c r="M702" s="79"/>
      <c r="N702" s="73"/>
      <c r="O702" s="81" t="s">
        <v>845</v>
      </c>
      <c r="P702" s="81" t="s">
        <v>847</v>
      </c>
      <c r="Q702" s="84" t="s">
        <v>1511</v>
      </c>
      <c r="R702" s="81" t="s">
        <v>757</v>
      </c>
      <c r="S702" s="81" t="s">
        <v>2116</v>
      </c>
      <c r="T702" s="86" t="str">
        <f>HYPERLINK("http://www.youtube.com/channel/UClnojW-58I9WE8weIj_0J9A")</f>
        <v>http://www.youtube.com/channel/UClnojW-58I9WE8weIj_0J9A</v>
      </c>
      <c r="U702" s="81" t="s">
        <v>2299</v>
      </c>
      <c r="V702" s="81" t="s">
        <v>2335</v>
      </c>
      <c r="W702" s="86" t="str">
        <f>HYPERLINK("https://www.youtube.com/watch?v=")</f>
        <v>https://www.youtube.com/watch?v=</v>
      </c>
      <c r="X702" s="81" t="s">
        <v>2349</v>
      </c>
      <c r="Y702" s="81">
        <v>1</v>
      </c>
      <c r="Z702" s="88">
        <v>43978.55908564815</v>
      </c>
      <c r="AA702" s="88">
        <v>43978.55908564815</v>
      </c>
      <c r="AB702" s="81"/>
      <c r="AC702" s="81"/>
      <c r="AD702" s="84" t="s">
        <v>2390</v>
      </c>
      <c r="AE702" s="82">
        <v>4</v>
      </c>
      <c r="AF702" s="83" t="str">
        <f>REPLACE(INDEX(GroupVertices[Group],MATCH(Edges[[#This Row],[Vertex 1]],GroupVertices[Vertex],0)),1,1,"")</f>
        <v>2</v>
      </c>
      <c r="AG702" s="83" t="str">
        <f>REPLACE(INDEX(GroupVertices[Group],MATCH(Edges[[#This Row],[Vertex 2]],GroupVertices[Vertex],0)),1,1,"")</f>
        <v>2</v>
      </c>
      <c r="AH702" s="111">
        <v>0</v>
      </c>
      <c r="AI702" s="112">
        <v>0</v>
      </c>
      <c r="AJ702" s="111">
        <v>0</v>
      </c>
      <c r="AK702" s="112">
        <v>0</v>
      </c>
      <c r="AL702" s="111">
        <v>0</v>
      </c>
      <c r="AM702" s="112">
        <v>0</v>
      </c>
      <c r="AN702" s="111">
        <v>6</v>
      </c>
      <c r="AO702" s="112">
        <v>100</v>
      </c>
      <c r="AP702" s="111">
        <v>6</v>
      </c>
    </row>
    <row r="703" spans="1:42" ht="15">
      <c r="A703" s="65" t="s">
        <v>779</v>
      </c>
      <c r="B703" s="65" t="s">
        <v>757</v>
      </c>
      <c r="C703" s="66" t="s">
        <v>4651</v>
      </c>
      <c r="D703" s="67">
        <v>3</v>
      </c>
      <c r="E703" s="68"/>
      <c r="F703" s="69">
        <v>40</v>
      </c>
      <c r="G703" s="66"/>
      <c r="H703" s="70"/>
      <c r="I703" s="71"/>
      <c r="J703" s="71"/>
      <c r="K703" s="35" t="s">
        <v>65</v>
      </c>
      <c r="L703" s="79">
        <v>703</v>
      </c>
      <c r="M703" s="79"/>
      <c r="N703" s="73"/>
      <c r="O703" s="81" t="s">
        <v>845</v>
      </c>
      <c r="P703" s="81" t="s">
        <v>847</v>
      </c>
      <c r="Q703" s="84" t="s">
        <v>1050</v>
      </c>
      <c r="R703" s="81" t="s">
        <v>779</v>
      </c>
      <c r="S703" s="81" t="s">
        <v>2138</v>
      </c>
      <c r="T703" s="86" t="str">
        <f>HYPERLINK("http://www.youtube.com/channel/UCdf__4wGpIoAJUxaHzh52Rg")</f>
        <v>http://www.youtube.com/channel/UCdf__4wGpIoAJUxaHzh52Rg</v>
      </c>
      <c r="U703" s="81" t="s">
        <v>2299</v>
      </c>
      <c r="V703" s="81" t="s">
        <v>2335</v>
      </c>
      <c r="W703" s="86" t="str">
        <f>HYPERLINK("https://www.youtube.com/watch?v=")</f>
        <v>https://www.youtube.com/watch?v=</v>
      </c>
      <c r="X703" s="81" t="s">
        <v>2349</v>
      </c>
      <c r="Y703" s="81">
        <v>1</v>
      </c>
      <c r="Z703" s="88">
        <v>43988.11756944445</v>
      </c>
      <c r="AA703" s="88">
        <v>43988.11756944445</v>
      </c>
      <c r="AB703" s="81"/>
      <c r="AC703" s="81"/>
      <c r="AD703" s="84" t="s">
        <v>2390</v>
      </c>
      <c r="AE703" s="82">
        <v>1</v>
      </c>
      <c r="AF703" s="83" t="str">
        <f>REPLACE(INDEX(GroupVertices[Group],MATCH(Edges[[#This Row],[Vertex 1]],GroupVertices[Vertex],0)),1,1,"")</f>
        <v>2</v>
      </c>
      <c r="AG703" s="83" t="str">
        <f>REPLACE(INDEX(GroupVertices[Group],MATCH(Edges[[#This Row],[Vertex 2]],GroupVertices[Vertex],0)),1,1,"")</f>
        <v>2</v>
      </c>
      <c r="AH703" s="111">
        <v>0</v>
      </c>
      <c r="AI703" s="112">
        <v>0</v>
      </c>
      <c r="AJ703" s="111">
        <v>0</v>
      </c>
      <c r="AK703" s="112">
        <v>0</v>
      </c>
      <c r="AL703" s="111">
        <v>0</v>
      </c>
      <c r="AM703" s="112">
        <v>0</v>
      </c>
      <c r="AN703" s="111">
        <v>1</v>
      </c>
      <c r="AO703" s="112">
        <v>100</v>
      </c>
      <c r="AP703" s="111">
        <v>1</v>
      </c>
    </row>
    <row r="704" spans="1:42" ht="15">
      <c r="A704" s="65" t="s">
        <v>780</v>
      </c>
      <c r="B704" s="65" t="s">
        <v>757</v>
      </c>
      <c r="C704" s="66" t="s">
        <v>4651</v>
      </c>
      <c r="D704" s="67">
        <v>3</v>
      </c>
      <c r="E704" s="68"/>
      <c r="F704" s="69">
        <v>40</v>
      </c>
      <c r="G704" s="66"/>
      <c r="H704" s="70"/>
      <c r="I704" s="71"/>
      <c r="J704" s="71"/>
      <c r="K704" s="35" t="s">
        <v>65</v>
      </c>
      <c r="L704" s="79">
        <v>704</v>
      </c>
      <c r="M704" s="79"/>
      <c r="N704" s="73"/>
      <c r="O704" s="81" t="s">
        <v>845</v>
      </c>
      <c r="P704" s="81" t="s">
        <v>847</v>
      </c>
      <c r="Q704" s="84" t="s">
        <v>1512</v>
      </c>
      <c r="R704" s="81" t="s">
        <v>780</v>
      </c>
      <c r="S704" s="81" t="s">
        <v>2139</v>
      </c>
      <c r="T704" s="86" t="str">
        <f>HYPERLINK("http://www.youtube.com/channel/UCqTGL2iGxZBMK9l4EWPg1Ug")</f>
        <v>http://www.youtube.com/channel/UCqTGL2iGxZBMK9l4EWPg1Ug</v>
      </c>
      <c r="U704" s="81" t="s">
        <v>2299</v>
      </c>
      <c r="V704" s="81" t="s">
        <v>2335</v>
      </c>
      <c r="W704" s="86" t="str">
        <f>HYPERLINK("https://www.youtube.com/watch?v=")</f>
        <v>https://www.youtube.com/watch?v=</v>
      </c>
      <c r="X704" s="81" t="s">
        <v>2349</v>
      </c>
      <c r="Y704" s="81">
        <v>1</v>
      </c>
      <c r="Z704" s="88">
        <v>44166.783680555556</v>
      </c>
      <c r="AA704" s="88">
        <v>44166.783680555556</v>
      </c>
      <c r="AB704" s="81"/>
      <c r="AC704" s="81"/>
      <c r="AD704" s="84" t="s">
        <v>2390</v>
      </c>
      <c r="AE704" s="82">
        <v>1</v>
      </c>
      <c r="AF704" s="83" t="str">
        <f>REPLACE(INDEX(GroupVertices[Group],MATCH(Edges[[#This Row],[Vertex 1]],GroupVertices[Vertex],0)),1,1,"")</f>
        <v>2</v>
      </c>
      <c r="AG704" s="83" t="str">
        <f>REPLACE(INDEX(GroupVertices[Group],MATCH(Edges[[#This Row],[Vertex 2]],GroupVertices[Vertex],0)),1,1,"")</f>
        <v>2</v>
      </c>
      <c r="AH704" s="111">
        <v>0</v>
      </c>
      <c r="AI704" s="112">
        <v>0</v>
      </c>
      <c r="AJ704" s="111">
        <v>0</v>
      </c>
      <c r="AK704" s="112">
        <v>0</v>
      </c>
      <c r="AL704" s="111">
        <v>0</v>
      </c>
      <c r="AM704" s="112">
        <v>0</v>
      </c>
      <c r="AN704" s="111">
        <v>4</v>
      </c>
      <c r="AO704" s="112">
        <v>100</v>
      </c>
      <c r="AP704" s="111">
        <v>4</v>
      </c>
    </row>
    <row r="705" spans="1:42" ht="15">
      <c r="A705" s="65" t="s">
        <v>781</v>
      </c>
      <c r="B705" s="65" t="s">
        <v>757</v>
      </c>
      <c r="C705" s="66" t="s">
        <v>4651</v>
      </c>
      <c r="D705" s="67">
        <v>3</v>
      </c>
      <c r="E705" s="68"/>
      <c r="F705" s="69">
        <v>40</v>
      </c>
      <c r="G705" s="66"/>
      <c r="H705" s="70"/>
      <c r="I705" s="71"/>
      <c r="J705" s="71"/>
      <c r="K705" s="35" t="s">
        <v>65</v>
      </c>
      <c r="L705" s="79">
        <v>705</v>
      </c>
      <c r="M705" s="79"/>
      <c r="N705" s="73"/>
      <c r="O705" s="81" t="s">
        <v>845</v>
      </c>
      <c r="P705" s="81" t="s">
        <v>847</v>
      </c>
      <c r="Q705" s="84" t="s">
        <v>1513</v>
      </c>
      <c r="R705" s="81" t="s">
        <v>781</v>
      </c>
      <c r="S705" s="81" t="s">
        <v>2140</v>
      </c>
      <c r="T705" s="86" t="str">
        <f>HYPERLINK("http://www.youtube.com/channel/UCXptVAEtFVNWoBYkirxhSHg")</f>
        <v>http://www.youtube.com/channel/UCXptVAEtFVNWoBYkirxhSHg</v>
      </c>
      <c r="U705" s="81" t="s">
        <v>2299</v>
      </c>
      <c r="V705" s="81" t="s">
        <v>2335</v>
      </c>
      <c r="W705" s="86" t="str">
        <f>HYPERLINK("https://www.youtube.com/watch?v=")</f>
        <v>https://www.youtube.com/watch?v=</v>
      </c>
      <c r="X705" s="81" t="s">
        <v>2349</v>
      </c>
      <c r="Y705" s="81">
        <v>1</v>
      </c>
      <c r="Z705" s="88">
        <v>44221.23496527778</v>
      </c>
      <c r="AA705" s="88">
        <v>44221.23496527778</v>
      </c>
      <c r="AB705" s="81"/>
      <c r="AC705" s="81"/>
      <c r="AD705" s="84" t="s">
        <v>2390</v>
      </c>
      <c r="AE705" s="82">
        <v>1</v>
      </c>
      <c r="AF705" s="83" t="str">
        <f>REPLACE(INDEX(GroupVertices[Group],MATCH(Edges[[#This Row],[Vertex 1]],GroupVertices[Vertex],0)),1,1,"")</f>
        <v>2</v>
      </c>
      <c r="AG705" s="83" t="str">
        <f>REPLACE(INDEX(GroupVertices[Group],MATCH(Edges[[#This Row],[Vertex 2]],GroupVertices[Vertex],0)),1,1,"")</f>
        <v>2</v>
      </c>
      <c r="AH705" s="111">
        <v>0</v>
      </c>
      <c r="AI705" s="112">
        <v>0</v>
      </c>
      <c r="AJ705" s="111">
        <v>0</v>
      </c>
      <c r="AK705" s="112">
        <v>0</v>
      </c>
      <c r="AL705" s="111">
        <v>0</v>
      </c>
      <c r="AM705" s="112">
        <v>0</v>
      </c>
      <c r="AN705" s="111">
        <v>7</v>
      </c>
      <c r="AO705" s="112">
        <v>100</v>
      </c>
      <c r="AP705" s="111">
        <v>7</v>
      </c>
    </row>
    <row r="706" spans="1:42" ht="15">
      <c r="A706" s="65" t="s">
        <v>782</v>
      </c>
      <c r="B706" s="65" t="s">
        <v>757</v>
      </c>
      <c r="C706" s="66" t="s">
        <v>4651</v>
      </c>
      <c r="D706" s="67">
        <v>3</v>
      </c>
      <c r="E706" s="68"/>
      <c r="F706" s="69">
        <v>40</v>
      </c>
      <c r="G706" s="66"/>
      <c r="H706" s="70"/>
      <c r="I706" s="71"/>
      <c r="J706" s="71"/>
      <c r="K706" s="35" t="s">
        <v>65</v>
      </c>
      <c r="L706" s="79">
        <v>706</v>
      </c>
      <c r="M706" s="79"/>
      <c r="N706" s="73"/>
      <c r="O706" s="81" t="s">
        <v>845</v>
      </c>
      <c r="P706" s="81" t="s">
        <v>847</v>
      </c>
      <c r="Q706" s="84" t="s">
        <v>1514</v>
      </c>
      <c r="R706" s="81" t="s">
        <v>782</v>
      </c>
      <c r="S706" s="81" t="s">
        <v>2141</v>
      </c>
      <c r="T706" s="86" t="str">
        <f>HYPERLINK("http://www.youtube.com/channel/UCYbcr3YlItwbRXxWJhXfPMQ")</f>
        <v>http://www.youtube.com/channel/UCYbcr3YlItwbRXxWJhXfPMQ</v>
      </c>
      <c r="U706" s="81" t="s">
        <v>2299</v>
      </c>
      <c r="V706" s="81" t="s">
        <v>2335</v>
      </c>
      <c r="W706" s="86" t="str">
        <f>HYPERLINK("https://www.youtube.com/watch?v=")</f>
        <v>https://www.youtube.com/watch?v=</v>
      </c>
      <c r="X706" s="81" t="s">
        <v>2349</v>
      </c>
      <c r="Y706" s="81">
        <v>0</v>
      </c>
      <c r="Z706" s="88">
        <v>44235.7812037037</v>
      </c>
      <c r="AA706" s="88">
        <v>44235.7812037037</v>
      </c>
      <c r="AB706" s="81"/>
      <c r="AC706" s="81"/>
      <c r="AD706" s="84" t="s">
        <v>2390</v>
      </c>
      <c r="AE706" s="82">
        <v>1</v>
      </c>
      <c r="AF706" s="83" t="str">
        <f>REPLACE(INDEX(GroupVertices[Group],MATCH(Edges[[#This Row],[Vertex 1]],GroupVertices[Vertex],0)),1,1,"")</f>
        <v>2</v>
      </c>
      <c r="AG706" s="83" t="str">
        <f>REPLACE(INDEX(GroupVertices[Group],MATCH(Edges[[#This Row],[Vertex 2]],GroupVertices[Vertex],0)),1,1,"")</f>
        <v>2</v>
      </c>
      <c r="AH706" s="111">
        <v>0</v>
      </c>
      <c r="AI706" s="112">
        <v>0</v>
      </c>
      <c r="AJ706" s="111">
        <v>0</v>
      </c>
      <c r="AK706" s="112">
        <v>0</v>
      </c>
      <c r="AL706" s="111">
        <v>0</v>
      </c>
      <c r="AM706" s="112">
        <v>0</v>
      </c>
      <c r="AN706" s="111">
        <v>2</v>
      </c>
      <c r="AO706" s="112">
        <v>100</v>
      </c>
      <c r="AP706" s="111">
        <v>2</v>
      </c>
    </row>
    <row r="707" spans="1:42" ht="15">
      <c r="A707" s="65" t="s">
        <v>783</v>
      </c>
      <c r="B707" s="65" t="s">
        <v>757</v>
      </c>
      <c r="C707" s="66" t="s">
        <v>4651</v>
      </c>
      <c r="D707" s="67">
        <v>3</v>
      </c>
      <c r="E707" s="68"/>
      <c r="F707" s="69">
        <v>40</v>
      </c>
      <c r="G707" s="66"/>
      <c r="H707" s="70"/>
      <c r="I707" s="71"/>
      <c r="J707" s="71"/>
      <c r="K707" s="35" t="s">
        <v>65</v>
      </c>
      <c r="L707" s="79">
        <v>707</v>
      </c>
      <c r="M707" s="79"/>
      <c r="N707" s="73"/>
      <c r="O707" s="81" t="s">
        <v>845</v>
      </c>
      <c r="P707" s="81" t="s">
        <v>847</v>
      </c>
      <c r="Q707" s="84" t="s">
        <v>1050</v>
      </c>
      <c r="R707" s="81" t="s">
        <v>783</v>
      </c>
      <c r="S707" s="81" t="s">
        <v>2142</v>
      </c>
      <c r="T707" s="86" t="str">
        <f>HYPERLINK("http://www.youtube.com/channel/UCF5ChGDslgBBC95Q2q_mqTA")</f>
        <v>http://www.youtube.com/channel/UCF5ChGDslgBBC95Q2q_mqTA</v>
      </c>
      <c r="U707" s="81" t="s">
        <v>2299</v>
      </c>
      <c r="V707" s="81" t="s">
        <v>2335</v>
      </c>
      <c r="W707" s="86" t="str">
        <f>HYPERLINK("https://www.youtube.com/watch?v=")</f>
        <v>https://www.youtube.com/watch?v=</v>
      </c>
      <c r="X707" s="81" t="s">
        <v>2349</v>
      </c>
      <c r="Y707" s="81">
        <v>0</v>
      </c>
      <c r="Z707" s="88">
        <v>44307.91505787037</v>
      </c>
      <c r="AA707" s="88">
        <v>44307.91505787037</v>
      </c>
      <c r="AB707" s="81"/>
      <c r="AC707" s="81"/>
      <c r="AD707" s="84" t="s">
        <v>2390</v>
      </c>
      <c r="AE707" s="82">
        <v>1</v>
      </c>
      <c r="AF707" s="83" t="str">
        <f>REPLACE(INDEX(GroupVertices[Group],MATCH(Edges[[#This Row],[Vertex 1]],GroupVertices[Vertex],0)),1,1,"")</f>
        <v>2</v>
      </c>
      <c r="AG707" s="83" t="str">
        <f>REPLACE(INDEX(GroupVertices[Group],MATCH(Edges[[#This Row],[Vertex 2]],GroupVertices[Vertex],0)),1,1,"")</f>
        <v>2</v>
      </c>
      <c r="AH707" s="111">
        <v>0</v>
      </c>
      <c r="AI707" s="112">
        <v>0</v>
      </c>
      <c r="AJ707" s="111">
        <v>0</v>
      </c>
      <c r="AK707" s="112">
        <v>0</v>
      </c>
      <c r="AL707" s="111">
        <v>0</v>
      </c>
      <c r="AM707" s="112">
        <v>0</v>
      </c>
      <c r="AN707" s="111">
        <v>1</v>
      </c>
      <c r="AO707" s="112">
        <v>100</v>
      </c>
      <c r="AP707" s="111">
        <v>1</v>
      </c>
    </row>
    <row r="708" spans="1:42" ht="15">
      <c r="A708" s="65" t="s">
        <v>757</v>
      </c>
      <c r="B708" s="65" t="s">
        <v>842</v>
      </c>
      <c r="C708" s="66" t="s">
        <v>4651</v>
      </c>
      <c r="D708" s="67">
        <v>3</v>
      </c>
      <c r="E708" s="68"/>
      <c r="F708" s="69">
        <v>40</v>
      </c>
      <c r="G708" s="66"/>
      <c r="H708" s="70"/>
      <c r="I708" s="71"/>
      <c r="J708" s="71"/>
      <c r="K708" s="35" t="s">
        <v>65</v>
      </c>
      <c r="L708" s="79">
        <v>708</v>
      </c>
      <c r="M708" s="79"/>
      <c r="N708" s="73"/>
      <c r="O708" s="81" t="s">
        <v>844</v>
      </c>
      <c r="P708" s="81" t="s">
        <v>199</v>
      </c>
      <c r="Q708" s="84" t="s">
        <v>1515</v>
      </c>
      <c r="R708" s="81" t="s">
        <v>757</v>
      </c>
      <c r="S708" s="81" t="s">
        <v>2116</v>
      </c>
      <c r="T708" s="86" t="str">
        <f>HYPERLINK("http://www.youtube.com/channel/UClnojW-58I9WE8weIj_0J9A")</f>
        <v>http://www.youtube.com/channel/UClnojW-58I9WE8weIj_0J9A</v>
      </c>
      <c r="U708" s="81"/>
      <c r="V708" s="81" t="s">
        <v>2335</v>
      </c>
      <c r="W708" s="86" t="str">
        <f>HYPERLINK("https://www.youtube.com/watch?v=fK1_SH3X2ek")</f>
        <v>https://www.youtube.com/watch?v=fK1_SH3X2ek</v>
      </c>
      <c r="X708" s="81" t="s">
        <v>2349</v>
      </c>
      <c r="Y708" s="81">
        <v>190</v>
      </c>
      <c r="Z708" s="88">
        <v>43922.73711805556</v>
      </c>
      <c r="AA708" s="88">
        <v>43922.73711805556</v>
      </c>
      <c r="AB708" s="81"/>
      <c r="AC708" s="81"/>
      <c r="AD708" s="84" t="s">
        <v>2390</v>
      </c>
      <c r="AE708" s="82">
        <v>1</v>
      </c>
      <c r="AF708" s="83" t="str">
        <f>REPLACE(INDEX(GroupVertices[Group],MATCH(Edges[[#This Row],[Vertex 1]],GroupVertices[Vertex],0)),1,1,"")</f>
        <v>2</v>
      </c>
      <c r="AG708" s="83" t="str">
        <f>REPLACE(INDEX(GroupVertices[Group],MATCH(Edges[[#This Row],[Vertex 2]],GroupVertices[Vertex],0)),1,1,"")</f>
        <v>2</v>
      </c>
      <c r="AH708" s="111">
        <v>0</v>
      </c>
      <c r="AI708" s="112">
        <v>0</v>
      </c>
      <c r="AJ708" s="111">
        <v>0</v>
      </c>
      <c r="AK708" s="112">
        <v>0</v>
      </c>
      <c r="AL708" s="111">
        <v>0</v>
      </c>
      <c r="AM708" s="112">
        <v>0</v>
      </c>
      <c r="AN708" s="111">
        <v>16</v>
      </c>
      <c r="AO708" s="112">
        <v>100</v>
      </c>
      <c r="AP708" s="111">
        <v>16</v>
      </c>
    </row>
    <row r="709" spans="1:42" ht="15">
      <c r="A709" s="65" t="s">
        <v>736</v>
      </c>
      <c r="B709" s="65" t="s">
        <v>842</v>
      </c>
      <c r="C709" s="66" t="s">
        <v>4651</v>
      </c>
      <c r="D709" s="67">
        <v>3</v>
      </c>
      <c r="E709" s="68"/>
      <c r="F709" s="69">
        <v>40</v>
      </c>
      <c r="G709" s="66"/>
      <c r="H709" s="70"/>
      <c r="I709" s="71"/>
      <c r="J709" s="71"/>
      <c r="K709" s="35" t="s">
        <v>65</v>
      </c>
      <c r="L709" s="79">
        <v>709</v>
      </c>
      <c r="M709" s="79"/>
      <c r="N709" s="73"/>
      <c r="O709" s="81" t="s">
        <v>844</v>
      </c>
      <c r="P709" s="81" t="s">
        <v>199</v>
      </c>
      <c r="Q709" s="84" t="s">
        <v>1516</v>
      </c>
      <c r="R709" s="81" t="s">
        <v>736</v>
      </c>
      <c r="S709" s="81" t="s">
        <v>2095</v>
      </c>
      <c r="T709" s="86" t="str">
        <f>HYPERLINK("http://www.youtube.com/channel/UCsZFWQYkG-slxqG0PSAeuDg")</f>
        <v>http://www.youtube.com/channel/UCsZFWQYkG-slxqG0PSAeuDg</v>
      </c>
      <c r="U709" s="81"/>
      <c r="V709" s="81" t="s">
        <v>2335</v>
      </c>
      <c r="W709" s="86" t="str">
        <f>HYPERLINK("https://www.youtube.com/watch?v=fK1_SH3X2ek")</f>
        <v>https://www.youtube.com/watch?v=fK1_SH3X2ek</v>
      </c>
      <c r="X709" s="81" t="s">
        <v>2349</v>
      </c>
      <c r="Y709" s="81">
        <v>1</v>
      </c>
      <c r="Z709" s="88">
        <v>43927.073969907404</v>
      </c>
      <c r="AA709" s="88">
        <v>43927.073969907404</v>
      </c>
      <c r="AB709" s="81" t="s">
        <v>2373</v>
      </c>
      <c r="AC709" s="81" t="s">
        <v>2387</v>
      </c>
      <c r="AD709" s="84" t="s">
        <v>2390</v>
      </c>
      <c r="AE709" s="82">
        <v>1</v>
      </c>
      <c r="AF709" s="83" t="str">
        <f>REPLACE(INDEX(GroupVertices[Group],MATCH(Edges[[#This Row],[Vertex 1]],GroupVertices[Vertex],0)),1,1,"")</f>
        <v>2</v>
      </c>
      <c r="AG709" s="83" t="str">
        <f>REPLACE(INDEX(GroupVertices[Group],MATCH(Edges[[#This Row],[Vertex 2]],GroupVertices[Vertex],0)),1,1,"")</f>
        <v>2</v>
      </c>
      <c r="AH709" s="111">
        <v>2</v>
      </c>
      <c r="AI709" s="112">
        <v>6.0606060606060606</v>
      </c>
      <c r="AJ709" s="111">
        <v>0</v>
      </c>
      <c r="AK709" s="112">
        <v>0</v>
      </c>
      <c r="AL709" s="111">
        <v>0</v>
      </c>
      <c r="AM709" s="112">
        <v>0</v>
      </c>
      <c r="AN709" s="111">
        <v>31</v>
      </c>
      <c r="AO709" s="112">
        <v>93.93939393939394</v>
      </c>
      <c r="AP709" s="111">
        <v>33</v>
      </c>
    </row>
    <row r="710" spans="1:42" ht="15">
      <c r="A710" s="65" t="s">
        <v>784</v>
      </c>
      <c r="B710" s="65" t="s">
        <v>842</v>
      </c>
      <c r="C710" s="66" t="s">
        <v>4651</v>
      </c>
      <c r="D710" s="67">
        <v>3</v>
      </c>
      <c r="E710" s="68"/>
      <c r="F710" s="69">
        <v>40</v>
      </c>
      <c r="G710" s="66"/>
      <c r="H710" s="70"/>
      <c r="I710" s="71"/>
      <c r="J710" s="71"/>
      <c r="K710" s="35" t="s">
        <v>65</v>
      </c>
      <c r="L710" s="79">
        <v>710</v>
      </c>
      <c r="M710" s="79"/>
      <c r="N710" s="73"/>
      <c r="O710" s="81" t="s">
        <v>844</v>
      </c>
      <c r="P710" s="81" t="s">
        <v>199</v>
      </c>
      <c r="Q710" s="84" t="s">
        <v>1517</v>
      </c>
      <c r="R710" s="81" t="s">
        <v>784</v>
      </c>
      <c r="S710" s="81" t="s">
        <v>2143</v>
      </c>
      <c r="T710" s="86" t="str">
        <f>HYPERLINK("http://www.youtube.com/channel/UCanNtkxGuVo8RHmoYXqQdPQ")</f>
        <v>http://www.youtube.com/channel/UCanNtkxGuVo8RHmoYXqQdPQ</v>
      </c>
      <c r="U710" s="81"/>
      <c r="V710" s="81" t="s">
        <v>2335</v>
      </c>
      <c r="W710" s="86" t="str">
        <f>HYPERLINK("https://www.youtube.com/watch?v=fK1_SH3X2ek")</f>
        <v>https://www.youtube.com/watch?v=fK1_SH3X2ek</v>
      </c>
      <c r="X710" s="81" t="s">
        <v>2349</v>
      </c>
      <c r="Y710" s="81">
        <v>1</v>
      </c>
      <c r="Z710" s="88">
        <v>43928.46461805556</v>
      </c>
      <c r="AA710" s="88">
        <v>43928.46461805556</v>
      </c>
      <c r="AB710" s="81"/>
      <c r="AC710" s="81"/>
      <c r="AD710" s="84" t="s">
        <v>2390</v>
      </c>
      <c r="AE710" s="82">
        <v>1</v>
      </c>
      <c r="AF710" s="83" t="str">
        <f>REPLACE(INDEX(GroupVertices[Group],MATCH(Edges[[#This Row],[Vertex 1]],GroupVertices[Vertex],0)),1,1,"")</f>
        <v>2</v>
      </c>
      <c r="AG710" s="83" t="str">
        <f>REPLACE(INDEX(GroupVertices[Group],MATCH(Edges[[#This Row],[Vertex 2]],GroupVertices[Vertex],0)),1,1,"")</f>
        <v>2</v>
      </c>
      <c r="AH710" s="111">
        <v>1</v>
      </c>
      <c r="AI710" s="112">
        <v>33.333333333333336</v>
      </c>
      <c r="AJ710" s="111">
        <v>0</v>
      </c>
      <c r="AK710" s="112">
        <v>0</v>
      </c>
      <c r="AL710" s="111">
        <v>0</v>
      </c>
      <c r="AM710" s="112">
        <v>0</v>
      </c>
      <c r="AN710" s="111">
        <v>2</v>
      </c>
      <c r="AO710" s="112">
        <v>66.66666666666667</v>
      </c>
      <c r="AP710" s="111">
        <v>3</v>
      </c>
    </row>
    <row r="711" spans="1:42" ht="15">
      <c r="A711" s="65" t="s">
        <v>785</v>
      </c>
      <c r="B711" s="65" t="s">
        <v>842</v>
      </c>
      <c r="C711" s="66" t="s">
        <v>4651</v>
      </c>
      <c r="D711" s="67">
        <v>3</v>
      </c>
      <c r="E711" s="68"/>
      <c r="F711" s="69">
        <v>40</v>
      </c>
      <c r="G711" s="66"/>
      <c r="H711" s="70"/>
      <c r="I711" s="71"/>
      <c r="J711" s="71"/>
      <c r="K711" s="35" t="s">
        <v>65</v>
      </c>
      <c r="L711" s="79">
        <v>711</v>
      </c>
      <c r="M711" s="79"/>
      <c r="N711" s="73"/>
      <c r="O711" s="81" t="s">
        <v>844</v>
      </c>
      <c r="P711" s="81" t="s">
        <v>199</v>
      </c>
      <c r="Q711" s="84" t="s">
        <v>1518</v>
      </c>
      <c r="R711" s="81" t="s">
        <v>785</v>
      </c>
      <c r="S711" s="81" t="s">
        <v>2144</v>
      </c>
      <c r="T711" s="86" t="str">
        <f>HYPERLINK("http://www.youtube.com/channel/UCIRd_KLhNQWScj1-la439iw")</f>
        <v>http://www.youtube.com/channel/UCIRd_KLhNQWScj1-la439iw</v>
      </c>
      <c r="U711" s="81"/>
      <c r="V711" s="81" t="s">
        <v>2335</v>
      </c>
      <c r="W711" s="86" t="str">
        <f>HYPERLINK("https://www.youtube.com/watch?v=fK1_SH3X2ek")</f>
        <v>https://www.youtube.com/watch?v=fK1_SH3X2ek</v>
      </c>
      <c r="X711" s="81" t="s">
        <v>2349</v>
      </c>
      <c r="Y711" s="81">
        <v>1</v>
      </c>
      <c r="Z711" s="88">
        <v>43950.35011574074</v>
      </c>
      <c r="AA711" s="88">
        <v>43950.35011574074</v>
      </c>
      <c r="AB711" s="81"/>
      <c r="AC711" s="81"/>
      <c r="AD711" s="84" t="s">
        <v>2390</v>
      </c>
      <c r="AE711" s="82">
        <v>1</v>
      </c>
      <c r="AF711" s="83" t="str">
        <f>REPLACE(INDEX(GroupVertices[Group],MATCH(Edges[[#This Row],[Vertex 1]],GroupVertices[Vertex],0)),1,1,"")</f>
        <v>2</v>
      </c>
      <c r="AG711" s="83" t="str">
        <f>REPLACE(INDEX(GroupVertices[Group],MATCH(Edges[[#This Row],[Vertex 2]],GroupVertices[Vertex],0)),1,1,"")</f>
        <v>2</v>
      </c>
      <c r="AH711" s="111">
        <v>0</v>
      </c>
      <c r="AI711" s="112">
        <v>0</v>
      </c>
      <c r="AJ711" s="111">
        <v>0</v>
      </c>
      <c r="AK711" s="112">
        <v>0</v>
      </c>
      <c r="AL711" s="111">
        <v>0</v>
      </c>
      <c r="AM711" s="112">
        <v>0</v>
      </c>
      <c r="AN711" s="111">
        <v>3</v>
      </c>
      <c r="AO711" s="112">
        <v>100</v>
      </c>
      <c r="AP711" s="111">
        <v>3</v>
      </c>
    </row>
    <row r="712" spans="1:42" ht="15">
      <c r="A712" s="65" t="s">
        <v>786</v>
      </c>
      <c r="B712" s="65" t="s">
        <v>828</v>
      </c>
      <c r="C712" s="66" t="s">
        <v>4651</v>
      </c>
      <c r="D712" s="67">
        <v>3</v>
      </c>
      <c r="E712" s="68"/>
      <c r="F712" s="69">
        <v>40</v>
      </c>
      <c r="G712" s="66"/>
      <c r="H712" s="70"/>
      <c r="I712" s="71"/>
      <c r="J712" s="71"/>
      <c r="K712" s="35" t="s">
        <v>65</v>
      </c>
      <c r="L712" s="79">
        <v>712</v>
      </c>
      <c r="M712" s="79"/>
      <c r="N712" s="73"/>
      <c r="O712" s="81" t="s">
        <v>844</v>
      </c>
      <c r="P712" s="81" t="s">
        <v>199</v>
      </c>
      <c r="Q712" s="84" t="s">
        <v>1519</v>
      </c>
      <c r="R712" s="81" t="s">
        <v>786</v>
      </c>
      <c r="S712" s="81" t="s">
        <v>2145</v>
      </c>
      <c r="T712" s="86" t="str">
        <f>HYPERLINK("http://www.youtube.com/channel/UCnkFrB1A-54rSDf1RYW_lnw")</f>
        <v>http://www.youtube.com/channel/UCnkFrB1A-54rSDf1RYW_lnw</v>
      </c>
      <c r="U712" s="81"/>
      <c r="V712" s="81" t="s">
        <v>2310</v>
      </c>
      <c r="W712" s="86" t="str">
        <f>HYPERLINK("https://www.youtube.com/watch?v=LBkXQ_mBO3Q")</f>
        <v>https://www.youtube.com/watch?v=LBkXQ_mBO3Q</v>
      </c>
      <c r="X712" s="81" t="s">
        <v>2349</v>
      </c>
      <c r="Y712" s="81">
        <v>4</v>
      </c>
      <c r="Z712" s="88">
        <v>43961.90347222222</v>
      </c>
      <c r="AA712" s="88">
        <v>43961.90347222222</v>
      </c>
      <c r="AB712" s="81"/>
      <c r="AC712" s="81"/>
      <c r="AD712" s="84" t="s">
        <v>2390</v>
      </c>
      <c r="AE712" s="82">
        <v>1</v>
      </c>
      <c r="AF712" s="83" t="str">
        <f>REPLACE(INDEX(GroupVertices[Group],MATCH(Edges[[#This Row],[Vertex 1]],GroupVertices[Vertex],0)),1,1,"")</f>
        <v>3</v>
      </c>
      <c r="AG712" s="83" t="str">
        <f>REPLACE(INDEX(GroupVertices[Group],MATCH(Edges[[#This Row],[Vertex 2]],GroupVertices[Vertex],0)),1,1,"")</f>
        <v>3</v>
      </c>
      <c r="AH712" s="111">
        <v>0</v>
      </c>
      <c r="AI712" s="112">
        <v>0</v>
      </c>
      <c r="AJ712" s="111">
        <v>0</v>
      </c>
      <c r="AK712" s="112">
        <v>0</v>
      </c>
      <c r="AL712" s="111">
        <v>0</v>
      </c>
      <c r="AM712" s="112">
        <v>0</v>
      </c>
      <c r="AN712" s="111">
        <v>1</v>
      </c>
      <c r="AO712" s="112">
        <v>100</v>
      </c>
      <c r="AP712" s="111">
        <v>1</v>
      </c>
    </row>
    <row r="713" spans="1:42" ht="15">
      <c r="A713" s="65" t="s">
        <v>786</v>
      </c>
      <c r="B713" s="65" t="s">
        <v>842</v>
      </c>
      <c r="C713" s="66" t="s">
        <v>4613</v>
      </c>
      <c r="D713" s="67">
        <v>10</v>
      </c>
      <c r="E713" s="68"/>
      <c r="F713" s="69">
        <v>15</v>
      </c>
      <c r="G713" s="66"/>
      <c r="H713" s="70"/>
      <c r="I713" s="71"/>
      <c r="J713" s="71"/>
      <c r="K713" s="35" t="s">
        <v>65</v>
      </c>
      <c r="L713" s="79">
        <v>713</v>
      </c>
      <c r="M713" s="79"/>
      <c r="N713" s="73"/>
      <c r="O713" s="81" t="s">
        <v>844</v>
      </c>
      <c r="P713" s="81" t="s">
        <v>199</v>
      </c>
      <c r="Q713" s="84" t="s">
        <v>1520</v>
      </c>
      <c r="R713" s="81" t="s">
        <v>786</v>
      </c>
      <c r="S713" s="81" t="s">
        <v>2145</v>
      </c>
      <c r="T713" s="86" t="str">
        <f>HYPERLINK("http://www.youtube.com/channel/UCnkFrB1A-54rSDf1RYW_lnw")</f>
        <v>http://www.youtube.com/channel/UCnkFrB1A-54rSDf1RYW_lnw</v>
      </c>
      <c r="U713" s="81"/>
      <c r="V713" s="81" t="s">
        <v>2335</v>
      </c>
      <c r="W713" s="86" t="str">
        <f>HYPERLINK("https://www.youtube.com/watch?v=fK1_SH3X2ek")</f>
        <v>https://www.youtube.com/watch?v=fK1_SH3X2ek</v>
      </c>
      <c r="X713" s="81" t="s">
        <v>2349</v>
      </c>
      <c r="Y713" s="81">
        <v>0</v>
      </c>
      <c r="Z713" s="88">
        <v>43961.91050925926</v>
      </c>
      <c r="AA713" s="88">
        <v>43961.91050925926</v>
      </c>
      <c r="AB713" s="81"/>
      <c r="AC713" s="81"/>
      <c r="AD713" s="84" t="s">
        <v>2390</v>
      </c>
      <c r="AE713" s="82">
        <v>2</v>
      </c>
      <c r="AF713" s="83" t="str">
        <f>REPLACE(INDEX(GroupVertices[Group],MATCH(Edges[[#This Row],[Vertex 1]],GroupVertices[Vertex],0)),1,1,"")</f>
        <v>3</v>
      </c>
      <c r="AG713" s="83" t="str">
        <f>REPLACE(INDEX(GroupVertices[Group],MATCH(Edges[[#This Row],[Vertex 2]],GroupVertices[Vertex],0)),1,1,"")</f>
        <v>2</v>
      </c>
      <c r="AH713" s="111">
        <v>0</v>
      </c>
      <c r="AI713" s="112">
        <v>0</v>
      </c>
      <c r="AJ713" s="111">
        <v>0</v>
      </c>
      <c r="AK713" s="112">
        <v>0</v>
      </c>
      <c r="AL713" s="111">
        <v>0</v>
      </c>
      <c r="AM713" s="112">
        <v>0</v>
      </c>
      <c r="AN713" s="111">
        <v>1</v>
      </c>
      <c r="AO713" s="112">
        <v>100</v>
      </c>
      <c r="AP713" s="111">
        <v>1</v>
      </c>
    </row>
    <row r="714" spans="1:42" ht="15">
      <c r="A714" s="65" t="s">
        <v>786</v>
      </c>
      <c r="B714" s="65" t="s">
        <v>842</v>
      </c>
      <c r="C714" s="66" t="s">
        <v>4613</v>
      </c>
      <c r="D714" s="67">
        <v>10</v>
      </c>
      <c r="E714" s="68"/>
      <c r="F714" s="69">
        <v>15</v>
      </c>
      <c r="G714" s="66"/>
      <c r="H714" s="70"/>
      <c r="I714" s="71"/>
      <c r="J714" s="71"/>
      <c r="K714" s="35" t="s">
        <v>65</v>
      </c>
      <c r="L714" s="79">
        <v>714</v>
      </c>
      <c r="M714" s="79"/>
      <c r="N714" s="73"/>
      <c r="O714" s="81" t="s">
        <v>844</v>
      </c>
      <c r="P714" s="81" t="s">
        <v>199</v>
      </c>
      <c r="Q714" s="84" t="s">
        <v>1521</v>
      </c>
      <c r="R714" s="81" t="s">
        <v>786</v>
      </c>
      <c r="S714" s="81" t="s">
        <v>2145</v>
      </c>
      <c r="T714" s="86" t="str">
        <f>HYPERLINK("http://www.youtube.com/channel/UCnkFrB1A-54rSDf1RYW_lnw")</f>
        <v>http://www.youtube.com/channel/UCnkFrB1A-54rSDf1RYW_lnw</v>
      </c>
      <c r="U714" s="81"/>
      <c r="V714" s="81" t="s">
        <v>2335</v>
      </c>
      <c r="W714" s="86" t="str">
        <f>HYPERLINK("https://www.youtube.com/watch?v=fK1_SH3X2ek")</f>
        <v>https://www.youtube.com/watch?v=fK1_SH3X2ek</v>
      </c>
      <c r="X714" s="81" t="s">
        <v>2349</v>
      </c>
      <c r="Y714" s="81">
        <v>0</v>
      </c>
      <c r="Z714" s="88">
        <v>43961.91116898148</v>
      </c>
      <c r="AA714" s="88">
        <v>43961.91116898148</v>
      </c>
      <c r="AB714" s="81"/>
      <c r="AC714" s="81"/>
      <c r="AD714" s="84" t="s">
        <v>2390</v>
      </c>
      <c r="AE714" s="82">
        <v>2</v>
      </c>
      <c r="AF714" s="83" t="str">
        <f>REPLACE(INDEX(GroupVertices[Group],MATCH(Edges[[#This Row],[Vertex 1]],GroupVertices[Vertex],0)),1,1,"")</f>
        <v>3</v>
      </c>
      <c r="AG714" s="83" t="str">
        <f>REPLACE(INDEX(GroupVertices[Group],MATCH(Edges[[#This Row],[Vertex 2]],GroupVertices[Vertex],0)),1,1,"")</f>
        <v>2</v>
      </c>
      <c r="AH714" s="111">
        <v>0</v>
      </c>
      <c r="AI714" s="112">
        <v>0</v>
      </c>
      <c r="AJ714" s="111">
        <v>0</v>
      </c>
      <c r="AK714" s="112">
        <v>0</v>
      </c>
      <c r="AL714" s="111">
        <v>0</v>
      </c>
      <c r="AM714" s="112">
        <v>0</v>
      </c>
      <c r="AN714" s="111">
        <v>2</v>
      </c>
      <c r="AO714" s="112">
        <v>100</v>
      </c>
      <c r="AP714" s="111">
        <v>2</v>
      </c>
    </row>
    <row r="715" spans="1:42" ht="15">
      <c r="A715" s="65" t="s">
        <v>787</v>
      </c>
      <c r="B715" s="65" t="s">
        <v>842</v>
      </c>
      <c r="C715" s="66" t="s">
        <v>4613</v>
      </c>
      <c r="D715" s="67">
        <v>10</v>
      </c>
      <c r="E715" s="68"/>
      <c r="F715" s="69">
        <v>15</v>
      </c>
      <c r="G715" s="66"/>
      <c r="H715" s="70"/>
      <c r="I715" s="71"/>
      <c r="J715" s="71"/>
      <c r="K715" s="35" t="s">
        <v>65</v>
      </c>
      <c r="L715" s="79">
        <v>715</v>
      </c>
      <c r="M715" s="79"/>
      <c r="N715" s="73"/>
      <c r="O715" s="81" t="s">
        <v>844</v>
      </c>
      <c r="P715" s="81" t="s">
        <v>199</v>
      </c>
      <c r="Q715" s="84" t="s">
        <v>1522</v>
      </c>
      <c r="R715" s="81" t="s">
        <v>787</v>
      </c>
      <c r="S715" s="81" t="s">
        <v>2146</v>
      </c>
      <c r="T715" s="86" t="str">
        <f>HYPERLINK("http://www.youtube.com/channel/UCsllZ-JGcQe1GqrWliTwIaQ")</f>
        <v>http://www.youtube.com/channel/UCsllZ-JGcQe1GqrWliTwIaQ</v>
      </c>
      <c r="U715" s="81"/>
      <c r="V715" s="81" t="s">
        <v>2335</v>
      </c>
      <c r="W715" s="86" t="str">
        <f>HYPERLINK("https://www.youtube.com/watch?v=fK1_SH3X2ek")</f>
        <v>https://www.youtube.com/watch?v=fK1_SH3X2ek</v>
      </c>
      <c r="X715" s="81" t="s">
        <v>2349</v>
      </c>
      <c r="Y715" s="81">
        <v>0</v>
      </c>
      <c r="Z715" s="88">
        <v>43962.66289351852</v>
      </c>
      <c r="AA715" s="88">
        <v>43962.66289351852</v>
      </c>
      <c r="AB715" s="81"/>
      <c r="AC715" s="81"/>
      <c r="AD715" s="84" t="s">
        <v>2390</v>
      </c>
      <c r="AE715" s="82">
        <v>2</v>
      </c>
      <c r="AF715" s="83" t="str">
        <f>REPLACE(INDEX(GroupVertices[Group],MATCH(Edges[[#This Row],[Vertex 1]],GroupVertices[Vertex],0)),1,1,"")</f>
        <v>2</v>
      </c>
      <c r="AG715" s="83" t="str">
        <f>REPLACE(INDEX(GroupVertices[Group],MATCH(Edges[[#This Row],[Vertex 2]],GroupVertices[Vertex],0)),1,1,"")</f>
        <v>2</v>
      </c>
      <c r="AH715" s="111">
        <v>1</v>
      </c>
      <c r="AI715" s="112">
        <v>25</v>
      </c>
      <c r="AJ715" s="111">
        <v>2</v>
      </c>
      <c r="AK715" s="112">
        <v>50</v>
      </c>
      <c r="AL715" s="111">
        <v>0</v>
      </c>
      <c r="AM715" s="112">
        <v>0</v>
      </c>
      <c r="AN715" s="111">
        <v>1</v>
      </c>
      <c r="AO715" s="112">
        <v>25</v>
      </c>
      <c r="AP715" s="111">
        <v>4</v>
      </c>
    </row>
    <row r="716" spans="1:42" ht="15">
      <c r="A716" s="65" t="s">
        <v>787</v>
      </c>
      <c r="B716" s="65" t="s">
        <v>842</v>
      </c>
      <c r="C716" s="66" t="s">
        <v>4613</v>
      </c>
      <c r="D716" s="67">
        <v>10</v>
      </c>
      <c r="E716" s="68"/>
      <c r="F716" s="69">
        <v>15</v>
      </c>
      <c r="G716" s="66"/>
      <c r="H716" s="70"/>
      <c r="I716" s="71"/>
      <c r="J716" s="71"/>
      <c r="K716" s="35" t="s">
        <v>65</v>
      </c>
      <c r="L716" s="79">
        <v>716</v>
      </c>
      <c r="M716" s="79"/>
      <c r="N716" s="73"/>
      <c r="O716" s="81" t="s">
        <v>844</v>
      </c>
      <c r="P716" s="81" t="s">
        <v>199</v>
      </c>
      <c r="Q716" s="84" t="s">
        <v>1523</v>
      </c>
      <c r="R716" s="81" t="s">
        <v>787</v>
      </c>
      <c r="S716" s="81" t="s">
        <v>2146</v>
      </c>
      <c r="T716" s="86" t="str">
        <f>HYPERLINK("http://www.youtube.com/channel/UCsllZ-JGcQe1GqrWliTwIaQ")</f>
        <v>http://www.youtube.com/channel/UCsllZ-JGcQe1GqrWliTwIaQ</v>
      </c>
      <c r="U716" s="81"/>
      <c r="V716" s="81" t="s">
        <v>2335</v>
      </c>
      <c r="W716" s="86" t="str">
        <f>HYPERLINK("https://www.youtube.com/watch?v=fK1_SH3X2ek")</f>
        <v>https://www.youtube.com/watch?v=fK1_SH3X2ek</v>
      </c>
      <c r="X716" s="81" t="s">
        <v>2349</v>
      </c>
      <c r="Y716" s="81">
        <v>0</v>
      </c>
      <c r="Z716" s="88">
        <v>43962.663310185184</v>
      </c>
      <c r="AA716" s="88">
        <v>43962.663310185184</v>
      </c>
      <c r="AB716" s="81"/>
      <c r="AC716" s="81"/>
      <c r="AD716" s="84" t="s">
        <v>2390</v>
      </c>
      <c r="AE716" s="82">
        <v>2</v>
      </c>
      <c r="AF716" s="83" t="str">
        <f>REPLACE(INDEX(GroupVertices[Group],MATCH(Edges[[#This Row],[Vertex 1]],GroupVertices[Vertex],0)),1,1,"")</f>
        <v>2</v>
      </c>
      <c r="AG716" s="83" t="str">
        <f>REPLACE(INDEX(GroupVertices[Group],MATCH(Edges[[#This Row],[Vertex 2]],GroupVertices[Vertex],0)),1,1,"")</f>
        <v>2</v>
      </c>
      <c r="AH716" s="111">
        <v>0</v>
      </c>
      <c r="AI716" s="112">
        <v>0</v>
      </c>
      <c r="AJ716" s="111">
        <v>2</v>
      </c>
      <c r="AK716" s="112">
        <v>15.384615384615385</v>
      </c>
      <c r="AL716" s="111">
        <v>0</v>
      </c>
      <c r="AM716" s="112">
        <v>0</v>
      </c>
      <c r="AN716" s="111">
        <v>11</v>
      </c>
      <c r="AO716" s="112">
        <v>84.61538461538461</v>
      </c>
      <c r="AP716" s="111">
        <v>13</v>
      </c>
    </row>
    <row r="717" spans="1:42" ht="15">
      <c r="A717" s="65" t="s">
        <v>788</v>
      </c>
      <c r="B717" s="65" t="s">
        <v>842</v>
      </c>
      <c r="C717" s="66" t="s">
        <v>4651</v>
      </c>
      <c r="D717" s="67">
        <v>3</v>
      </c>
      <c r="E717" s="68"/>
      <c r="F717" s="69">
        <v>40</v>
      </c>
      <c r="G717" s="66"/>
      <c r="H717" s="70"/>
      <c r="I717" s="71"/>
      <c r="J717" s="71"/>
      <c r="K717" s="35" t="s">
        <v>65</v>
      </c>
      <c r="L717" s="79">
        <v>717</v>
      </c>
      <c r="M717" s="79"/>
      <c r="N717" s="73"/>
      <c r="O717" s="81" t="s">
        <v>844</v>
      </c>
      <c r="P717" s="81" t="s">
        <v>199</v>
      </c>
      <c r="Q717" s="84" t="s">
        <v>1524</v>
      </c>
      <c r="R717" s="81" t="s">
        <v>788</v>
      </c>
      <c r="S717" s="81" t="s">
        <v>2147</v>
      </c>
      <c r="T717" s="86" t="str">
        <f>HYPERLINK("http://www.youtube.com/channel/UC7SBoanzWGOIY8cJm5N5XwQ")</f>
        <v>http://www.youtube.com/channel/UC7SBoanzWGOIY8cJm5N5XwQ</v>
      </c>
      <c r="U717" s="81"/>
      <c r="V717" s="81" t="s">
        <v>2335</v>
      </c>
      <c r="W717" s="86" t="str">
        <f>HYPERLINK("https://www.youtube.com/watch?v=fK1_SH3X2ek")</f>
        <v>https://www.youtube.com/watch?v=fK1_SH3X2ek</v>
      </c>
      <c r="X717" s="81" t="s">
        <v>2349</v>
      </c>
      <c r="Y717" s="81">
        <v>1</v>
      </c>
      <c r="Z717" s="88">
        <v>43979.37734953704</v>
      </c>
      <c r="AA717" s="88">
        <v>43979.37734953704</v>
      </c>
      <c r="AB717" s="81"/>
      <c r="AC717" s="81"/>
      <c r="AD717" s="84" t="s">
        <v>2390</v>
      </c>
      <c r="AE717" s="82">
        <v>1</v>
      </c>
      <c r="AF717" s="83" t="str">
        <f>REPLACE(INDEX(GroupVertices[Group],MATCH(Edges[[#This Row],[Vertex 1]],GroupVertices[Vertex],0)),1,1,"")</f>
        <v>2</v>
      </c>
      <c r="AG717" s="83" t="str">
        <f>REPLACE(INDEX(GroupVertices[Group],MATCH(Edges[[#This Row],[Vertex 2]],GroupVertices[Vertex],0)),1,1,"")</f>
        <v>2</v>
      </c>
      <c r="AH717" s="111">
        <v>2</v>
      </c>
      <c r="AI717" s="112">
        <v>33.333333333333336</v>
      </c>
      <c r="AJ717" s="111">
        <v>0</v>
      </c>
      <c r="AK717" s="112">
        <v>0</v>
      </c>
      <c r="AL717" s="111">
        <v>0</v>
      </c>
      <c r="AM717" s="112">
        <v>0</v>
      </c>
      <c r="AN717" s="111">
        <v>4</v>
      </c>
      <c r="AO717" s="112">
        <v>66.66666666666667</v>
      </c>
      <c r="AP717" s="111">
        <v>6</v>
      </c>
    </row>
    <row r="718" spans="1:42" ht="15">
      <c r="A718" s="65" t="s">
        <v>779</v>
      </c>
      <c r="B718" s="65" t="s">
        <v>842</v>
      </c>
      <c r="C718" s="66" t="s">
        <v>4651</v>
      </c>
      <c r="D718" s="67">
        <v>3</v>
      </c>
      <c r="E718" s="68"/>
      <c r="F718" s="69">
        <v>40</v>
      </c>
      <c r="G718" s="66"/>
      <c r="H718" s="70"/>
      <c r="I718" s="71"/>
      <c r="J718" s="71"/>
      <c r="K718" s="35" t="s">
        <v>65</v>
      </c>
      <c r="L718" s="79">
        <v>718</v>
      </c>
      <c r="M718" s="79"/>
      <c r="N718" s="73"/>
      <c r="O718" s="81" t="s">
        <v>844</v>
      </c>
      <c r="P718" s="81" t="s">
        <v>199</v>
      </c>
      <c r="Q718" s="84" t="s">
        <v>1525</v>
      </c>
      <c r="R718" s="81" t="s">
        <v>779</v>
      </c>
      <c r="S718" s="81" t="s">
        <v>2138</v>
      </c>
      <c r="T718" s="86" t="str">
        <f>HYPERLINK("http://www.youtube.com/channel/UCdf__4wGpIoAJUxaHzh52Rg")</f>
        <v>http://www.youtube.com/channel/UCdf__4wGpIoAJUxaHzh52Rg</v>
      </c>
      <c r="U718" s="81"/>
      <c r="V718" s="81" t="s">
        <v>2335</v>
      </c>
      <c r="W718" s="86" t="str">
        <f>HYPERLINK("https://www.youtube.com/watch?v=fK1_SH3X2ek")</f>
        <v>https://www.youtube.com/watch?v=fK1_SH3X2ek</v>
      </c>
      <c r="X718" s="81" t="s">
        <v>2349</v>
      </c>
      <c r="Y718" s="81">
        <v>0</v>
      </c>
      <c r="Z718" s="88">
        <v>43989.6456712963</v>
      </c>
      <c r="AA718" s="88">
        <v>43989.6456712963</v>
      </c>
      <c r="AB718" s="81"/>
      <c r="AC718" s="81"/>
      <c r="AD718" s="84" t="s">
        <v>2390</v>
      </c>
      <c r="AE718" s="82">
        <v>1</v>
      </c>
      <c r="AF718" s="83" t="str">
        <f>REPLACE(INDEX(GroupVertices[Group],MATCH(Edges[[#This Row],[Vertex 1]],GroupVertices[Vertex],0)),1,1,"")</f>
        <v>2</v>
      </c>
      <c r="AG718" s="83" t="str">
        <f>REPLACE(INDEX(GroupVertices[Group],MATCH(Edges[[#This Row],[Vertex 2]],GroupVertices[Vertex],0)),1,1,"")</f>
        <v>2</v>
      </c>
      <c r="AH718" s="111">
        <v>0</v>
      </c>
      <c r="AI718" s="112">
        <v>0</v>
      </c>
      <c r="AJ718" s="111">
        <v>0</v>
      </c>
      <c r="AK718" s="112">
        <v>0</v>
      </c>
      <c r="AL718" s="111">
        <v>0</v>
      </c>
      <c r="AM718" s="112">
        <v>0</v>
      </c>
      <c r="AN718" s="111">
        <v>1</v>
      </c>
      <c r="AO718" s="112">
        <v>100</v>
      </c>
      <c r="AP718" s="111">
        <v>1</v>
      </c>
    </row>
    <row r="719" spans="1:42" ht="15">
      <c r="A719" s="65" t="s">
        <v>789</v>
      </c>
      <c r="B719" s="65" t="s">
        <v>790</v>
      </c>
      <c r="C719" s="66" t="s">
        <v>4613</v>
      </c>
      <c r="D719" s="67">
        <v>10</v>
      </c>
      <c r="E719" s="68"/>
      <c r="F719" s="69">
        <v>15</v>
      </c>
      <c r="G719" s="66"/>
      <c r="H719" s="70"/>
      <c r="I719" s="71"/>
      <c r="J719" s="71"/>
      <c r="K719" s="35" t="s">
        <v>65</v>
      </c>
      <c r="L719" s="79">
        <v>719</v>
      </c>
      <c r="M719" s="79"/>
      <c r="N719" s="73"/>
      <c r="O719" s="81" t="s">
        <v>845</v>
      </c>
      <c r="P719" s="81" t="s">
        <v>847</v>
      </c>
      <c r="Q719" s="84" t="s">
        <v>1050</v>
      </c>
      <c r="R719" s="81" t="s">
        <v>789</v>
      </c>
      <c r="S719" s="81" t="s">
        <v>2148</v>
      </c>
      <c r="T719" s="86" t="str">
        <f>HYPERLINK("http://www.youtube.com/channel/UCfSRxcEYb7rjFKHXBw1O2dA")</f>
        <v>http://www.youtube.com/channel/UCfSRxcEYb7rjFKHXBw1O2dA</v>
      </c>
      <c r="U719" s="81" t="s">
        <v>2300</v>
      </c>
      <c r="V719" s="81" t="s">
        <v>2335</v>
      </c>
      <c r="W719" s="86" t="str">
        <f>HYPERLINK("https://www.youtube.com/watch?v=")</f>
        <v>https://www.youtube.com/watch?v=</v>
      </c>
      <c r="X719" s="81" t="s">
        <v>2349</v>
      </c>
      <c r="Y719" s="81">
        <v>0</v>
      </c>
      <c r="Z719" s="88">
        <v>44337.869618055556</v>
      </c>
      <c r="AA719" s="88">
        <v>44337.869618055556</v>
      </c>
      <c r="AB719" s="81"/>
      <c r="AC719" s="81"/>
      <c r="AD719" s="84" t="s">
        <v>2390</v>
      </c>
      <c r="AE719" s="82">
        <v>2</v>
      </c>
      <c r="AF719" s="83" t="str">
        <f>REPLACE(INDEX(GroupVertices[Group],MATCH(Edges[[#This Row],[Vertex 1]],GroupVertices[Vertex],0)),1,1,"")</f>
        <v>2</v>
      </c>
      <c r="AG719" s="83" t="str">
        <f>REPLACE(INDEX(GroupVertices[Group],MATCH(Edges[[#This Row],[Vertex 2]],GroupVertices[Vertex],0)),1,1,"")</f>
        <v>2</v>
      </c>
      <c r="AH719" s="111">
        <v>0</v>
      </c>
      <c r="AI719" s="112">
        <v>0</v>
      </c>
      <c r="AJ719" s="111">
        <v>0</v>
      </c>
      <c r="AK719" s="112">
        <v>0</v>
      </c>
      <c r="AL719" s="111">
        <v>0</v>
      </c>
      <c r="AM719" s="112">
        <v>0</v>
      </c>
      <c r="AN719" s="111">
        <v>1</v>
      </c>
      <c r="AO719" s="112">
        <v>100</v>
      </c>
      <c r="AP719" s="111">
        <v>1</v>
      </c>
    </row>
    <row r="720" spans="1:42" ht="15">
      <c r="A720" s="65" t="s">
        <v>789</v>
      </c>
      <c r="B720" s="65" t="s">
        <v>790</v>
      </c>
      <c r="C720" s="66" t="s">
        <v>4613</v>
      </c>
      <c r="D720" s="67">
        <v>10</v>
      </c>
      <c r="E720" s="68"/>
      <c r="F720" s="69">
        <v>15</v>
      </c>
      <c r="G720" s="66"/>
      <c r="H720" s="70"/>
      <c r="I720" s="71"/>
      <c r="J720" s="71"/>
      <c r="K720" s="35" t="s">
        <v>65</v>
      </c>
      <c r="L720" s="79">
        <v>720</v>
      </c>
      <c r="M720" s="79"/>
      <c r="N720" s="73"/>
      <c r="O720" s="81" t="s">
        <v>845</v>
      </c>
      <c r="P720" s="81" t="s">
        <v>847</v>
      </c>
      <c r="Q720" s="84" t="s">
        <v>1526</v>
      </c>
      <c r="R720" s="81" t="s">
        <v>789</v>
      </c>
      <c r="S720" s="81" t="s">
        <v>2148</v>
      </c>
      <c r="T720" s="86" t="str">
        <f>HYPERLINK("http://www.youtube.com/channel/UCfSRxcEYb7rjFKHXBw1O2dA")</f>
        <v>http://www.youtube.com/channel/UCfSRxcEYb7rjFKHXBw1O2dA</v>
      </c>
      <c r="U720" s="81" t="s">
        <v>2300</v>
      </c>
      <c r="V720" s="81" t="s">
        <v>2335</v>
      </c>
      <c r="W720" s="86" t="str">
        <f>HYPERLINK("https://www.youtube.com/watch?v=")</f>
        <v>https://www.youtube.com/watch?v=</v>
      </c>
      <c r="X720" s="81" t="s">
        <v>2349</v>
      </c>
      <c r="Y720" s="81">
        <v>0</v>
      </c>
      <c r="Z720" s="88">
        <v>44337.8702662037</v>
      </c>
      <c r="AA720" s="88">
        <v>44337.8702662037</v>
      </c>
      <c r="AB720" s="81"/>
      <c r="AC720" s="81"/>
      <c r="AD720" s="84" t="s">
        <v>2390</v>
      </c>
      <c r="AE720" s="82">
        <v>2</v>
      </c>
      <c r="AF720" s="83" t="str">
        <f>REPLACE(INDEX(GroupVertices[Group],MATCH(Edges[[#This Row],[Vertex 1]],GroupVertices[Vertex],0)),1,1,"")</f>
        <v>2</v>
      </c>
      <c r="AG720" s="83" t="str">
        <f>REPLACE(INDEX(GroupVertices[Group],MATCH(Edges[[#This Row],[Vertex 2]],GroupVertices[Vertex],0)),1,1,"")</f>
        <v>2</v>
      </c>
      <c r="AH720" s="111">
        <v>0</v>
      </c>
      <c r="AI720" s="112">
        <v>0</v>
      </c>
      <c r="AJ720" s="111">
        <v>0</v>
      </c>
      <c r="AK720" s="112">
        <v>0</v>
      </c>
      <c r="AL720" s="111">
        <v>0</v>
      </c>
      <c r="AM720" s="112">
        <v>0</v>
      </c>
      <c r="AN720" s="111">
        <v>9</v>
      </c>
      <c r="AO720" s="112">
        <v>100</v>
      </c>
      <c r="AP720" s="111">
        <v>9</v>
      </c>
    </row>
    <row r="721" spans="1:42" ht="15">
      <c r="A721" s="65" t="s">
        <v>780</v>
      </c>
      <c r="B721" s="65" t="s">
        <v>790</v>
      </c>
      <c r="C721" s="66" t="s">
        <v>4651</v>
      </c>
      <c r="D721" s="67">
        <v>3</v>
      </c>
      <c r="E721" s="68"/>
      <c r="F721" s="69">
        <v>40</v>
      </c>
      <c r="G721" s="66"/>
      <c r="H721" s="70"/>
      <c r="I721" s="71"/>
      <c r="J721" s="71"/>
      <c r="K721" s="35" t="s">
        <v>65</v>
      </c>
      <c r="L721" s="79">
        <v>721</v>
      </c>
      <c r="M721" s="79"/>
      <c r="N721" s="73"/>
      <c r="O721" s="81" t="s">
        <v>845</v>
      </c>
      <c r="P721" s="81" t="s">
        <v>847</v>
      </c>
      <c r="Q721" s="84" t="s">
        <v>1527</v>
      </c>
      <c r="R721" s="81" t="s">
        <v>780</v>
      </c>
      <c r="S721" s="81" t="s">
        <v>2139</v>
      </c>
      <c r="T721" s="86" t="str">
        <f>HYPERLINK("http://www.youtube.com/channel/UCqTGL2iGxZBMK9l4EWPg1Ug")</f>
        <v>http://www.youtube.com/channel/UCqTGL2iGxZBMK9l4EWPg1Ug</v>
      </c>
      <c r="U721" s="81" t="s">
        <v>2300</v>
      </c>
      <c r="V721" s="81" t="s">
        <v>2335</v>
      </c>
      <c r="W721" s="86" t="str">
        <f>HYPERLINK("https://www.youtube.com/watch?v=")</f>
        <v>https://www.youtube.com/watch?v=</v>
      </c>
      <c r="X721" s="81" t="s">
        <v>2349</v>
      </c>
      <c r="Y721" s="81">
        <v>0</v>
      </c>
      <c r="Z721" s="88">
        <v>44166.78387731482</v>
      </c>
      <c r="AA721" s="88">
        <v>44166.78387731482</v>
      </c>
      <c r="AB721" s="81"/>
      <c r="AC721" s="81"/>
      <c r="AD721" s="84" t="s">
        <v>2390</v>
      </c>
      <c r="AE721" s="82">
        <v>1</v>
      </c>
      <c r="AF721" s="83" t="str">
        <f>REPLACE(INDEX(GroupVertices[Group],MATCH(Edges[[#This Row],[Vertex 1]],GroupVertices[Vertex],0)),1,1,"")</f>
        <v>2</v>
      </c>
      <c r="AG721" s="83" t="str">
        <f>REPLACE(INDEX(GroupVertices[Group],MATCH(Edges[[#This Row],[Vertex 2]],GroupVertices[Vertex],0)),1,1,"")</f>
        <v>2</v>
      </c>
      <c r="AH721" s="111">
        <v>0</v>
      </c>
      <c r="AI721" s="112">
        <v>0</v>
      </c>
      <c r="AJ721" s="111">
        <v>0</v>
      </c>
      <c r="AK721" s="112">
        <v>0</v>
      </c>
      <c r="AL721" s="111">
        <v>0</v>
      </c>
      <c r="AM721" s="112">
        <v>0</v>
      </c>
      <c r="AN721" s="111">
        <v>2</v>
      </c>
      <c r="AO721" s="112">
        <v>100</v>
      </c>
      <c r="AP721" s="111">
        <v>2</v>
      </c>
    </row>
    <row r="722" spans="1:42" ht="15">
      <c r="A722" s="65" t="s">
        <v>783</v>
      </c>
      <c r="B722" s="65" t="s">
        <v>790</v>
      </c>
      <c r="C722" s="66" t="s">
        <v>4651</v>
      </c>
      <c r="D722" s="67">
        <v>3</v>
      </c>
      <c r="E722" s="68"/>
      <c r="F722" s="69">
        <v>40</v>
      </c>
      <c r="G722" s="66"/>
      <c r="H722" s="70"/>
      <c r="I722" s="71"/>
      <c r="J722" s="71"/>
      <c r="K722" s="35" t="s">
        <v>65</v>
      </c>
      <c r="L722" s="79">
        <v>722</v>
      </c>
      <c r="M722" s="79"/>
      <c r="N722" s="73"/>
      <c r="O722" s="81" t="s">
        <v>845</v>
      </c>
      <c r="P722" s="81" t="s">
        <v>847</v>
      </c>
      <c r="Q722" s="84" t="s">
        <v>1050</v>
      </c>
      <c r="R722" s="81" t="s">
        <v>783</v>
      </c>
      <c r="S722" s="81" t="s">
        <v>2142</v>
      </c>
      <c r="T722" s="86" t="str">
        <f>HYPERLINK("http://www.youtube.com/channel/UCF5ChGDslgBBC95Q2q_mqTA")</f>
        <v>http://www.youtube.com/channel/UCF5ChGDslgBBC95Q2q_mqTA</v>
      </c>
      <c r="U722" s="81" t="s">
        <v>2300</v>
      </c>
      <c r="V722" s="81" t="s">
        <v>2335</v>
      </c>
      <c r="W722" s="86" t="str">
        <f>HYPERLINK("https://www.youtube.com/watch?v=")</f>
        <v>https://www.youtube.com/watch?v=</v>
      </c>
      <c r="X722" s="81" t="s">
        <v>2349</v>
      </c>
      <c r="Y722" s="81">
        <v>0</v>
      </c>
      <c r="Z722" s="88">
        <v>44307.91641203704</v>
      </c>
      <c r="AA722" s="88">
        <v>44307.91641203704</v>
      </c>
      <c r="AB722" s="81"/>
      <c r="AC722" s="81"/>
      <c r="AD722" s="84" t="s">
        <v>2390</v>
      </c>
      <c r="AE722" s="82">
        <v>1</v>
      </c>
      <c r="AF722" s="83" t="str">
        <f>REPLACE(INDEX(GroupVertices[Group],MATCH(Edges[[#This Row],[Vertex 1]],GroupVertices[Vertex],0)),1,1,"")</f>
        <v>2</v>
      </c>
      <c r="AG722" s="83" t="str">
        <f>REPLACE(INDEX(GroupVertices[Group],MATCH(Edges[[#This Row],[Vertex 2]],GroupVertices[Vertex],0)),1,1,"")</f>
        <v>2</v>
      </c>
      <c r="AH722" s="111">
        <v>0</v>
      </c>
      <c r="AI722" s="112">
        <v>0</v>
      </c>
      <c r="AJ722" s="111">
        <v>0</v>
      </c>
      <c r="AK722" s="112">
        <v>0</v>
      </c>
      <c r="AL722" s="111">
        <v>0</v>
      </c>
      <c r="AM722" s="112">
        <v>0</v>
      </c>
      <c r="AN722" s="111">
        <v>1</v>
      </c>
      <c r="AO722" s="112">
        <v>100</v>
      </c>
      <c r="AP722" s="111">
        <v>1</v>
      </c>
    </row>
    <row r="723" spans="1:42" ht="15">
      <c r="A723" s="65" t="s">
        <v>790</v>
      </c>
      <c r="B723" s="65" t="s">
        <v>790</v>
      </c>
      <c r="C723" s="66" t="s">
        <v>4651</v>
      </c>
      <c r="D723" s="67">
        <v>3</v>
      </c>
      <c r="E723" s="68"/>
      <c r="F723" s="69">
        <v>40</v>
      </c>
      <c r="G723" s="66"/>
      <c r="H723" s="70"/>
      <c r="I723" s="71"/>
      <c r="J723" s="71"/>
      <c r="K723" s="35" t="s">
        <v>65</v>
      </c>
      <c r="L723" s="79">
        <v>723</v>
      </c>
      <c r="M723" s="79"/>
      <c r="N723" s="73"/>
      <c r="O723" s="81" t="s">
        <v>845</v>
      </c>
      <c r="P723" s="81" t="s">
        <v>847</v>
      </c>
      <c r="Q723" s="84" t="s">
        <v>1528</v>
      </c>
      <c r="R723" s="81" t="s">
        <v>790</v>
      </c>
      <c r="S723" s="81" t="s">
        <v>2149</v>
      </c>
      <c r="T723" s="86" t="str">
        <f>HYPERLINK("http://www.youtube.com/channel/UC8_oQ7TS8UBU5j1es2pvHHg")</f>
        <v>http://www.youtube.com/channel/UC8_oQ7TS8UBU5j1es2pvHHg</v>
      </c>
      <c r="U723" s="81" t="s">
        <v>2300</v>
      </c>
      <c r="V723" s="81" t="s">
        <v>2335</v>
      </c>
      <c r="W723" s="86" t="str">
        <f>HYPERLINK("https://www.youtube.com/watch?v=")</f>
        <v>https://www.youtube.com/watch?v=</v>
      </c>
      <c r="X723" s="81" t="s">
        <v>2349</v>
      </c>
      <c r="Y723" s="81">
        <v>0</v>
      </c>
      <c r="Z723" s="88">
        <v>44345.81068287037</v>
      </c>
      <c r="AA723" s="88">
        <v>44345.81068287037</v>
      </c>
      <c r="AB723" s="81"/>
      <c r="AC723" s="81"/>
      <c r="AD723" s="84" t="s">
        <v>2390</v>
      </c>
      <c r="AE723" s="82">
        <v>1</v>
      </c>
      <c r="AF723" s="83" t="str">
        <f>REPLACE(INDEX(GroupVertices[Group],MATCH(Edges[[#This Row],[Vertex 1]],GroupVertices[Vertex],0)),1,1,"")</f>
        <v>2</v>
      </c>
      <c r="AG723" s="83" t="str">
        <f>REPLACE(INDEX(GroupVertices[Group],MATCH(Edges[[#This Row],[Vertex 2]],GroupVertices[Vertex],0)),1,1,"")</f>
        <v>2</v>
      </c>
      <c r="AH723" s="111">
        <v>0</v>
      </c>
      <c r="AI723" s="112">
        <v>0</v>
      </c>
      <c r="AJ723" s="111">
        <v>0</v>
      </c>
      <c r="AK723" s="112">
        <v>0</v>
      </c>
      <c r="AL723" s="111">
        <v>0</v>
      </c>
      <c r="AM723" s="112">
        <v>0</v>
      </c>
      <c r="AN723" s="111">
        <v>5</v>
      </c>
      <c r="AO723" s="112">
        <v>100</v>
      </c>
      <c r="AP723" s="111">
        <v>5</v>
      </c>
    </row>
    <row r="724" spans="1:42" ht="15">
      <c r="A724" s="65" t="s">
        <v>791</v>
      </c>
      <c r="B724" s="65" t="s">
        <v>790</v>
      </c>
      <c r="C724" s="66" t="s">
        <v>4651</v>
      </c>
      <c r="D724" s="67">
        <v>3</v>
      </c>
      <c r="E724" s="68"/>
      <c r="F724" s="69">
        <v>40</v>
      </c>
      <c r="G724" s="66"/>
      <c r="H724" s="70"/>
      <c r="I724" s="71"/>
      <c r="J724" s="71"/>
      <c r="K724" s="35" t="s">
        <v>65</v>
      </c>
      <c r="L724" s="79">
        <v>724</v>
      </c>
      <c r="M724" s="79"/>
      <c r="N724" s="73"/>
      <c r="O724" s="81" t="s">
        <v>845</v>
      </c>
      <c r="P724" s="81" t="s">
        <v>847</v>
      </c>
      <c r="Q724" s="84" t="s">
        <v>1529</v>
      </c>
      <c r="R724" s="81" t="s">
        <v>791</v>
      </c>
      <c r="S724" s="81" t="s">
        <v>2150</v>
      </c>
      <c r="T724" s="86" t="str">
        <f>HYPERLINK("http://www.youtube.com/channel/UCnRYGBsqdgTYMJN96h4DoTQ")</f>
        <v>http://www.youtube.com/channel/UCnRYGBsqdgTYMJN96h4DoTQ</v>
      </c>
      <c r="U724" s="81" t="s">
        <v>2300</v>
      </c>
      <c r="V724" s="81" t="s">
        <v>2335</v>
      </c>
      <c r="W724" s="86" t="str">
        <f>HYPERLINK("https://www.youtube.com/watch?v=")</f>
        <v>https://www.youtube.com/watch?v=</v>
      </c>
      <c r="X724" s="81" t="s">
        <v>2349</v>
      </c>
      <c r="Y724" s="81">
        <v>0</v>
      </c>
      <c r="Z724" s="88">
        <v>44361.66056712963</v>
      </c>
      <c r="AA724" s="88">
        <v>44361.66056712963</v>
      </c>
      <c r="AB724" s="81"/>
      <c r="AC724" s="81"/>
      <c r="AD724" s="84" t="s">
        <v>2390</v>
      </c>
      <c r="AE724" s="82">
        <v>1</v>
      </c>
      <c r="AF724" s="83" t="str">
        <f>REPLACE(INDEX(GroupVertices[Group],MATCH(Edges[[#This Row],[Vertex 1]],GroupVertices[Vertex],0)),1,1,"")</f>
        <v>2</v>
      </c>
      <c r="AG724" s="83" t="str">
        <f>REPLACE(INDEX(GroupVertices[Group],MATCH(Edges[[#This Row],[Vertex 2]],GroupVertices[Vertex],0)),1,1,"")</f>
        <v>2</v>
      </c>
      <c r="AH724" s="111">
        <v>0</v>
      </c>
      <c r="AI724" s="112">
        <v>0</v>
      </c>
      <c r="AJ724" s="111">
        <v>0</v>
      </c>
      <c r="AK724" s="112">
        <v>0</v>
      </c>
      <c r="AL724" s="111">
        <v>0</v>
      </c>
      <c r="AM724" s="112">
        <v>0</v>
      </c>
      <c r="AN724" s="111">
        <v>2</v>
      </c>
      <c r="AO724" s="112">
        <v>100</v>
      </c>
      <c r="AP724" s="111">
        <v>2</v>
      </c>
    </row>
    <row r="725" spans="1:42" ht="15">
      <c r="A725" s="65" t="s">
        <v>790</v>
      </c>
      <c r="B725" s="65" t="s">
        <v>842</v>
      </c>
      <c r="C725" s="66" t="s">
        <v>4651</v>
      </c>
      <c r="D725" s="67">
        <v>3</v>
      </c>
      <c r="E725" s="68"/>
      <c r="F725" s="69">
        <v>40</v>
      </c>
      <c r="G725" s="66"/>
      <c r="H725" s="70"/>
      <c r="I725" s="71"/>
      <c r="J725" s="71"/>
      <c r="K725" s="35" t="s">
        <v>65</v>
      </c>
      <c r="L725" s="79">
        <v>725</v>
      </c>
      <c r="M725" s="79"/>
      <c r="N725" s="73"/>
      <c r="O725" s="81" t="s">
        <v>844</v>
      </c>
      <c r="P725" s="81" t="s">
        <v>199</v>
      </c>
      <c r="Q725" s="84" t="s">
        <v>1530</v>
      </c>
      <c r="R725" s="81" t="s">
        <v>790</v>
      </c>
      <c r="S725" s="81" t="s">
        <v>2149</v>
      </c>
      <c r="T725" s="86" t="str">
        <f>HYPERLINK("http://www.youtube.com/channel/UC8_oQ7TS8UBU5j1es2pvHHg")</f>
        <v>http://www.youtube.com/channel/UC8_oQ7TS8UBU5j1es2pvHHg</v>
      </c>
      <c r="U725" s="81"/>
      <c r="V725" s="81" t="s">
        <v>2335</v>
      </c>
      <c r="W725" s="86" t="str">
        <f>HYPERLINK("https://www.youtube.com/watch?v=fK1_SH3X2ek")</f>
        <v>https://www.youtube.com/watch?v=fK1_SH3X2ek</v>
      </c>
      <c r="X725" s="81" t="s">
        <v>2349</v>
      </c>
      <c r="Y725" s="81">
        <v>48</v>
      </c>
      <c r="Z725" s="88">
        <v>43992.205775462964</v>
      </c>
      <c r="AA725" s="88">
        <v>43992.205925925926</v>
      </c>
      <c r="AB725" s="81"/>
      <c r="AC725" s="81"/>
      <c r="AD725" s="84" t="s">
        <v>2390</v>
      </c>
      <c r="AE725" s="82">
        <v>1</v>
      </c>
      <c r="AF725" s="83" t="str">
        <f>REPLACE(INDEX(GroupVertices[Group],MATCH(Edges[[#This Row],[Vertex 1]],GroupVertices[Vertex],0)),1,1,"")</f>
        <v>2</v>
      </c>
      <c r="AG725" s="83" t="str">
        <f>REPLACE(INDEX(GroupVertices[Group],MATCH(Edges[[#This Row],[Vertex 2]],GroupVertices[Vertex],0)),1,1,"")</f>
        <v>2</v>
      </c>
      <c r="AH725" s="111">
        <v>0</v>
      </c>
      <c r="AI725" s="112">
        <v>0</v>
      </c>
      <c r="AJ725" s="111">
        <v>0</v>
      </c>
      <c r="AK725" s="112">
        <v>0</v>
      </c>
      <c r="AL725" s="111">
        <v>0</v>
      </c>
      <c r="AM725" s="112">
        <v>0</v>
      </c>
      <c r="AN725" s="111">
        <v>7</v>
      </c>
      <c r="AO725" s="112">
        <v>100</v>
      </c>
      <c r="AP725" s="111">
        <v>7</v>
      </c>
    </row>
    <row r="726" spans="1:42" ht="15">
      <c r="A726" s="65" t="s">
        <v>792</v>
      </c>
      <c r="B726" s="65" t="s">
        <v>842</v>
      </c>
      <c r="C726" s="66" t="s">
        <v>4651</v>
      </c>
      <c r="D726" s="67">
        <v>3</v>
      </c>
      <c r="E726" s="68"/>
      <c r="F726" s="69">
        <v>40</v>
      </c>
      <c r="G726" s="66"/>
      <c r="H726" s="70"/>
      <c r="I726" s="71"/>
      <c r="J726" s="71"/>
      <c r="K726" s="35" t="s">
        <v>65</v>
      </c>
      <c r="L726" s="79">
        <v>726</v>
      </c>
      <c r="M726" s="79"/>
      <c r="N726" s="73"/>
      <c r="O726" s="81" t="s">
        <v>844</v>
      </c>
      <c r="P726" s="81" t="s">
        <v>199</v>
      </c>
      <c r="Q726" s="84" t="s">
        <v>1531</v>
      </c>
      <c r="R726" s="81" t="s">
        <v>792</v>
      </c>
      <c r="S726" s="81" t="s">
        <v>2151</v>
      </c>
      <c r="T726" s="86" t="str">
        <f>HYPERLINK("http://www.youtube.com/channel/UC3htKE-dyoJeXF-fZ7JS_jw")</f>
        <v>http://www.youtube.com/channel/UC3htKE-dyoJeXF-fZ7JS_jw</v>
      </c>
      <c r="U726" s="81"/>
      <c r="V726" s="81" t="s">
        <v>2335</v>
      </c>
      <c r="W726" s="86" t="str">
        <f>HYPERLINK("https://www.youtube.com/watch?v=fK1_SH3X2ek")</f>
        <v>https://www.youtube.com/watch?v=fK1_SH3X2ek</v>
      </c>
      <c r="X726" s="81" t="s">
        <v>2349</v>
      </c>
      <c r="Y726" s="81">
        <v>0</v>
      </c>
      <c r="Z726" s="88">
        <v>44007.26902777778</v>
      </c>
      <c r="AA726" s="88">
        <v>44007.26902777778</v>
      </c>
      <c r="AB726" s="81"/>
      <c r="AC726" s="81"/>
      <c r="AD726" s="84" t="s">
        <v>2390</v>
      </c>
      <c r="AE726" s="82">
        <v>1</v>
      </c>
      <c r="AF726" s="83" t="str">
        <f>REPLACE(INDEX(GroupVertices[Group],MATCH(Edges[[#This Row],[Vertex 1]],GroupVertices[Vertex],0)),1,1,"")</f>
        <v>2</v>
      </c>
      <c r="AG726" s="83" t="str">
        <f>REPLACE(INDEX(GroupVertices[Group],MATCH(Edges[[#This Row],[Vertex 2]],GroupVertices[Vertex],0)),1,1,"")</f>
        <v>2</v>
      </c>
      <c r="AH726" s="111">
        <v>1</v>
      </c>
      <c r="AI726" s="112">
        <v>33.333333333333336</v>
      </c>
      <c r="AJ726" s="111">
        <v>0</v>
      </c>
      <c r="AK726" s="112">
        <v>0</v>
      </c>
      <c r="AL726" s="111">
        <v>0</v>
      </c>
      <c r="AM726" s="112">
        <v>0</v>
      </c>
      <c r="AN726" s="111">
        <v>2</v>
      </c>
      <c r="AO726" s="112">
        <v>66.66666666666667</v>
      </c>
      <c r="AP726" s="111">
        <v>3</v>
      </c>
    </row>
    <row r="727" spans="1:42" ht="15">
      <c r="A727" s="65" t="s">
        <v>793</v>
      </c>
      <c r="B727" s="65" t="s">
        <v>842</v>
      </c>
      <c r="C727" s="66" t="s">
        <v>4651</v>
      </c>
      <c r="D727" s="67">
        <v>3</v>
      </c>
      <c r="E727" s="68"/>
      <c r="F727" s="69">
        <v>40</v>
      </c>
      <c r="G727" s="66"/>
      <c r="H727" s="70"/>
      <c r="I727" s="71"/>
      <c r="J727" s="71"/>
      <c r="K727" s="35" t="s">
        <v>65</v>
      </c>
      <c r="L727" s="79">
        <v>727</v>
      </c>
      <c r="M727" s="79"/>
      <c r="N727" s="73"/>
      <c r="O727" s="81" t="s">
        <v>844</v>
      </c>
      <c r="P727" s="81" t="s">
        <v>199</v>
      </c>
      <c r="Q727" s="84" t="s">
        <v>1532</v>
      </c>
      <c r="R727" s="81" t="s">
        <v>793</v>
      </c>
      <c r="S727" s="81" t="s">
        <v>2152</v>
      </c>
      <c r="T727" s="86" t="str">
        <f>HYPERLINK("http://www.youtube.com/channel/UC7nIPfgorPJhL52Ne5qkn4Q")</f>
        <v>http://www.youtube.com/channel/UC7nIPfgorPJhL52Ne5qkn4Q</v>
      </c>
      <c r="U727" s="81"/>
      <c r="V727" s="81" t="s">
        <v>2335</v>
      </c>
      <c r="W727" s="86" t="str">
        <f>HYPERLINK("https://www.youtube.com/watch?v=fK1_SH3X2ek")</f>
        <v>https://www.youtube.com/watch?v=fK1_SH3X2ek</v>
      </c>
      <c r="X727" s="81" t="s">
        <v>2349</v>
      </c>
      <c r="Y727" s="81">
        <v>0</v>
      </c>
      <c r="Z727" s="88">
        <v>44032.623240740744</v>
      </c>
      <c r="AA727" s="88">
        <v>44032.623240740744</v>
      </c>
      <c r="AB727" s="81"/>
      <c r="AC727" s="81"/>
      <c r="AD727" s="84" t="s">
        <v>2390</v>
      </c>
      <c r="AE727" s="82">
        <v>1</v>
      </c>
      <c r="AF727" s="83" t="str">
        <f>REPLACE(INDEX(GroupVertices[Group],MATCH(Edges[[#This Row],[Vertex 1]],GroupVertices[Vertex],0)),1,1,"")</f>
        <v>2</v>
      </c>
      <c r="AG727" s="83" t="str">
        <f>REPLACE(INDEX(GroupVertices[Group],MATCH(Edges[[#This Row],[Vertex 2]],GroupVertices[Vertex],0)),1,1,"")</f>
        <v>2</v>
      </c>
      <c r="AH727" s="111">
        <v>0</v>
      </c>
      <c r="AI727" s="112">
        <v>0</v>
      </c>
      <c r="AJ727" s="111">
        <v>0</v>
      </c>
      <c r="AK727" s="112">
        <v>0</v>
      </c>
      <c r="AL727" s="111">
        <v>0</v>
      </c>
      <c r="AM727" s="112">
        <v>0</v>
      </c>
      <c r="AN727" s="111">
        <v>2</v>
      </c>
      <c r="AO727" s="112">
        <v>100</v>
      </c>
      <c r="AP727" s="111">
        <v>2</v>
      </c>
    </row>
    <row r="728" spans="1:42" ht="15">
      <c r="A728" s="65" t="s">
        <v>794</v>
      </c>
      <c r="B728" s="65" t="s">
        <v>842</v>
      </c>
      <c r="C728" s="66" t="s">
        <v>4651</v>
      </c>
      <c r="D728" s="67">
        <v>3</v>
      </c>
      <c r="E728" s="68"/>
      <c r="F728" s="69">
        <v>40</v>
      </c>
      <c r="G728" s="66"/>
      <c r="H728" s="70"/>
      <c r="I728" s="71"/>
      <c r="J728" s="71"/>
      <c r="K728" s="35" t="s">
        <v>65</v>
      </c>
      <c r="L728" s="79">
        <v>728</v>
      </c>
      <c r="M728" s="79"/>
      <c r="N728" s="73"/>
      <c r="O728" s="81" t="s">
        <v>844</v>
      </c>
      <c r="P728" s="81" t="s">
        <v>199</v>
      </c>
      <c r="Q728" s="84" t="s">
        <v>1533</v>
      </c>
      <c r="R728" s="81" t="s">
        <v>794</v>
      </c>
      <c r="S728" s="81" t="s">
        <v>2153</v>
      </c>
      <c r="T728" s="86" t="str">
        <f>HYPERLINK("http://www.youtube.com/channel/UCMqj6PcNzNbrIBmmVl0yoag")</f>
        <v>http://www.youtube.com/channel/UCMqj6PcNzNbrIBmmVl0yoag</v>
      </c>
      <c r="U728" s="81"/>
      <c r="V728" s="81" t="s">
        <v>2335</v>
      </c>
      <c r="W728" s="86" t="str">
        <f>HYPERLINK("https://www.youtube.com/watch?v=fK1_SH3X2ek")</f>
        <v>https://www.youtube.com/watch?v=fK1_SH3X2ek</v>
      </c>
      <c r="X728" s="81" t="s">
        <v>2349</v>
      </c>
      <c r="Y728" s="81">
        <v>0</v>
      </c>
      <c r="Z728" s="88">
        <v>44033.28542824074</v>
      </c>
      <c r="AA728" s="88">
        <v>44033.28542824074</v>
      </c>
      <c r="AB728" s="81"/>
      <c r="AC728" s="81"/>
      <c r="AD728" s="84" t="s">
        <v>2390</v>
      </c>
      <c r="AE728" s="82">
        <v>1</v>
      </c>
      <c r="AF728" s="83" t="str">
        <f>REPLACE(INDEX(GroupVertices[Group],MATCH(Edges[[#This Row],[Vertex 1]],GroupVertices[Vertex],0)),1,1,"")</f>
        <v>2</v>
      </c>
      <c r="AG728" s="83" t="str">
        <f>REPLACE(INDEX(GroupVertices[Group],MATCH(Edges[[#This Row],[Vertex 2]],GroupVertices[Vertex],0)),1,1,"")</f>
        <v>2</v>
      </c>
      <c r="AH728" s="111">
        <v>2</v>
      </c>
      <c r="AI728" s="112">
        <v>50</v>
      </c>
      <c r="AJ728" s="111">
        <v>0</v>
      </c>
      <c r="AK728" s="112">
        <v>0</v>
      </c>
      <c r="AL728" s="111">
        <v>0</v>
      </c>
      <c r="AM728" s="112">
        <v>0</v>
      </c>
      <c r="AN728" s="111">
        <v>2</v>
      </c>
      <c r="AO728" s="112">
        <v>50</v>
      </c>
      <c r="AP728" s="111">
        <v>4</v>
      </c>
    </row>
    <row r="729" spans="1:42" ht="15">
      <c r="A729" s="65" t="s">
        <v>795</v>
      </c>
      <c r="B729" s="65" t="s">
        <v>842</v>
      </c>
      <c r="C729" s="66" t="s">
        <v>4651</v>
      </c>
      <c r="D729" s="67">
        <v>3</v>
      </c>
      <c r="E729" s="68"/>
      <c r="F729" s="69">
        <v>40</v>
      </c>
      <c r="G729" s="66"/>
      <c r="H729" s="70"/>
      <c r="I729" s="71"/>
      <c r="J729" s="71"/>
      <c r="K729" s="35" t="s">
        <v>65</v>
      </c>
      <c r="L729" s="79">
        <v>729</v>
      </c>
      <c r="M729" s="79"/>
      <c r="N729" s="73"/>
      <c r="O729" s="81" t="s">
        <v>844</v>
      </c>
      <c r="P729" s="81" t="s">
        <v>199</v>
      </c>
      <c r="Q729" s="84" t="s">
        <v>1253</v>
      </c>
      <c r="R729" s="81" t="s">
        <v>795</v>
      </c>
      <c r="S729" s="81" t="s">
        <v>2154</v>
      </c>
      <c r="T729" s="86" t="str">
        <f>HYPERLINK("http://www.youtube.com/channel/UCr8qF5f_vLyTxQe2fw02d8w")</f>
        <v>http://www.youtube.com/channel/UCr8qF5f_vLyTxQe2fw02d8w</v>
      </c>
      <c r="U729" s="81"/>
      <c r="V729" s="81" t="s">
        <v>2335</v>
      </c>
      <c r="W729" s="86" t="str">
        <f>HYPERLINK("https://www.youtube.com/watch?v=fK1_SH3X2ek")</f>
        <v>https://www.youtube.com/watch?v=fK1_SH3X2ek</v>
      </c>
      <c r="X729" s="81" t="s">
        <v>2349</v>
      </c>
      <c r="Y729" s="81">
        <v>0</v>
      </c>
      <c r="Z729" s="88">
        <v>44050.46113425926</v>
      </c>
      <c r="AA729" s="88">
        <v>44050.46113425926</v>
      </c>
      <c r="AB729" s="81"/>
      <c r="AC729" s="81"/>
      <c r="AD729" s="84" t="s">
        <v>2390</v>
      </c>
      <c r="AE729" s="82">
        <v>1</v>
      </c>
      <c r="AF729" s="83" t="str">
        <f>REPLACE(INDEX(GroupVertices[Group],MATCH(Edges[[#This Row],[Vertex 1]],GroupVertices[Vertex],0)),1,1,"")</f>
        <v>2</v>
      </c>
      <c r="AG729" s="83" t="str">
        <f>REPLACE(INDEX(GroupVertices[Group],MATCH(Edges[[#This Row],[Vertex 2]],GroupVertices[Vertex],0)),1,1,"")</f>
        <v>2</v>
      </c>
      <c r="AH729" s="111">
        <v>0</v>
      </c>
      <c r="AI729" s="112">
        <v>0</v>
      </c>
      <c r="AJ729" s="111">
        <v>0</v>
      </c>
      <c r="AK729" s="112">
        <v>0</v>
      </c>
      <c r="AL729" s="111">
        <v>0</v>
      </c>
      <c r="AM729" s="112">
        <v>0</v>
      </c>
      <c r="AN729" s="111">
        <v>1</v>
      </c>
      <c r="AO729" s="112">
        <v>100</v>
      </c>
      <c r="AP729" s="111">
        <v>1</v>
      </c>
    </row>
    <row r="730" spans="1:42" ht="15">
      <c r="A730" s="65" t="s">
        <v>796</v>
      </c>
      <c r="B730" s="65" t="s">
        <v>842</v>
      </c>
      <c r="C730" s="66" t="s">
        <v>4651</v>
      </c>
      <c r="D730" s="67">
        <v>3</v>
      </c>
      <c r="E730" s="68"/>
      <c r="F730" s="69">
        <v>40</v>
      </c>
      <c r="G730" s="66"/>
      <c r="H730" s="70"/>
      <c r="I730" s="71"/>
      <c r="J730" s="71"/>
      <c r="K730" s="35" t="s">
        <v>65</v>
      </c>
      <c r="L730" s="79">
        <v>730</v>
      </c>
      <c r="M730" s="79"/>
      <c r="N730" s="73"/>
      <c r="O730" s="81" t="s">
        <v>844</v>
      </c>
      <c r="P730" s="81" t="s">
        <v>199</v>
      </c>
      <c r="Q730" s="84" t="s">
        <v>1534</v>
      </c>
      <c r="R730" s="81" t="s">
        <v>796</v>
      </c>
      <c r="S730" s="81" t="s">
        <v>2155</v>
      </c>
      <c r="T730" s="86" t="str">
        <f>HYPERLINK("http://www.youtube.com/channel/UCh-2TKI04EBmj1G6P1OB6Pw")</f>
        <v>http://www.youtube.com/channel/UCh-2TKI04EBmj1G6P1OB6Pw</v>
      </c>
      <c r="U730" s="81"/>
      <c r="V730" s="81" t="s">
        <v>2335</v>
      </c>
      <c r="W730" s="86" t="str">
        <f>HYPERLINK("https://www.youtube.com/watch?v=fK1_SH3X2ek")</f>
        <v>https://www.youtube.com/watch?v=fK1_SH3X2ek</v>
      </c>
      <c r="X730" s="81" t="s">
        <v>2349</v>
      </c>
      <c r="Y730" s="81">
        <v>0</v>
      </c>
      <c r="Z730" s="88">
        <v>44062.305972222224</v>
      </c>
      <c r="AA730" s="88">
        <v>44062.305972222224</v>
      </c>
      <c r="AB730" s="81"/>
      <c r="AC730" s="81"/>
      <c r="AD730" s="84" t="s">
        <v>2390</v>
      </c>
      <c r="AE730" s="82">
        <v>1</v>
      </c>
      <c r="AF730" s="83" t="str">
        <f>REPLACE(INDEX(GroupVertices[Group],MATCH(Edges[[#This Row],[Vertex 1]],GroupVertices[Vertex],0)),1,1,"")</f>
        <v>2</v>
      </c>
      <c r="AG730" s="83" t="str">
        <f>REPLACE(INDEX(GroupVertices[Group],MATCH(Edges[[#This Row],[Vertex 2]],GroupVertices[Vertex],0)),1,1,"")</f>
        <v>2</v>
      </c>
      <c r="AH730" s="111">
        <v>0</v>
      </c>
      <c r="AI730" s="112">
        <v>0</v>
      </c>
      <c r="AJ730" s="111">
        <v>0</v>
      </c>
      <c r="AK730" s="112">
        <v>0</v>
      </c>
      <c r="AL730" s="111">
        <v>0</v>
      </c>
      <c r="AM730" s="112">
        <v>0</v>
      </c>
      <c r="AN730" s="111">
        <v>0</v>
      </c>
      <c r="AO730" s="112">
        <v>0</v>
      </c>
      <c r="AP730" s="111">
        <v>0</v>
      </c>
    </row>
    <row r="731" spans="1:42" ht="15">
      <c r="A731" s="65" t="s">
        <v>742</v>
      </c>
      <c r="B731" s="65" t="s">
        <v>798</v>
      </c>
      <c r="C731" s="66" t="s">
        <v>4651</v>
      </c>
      <c r="D731" s="67">
        <v>3</v>
      </c>
      <c r="E731" s="68"/>
      <c r="F731" s="69">
        <v>40</v>
      </c>
      <c r="G731" s="66"/>
      <c r="H731" s="70"/>
      <c r="I731" s="71"/>
      <c r="J731" s="71"/>
      <c r="K731" s="35" t="s">
        <v>65</v>
      </c>
      <c r="L731" s="79">
        <v>731</v>
      </c>
      <c r="M731" s="79"/>
      <c r="N731" s="73"/>
      <c r="O731" s="81" t="s">
        <v>845</v>
      </c>
      <c r="P731" s="81" t="s">
        <v>847</v>
      </c>
      <c r="Q731" s="84" t="s">
        <v>1535</v>
      </c>
      <c r="R731" s="81" t="s">
        <v>742</v>
      </c>
      <c r="S731" s="81" t="s">
        <v>2101</v>
      </c>
      <c r="T731" s="86" t="str">
        <f>HYPERLINK("http://www.youtube.com/channel/UCy8XLhlIl992JrAP2hgCscQ")</f>
        <v>http://www.youtube.com/channel/UCy8XLhlIl992JrAP2hgCscQ</v>
      </c>
      <c r="U731" s="81" t="s">
        <v>2301</v>
      </c>
      <c r="V731" s="81" t="s">
        <v>2335</v>
      </c>
      <c r="W731" s="86" t="str">
        <f>HYPERLINK("https://www.youtube.com/watch?v=fK1_SH3X2ek")</f>
        <v>https://www.youtube.com/watch?v=fK1_SH3X2ek</v>
      </c>
      <c r="X731" s="81" t="s">
        <v>2349</v>
      </c>
      <c r="Y731" s="81">
        <v>1</v>
      </c>
      <c r="Z731" s="88">
        <v>44124.64743055555</v>
      </c>
      <c r="AA731" s="88">
        <v>44124.64743055555</v>
      </c>
      <c r="AB731" s="81"/>
      <c r="AC731" s="81"/>
      <c r="AD731" s="84" t="s">
        <v>2390</v>
      </c>
      <c r="AE731" s="82">
        <v>1</v>
      </c>
      <c r="AF731" s="83" t="str">
        <f>REPLACE(INDEX(GroupVertices[Group],MATCH(Edges[[#This Row],[Vertex 1]],GroupVertices[Vertex],0)),1,1,"")</f>
        <v>2</v>
      </c>
      <c r="AG731" s="83" t="str">
        <f>REPLACE(INDEX(GroupVertices[Group],MATCH(Edges[[#This Row],[Vertex 2]],GroupVertices[Vertex],0)),1,1,"")</f>
        <v>2</v>
      </c>
      <c r="AH731" s="111">
        <v>1</v>
      </c>
      <c r="AI731" s="112">
        <v>6.25</v>
      </c>
      <c r="AJ731" s="111">
        <v>0</v>
      </c>
      <c r="AK731" s="112">
        <v>0</v>
      </c>
      <c r="AL731" s="111">
        <v>0</v>
      </c>
      <c r="AM731" s="112">
        <v>0</v>
      </c>
      <c r="AN731" s="111">
        <v>15</v>
      </c>
      <c r="AO731" s="112">
        <v>93.75</v>
      </c>
      <c r="AP731" s="111">
        <v>16</v>
      </c>
    </row>
    <row r="732" spans="1:42" ht="15">
      <c r="A732" s="65" t="s">
        <v>797</v>
      </c>
      <c r="B732" s="65" t="s">
        <v>798</v>
      </c>
      <c r="C732" s="66" t="s">
        <v>4651</v>
      </c>
      <c r="D732" s="67">
        <v>3</v>
      </c>
      <c r="E732" s="68"/>
      <c r="F732" s="69">
        <v>40</v>
      </c>
      <c r="G732" s="66"/>
      <c r="H732" s="70"/>
      <c r="I732" s="71"/>
      <c r="J732" s="71"/>
      <c r="K732" s="35" t="s">
        <v>65</v>
      </c>
      <c r="L732" s="79">
        <v>732</v>
      </c>
      <c r="M732" s="79"/>
      <c r="N732" s="73"/>
      <c r="O732" s="81" t="s">
        <v>845</v>
      </c>
      <c r="P732" s="81" t="s">
        <v>847</v>
      </c>
      <c r="Q732" s="84" t="s">
        <v>1536</v>
      </c>
      <c r="R732" s="81" t="s">
        <v>797</v>
      </c>
      <c r="S732" s="81" t="s">
        <v>2156</v>
      </c>
      <c r="T732" s="86" t="str">
        <f>HYPERLINK("http://www.youtube.com/channel/UC1l0Bbv3upJ90bFKIfT2JCA")</f>
        <v>http://www.youtube.com/channel/UC1l0Bbv3upJ90bFKIfT2JCA</v>
      </c>
      <c r="U732" s="81" t="s">
        <v>2301</v>
      </c>
      <c r="V732" s="81" t="s">
        <v>2335</v>
      </c>
      <c r="W732" s="86" t="str">
        <f>HYPERLINK("https://www.youtube.com/watch?v=fK1_SH3X2ek")</f>
        <v>https://www.youtube.com/watch?v=fK1_SH3X2ek</v>
      </c>
      <c r="X732" s="81" t="s">
        <v>2349</v>
      </c>
      <c r="Y732" s="81">
        <v>1</v>
      </c>
      <c r="Z732" s="88">
        <v>44135.35366898148</v>
      </c>
      <c r="AA732" s="88">
        <v>44135.35366898148</v>
      </c>
      <c r="AB732" s="81"/>
      <c r="AC732" s="81"/>
      <c r="AD732" s="84" t="s">
        <v>2390</v>
      </c>
      <c r="AE732" s="82">
        <v>1</v>
      </c>
      <c r="AF732" s="83" t="str">
        <f>REPLACE(INDEX(GroupVertices[Group],MATCH(Edges[[#This Row],[Vertex 1]],GroupVertices[Vertex],0)),1,1,"")</f>
        <v>2</v>
      </c>
      <c r="AG732" s="83" t="str">
        <f>REPLACE(INDEX(GroupVertices[Group],MATCH(Edges[[#This Row],[Vertex 2]],GroupVertices[Vertex],0)),1,1,"")</f>
        <v>2</v>
      </c>
      <c r="AH732" s="111">
        <v>1</v>
      </c>
      <c r="AI732" s="112">
        <v>7.142857142857143</v>
      </c>
      <c r="AJ732" s="111">
        <v>0</v>
      </c>
      <c r="AK732" s="112">
        <v>0</v>
      </c>
      <c r="AL732" s="111">
        <v>0</v>
      </c>
      <c r="AM732" s="112">
        <v>0</v>
      </c>
      <c r="AN732" s="111">
        <v>13</v>
      </c>
      <c r="AO732" s="112">
        <v>92.85714285714286</v>
      </c>
      <c r="AP732" s="111">
        <v>14</v>
      </c>
    </row>
    <row r="733" spans="1:42" ht="15">
      <c r="A733" s="65" t="s">
        <v>798</v>
      </c>
      <c r="B733" s="65" t="s">
        <v>798</v>
      </c>
      <c r="C733" s="66" t="s">
        <v>4651</v>
      </c>
      <c r="D733" s="67">
        <v>3</v>
      </c>
      <c r="E733" s="68"/>
      <c r="F733" s="69">
        <v>40</v>
      </c>
      <c r="G733" s="66"/>
      <c r="H733" s="70"/>
      <c r="I733" s="71"/>
      <c r="J733" s="71"/>
      <c r="K733" s="35" t="s">
        <v>65</v>
      </c>
      <c r="L733" s="79">
        <v>733</v>
      </c>
      <c r="M733" s="79"/>
      <c r="N733" s="73"/>
      <c r="O733" s="81" t="s">
        <v>845</v>
      </c>
      <c r="P733" s="81" t="s">
        <v>847</v>
      </c>
      <c r="Q733" s="84" t="s">
        <v>1537</v>
      </c>
      <c r="R733" s="81" t="s">
        <v>798</v>
      </c>
      <c r="S733" s="81" t="s">
        <v>2157</v>
      </c>
      <c r="T733" s="86" t="str">
        <f>HYPERLINK("http://www.youtube.com/channel/UCaIeo4JpCmSTtmQfmfH4eAg")</f>
        <v>http://www.youtube.com/channel/UCaIeo4JpCmSTtmQfmfH4eAg</v>
      </c>
      <c r="U733" s="81" t="s">
        <v>2301</v>
      </c>
      <c r="V733" s="81" t="s">
        <v>2335</v>
      </c>
      <c r="W733" s="86" t="str">
        <f>HYPERLINK("https://www.youtube.com/watch?v=fK1_SH3X2ek")</f>
        <v>https://www.youtube.com/watch?v=fK1_SH3X2ek</v>
      </c>
      <c r="X733" s="81" t="s">
        <v>2349</v>
      </c>
      <c r="Y733" s="81">
        <v>0</v>
      </c>
      <c r="Z733" s="88">
        <v>44135.573599537034</v>
      </c>
      <c r="AA733" s="88">
        <v>44135.573599537034</v>
      </c>
      <c r="AB733" s="81"/>
      <c r="AC733" s="81"/>
      <c r="AD733" s="84" t="s">
        <v>2390</v>
      </c>
      <c r="AE733" s="82">
        <v>1</v>
      </c>
      <c r="AF733" s="83" t="str">
        <f>REPLACE(INDEX(GroupVertices[Group],MATCH(Edges[[#This Row],[Vertex 1]],GroupVertices[Vertex],0)),1,1,"")</f>
        <v>2</v>
      </c>
      <c r="AG733" s="83" t="str">
        <f>REPLACE(INDEX(GroupVertices[Group],MATCH(Edges[[#This Row],[Vertex 2]],GroupVertices[Vertex],0)),1,1,"")</f>
        <v>2</v>
      </c>
      <c r="AH733" s="111">
        <v>2</v>
      </c>
      <c r="AI733" s="112">
        <v>8</v>
      </c>
      <c r="AJ733" s="111">
        <v>0</v>
      </c>
      <c r="AK733" s="112">
        <v>0</v>
      </c>
      <c r="AL733" s="111">
        <v>0</v>
      </c>
      <c r="AM733" s="112">
        <v>0</v>
      </c>
      <c r="AN733" s="111">
        <v>23</v>
      </c>
      <c r="AO733" s="112">
        <v>92</v>
      </c>
      <c r="AP733" s="111">
        <v>25</v>
      </c>
    </row>
    <row r="734" spans="1:42" ht="15">
      <c r="A734" s="65" t="s">
        <v>798</v>
      </c>
      <c r="B734" s="65" t="s">
        <v>842</v>
      </c>
      <c r="C734" s="66" t="s">
        <v>4651</v>
      </c>
      <c r="D734" s="67">
        <v>3</v>
      </c>
      <c r="E734" s="68"/>
      <c r="F734" s="69">
        <v>40</v>
      </c>
      <c r="G734" s="66"/>
      <c r="H734" s="70"/>
      <c r="I734" s="71"/>
      <c r="J734" s="71"/>
      <c r="K734" s="35" t="s">
        <v>65</v>
      </c>
      <c r="L734" s="79">
        <v>734</v>
      </c>
      <c r="M734" s="79"/>
      <c r="N734" s="73"/>
      <c r="O734" s="81" t="s">
        <v>844</v>
      </c>
      <c r="P734" s="81" t="s">
        <v>199</v>
      </c>
      <c r="Q734" s="84" t="s">
        <v>1538</v>
      </c>
      <c r="R734" s="81" t="s">
        <v>798</v>
      </c>
      <c r="S734" s="81" t="s">
        <v>2157</v>
      </c>
      <c r="T734" s="86" t="str">
        <f>HYPERLINK("http://www.youtube.com/channel/UCaIeo4JpCmSTtmQfmfH4eAg")</f>
        <v>http://www.youtube.com/channel/UCaIeo4JpCmSTtmQfmfH4eAg</v>
      </c>
      <c r="U734" s="81"/>
      <c r="V734" s="81" t="s">
        <v>2335</v>
      </c>
      <c r="W734" s="86" t="str">
        <f>HYPERLINK("https://www.youtube.com/watch?v=fK1_SH3X2ek")</f>
        <v>https://www.youtube.com/watch?v=fK1_SH3X2ek</v>
      </c>
      <c r="X734" s="81" t="s">
        <v>2349</v>
      </c>
      <c r="Y734" s="81">
        <v>3</v>
      </c>
      <c r="Z734" s="88">
        <v>44066.0221875</v>
      </c>
      <c r="AA734" s="88">
        <v>44066.0221875</v>
      </c>
      <c r="AB734" s="81" t="s">
        <v>2356</v>
      </c>
      <c r="AC734" s="81" t="s">
        <v>2381</v>
      </c>
      <c r="AD734" s="84" t="s">
        <v>2390</v>
      </c>
      <c r="AE734" s="82">
        <v>1</v>
      </c>
      <c r="AF734" s="83" t="str">
        <f>REPLACE(INDEX(GroupVertices[Group],MATCH(Edges[[#This Row],[Vertex 1]],GroupVertices[Vertex],0)),1,1,"")</f>
        <v>2</v>
      </c>
      <c r="AG734" s="83" t="str">
        <f>REPLACE(INDEX(GroupVertices[Group],MATCH(Edges[[#This Row],[Vertex 2]],GroupVertices[Vertex],0)),1,1,"")</f>
        <v>2</v>
      </c>
      <c r="AH734" s="111">
        <v>4</v>
      </c>
      <c r="AI734" s="112">
        <v>2.2099447513812156</v>
      </c>
      <c r="AJ734" s="111">
        <v>4</v>
      </c>
      <c r="AK734" s="112">
        <v>2.2099447513812156</v>
      </c>
      <c r="AL734" s="111">
        <v>0</v>
      </c>
      <c r="AM734" s="112">
        <v>0</v>
      </c>
      <c r="AN734" s="111">
        <v>173</v>
      </c>
      <c r="AO734" s="112">
        <v>95.58011049723757</v>
      </c>
      <c r="AP734" s="111">
        <v>181</v>
      </c>
    </row>
    <row r="735" spans="1:42" ht="15">
      <c r="A735" s="65" t="s">
        <v>799</v>
      </c>
      <c r="B735" s="65" t="s">
        <v>842</v>
      </c>
      <c r="C735" s="66" t="s">
        <v>4651</v>
      </c>
      <c r="D735" s="67">
        <v>3</v>
      </c>
      <c r="E735" s="68"/>
      <c r="F735" s="69">
        <v>40</v>
      </c>
      <c r="G735" s="66"/>
      <c r="H735" s="70"/>
      <c r="I735" s="71"/>
      <c r="J735" s="71"/>
      <c r="K735" s="35" t="s">
        <v>65</v>
      </c>
      <c r="L735" s="79">
        <v>735</v>
      </c>
      <c r="M735" s="79"/>
      <c r="N735" s="73"/>
      <c r="O735" s="81" t="s">
        <v>844</v>
      </c>
      <c r="P735" s="81" t="s">
        <v>199</v>
      </c>
      <c r="Q735" s="84" t="s">
        <v>1539</v>
      </c>
      <c r="R735" s="81" t="s">
        <v>799</v>
      </c>
      <c r="S735" s="81" t="s">
        <v>2158</v>
      </c>
      <c r="T735" s="86" t="str">
        <f>HYPERLINK("http://www.youtube.com/channel/UCD3JkquUUlOui749jhE6Mvg")</f>
        <v>http://www.youtube.com/channel/UCD3JkquUUlOui749jhE6Mvg</v>
      </c>
      <c r="U735" s="81"/>
      <c r="V735" s="81" t="s">
        <v>2335</v>
      </c>
      <c r="W735" s="86" t="str">
        <f>HYPERLINK("https://www.youtube.com/watch?v=fK1_SH3X2ek")</f>
        <v>https://www.youtube.com/watch?v=fK1_SH3X2ek</v>
      </c>
      <c r="X735" s="81" t="s">
        <v>2349</v>
      </c>
      <c r="Y735" s="81">
        <v>1</v>
      </c>
      <c r="Z735" s="88">
        <v>44096.70679398148</v>
      </c>
      <c r="AA735" s="88">
        <v>44096.70679398148</v>
      </c>
      <c r="AB735" s="81"/>
      <c r="AC735" s="81"/>
      <c r="AD735" s="84" t="s">
        <v>2390</v>
      </c>
      <c r="AE735" s="82">
        <v>1</v>
      </c>
      <c r="AF735" s="83" t="str">
        <f>REPLACE(INDEX(GroupVertices[Group],MATCH(Edges[[#This Row],[Vertex 1]],GroupVertices[Vertex],0)),1,1,"")</f>
        <v>2</v>
      </c>
      <c r="AG735" s="83" t="str">
        <f>REPLACE(INDEX(GroupVertices[Group],MATCH(Edges[[#This Row],[Vertex 2]],GroupVertices[Vertex],0)),1,1,"")</f>
        <v>2</v>
      </c>
      <c r="AH735" s="111">
        <v>1</v>
      </c>
      <c r="AI735" s="112">
        <v>7.142857142857143</v>
      </c>
      <c r="AJ735" s="111">
        <v>0</v>
      </c>
      <c r="AK735" s="112">
        <v>0</v>
      </c>
      <c r="AL735" s="111">
        <v>0</v>
      </c>
      <c r="AM735" s="112">
        <v>0</v>
      </c>
      <c r="AN735" s="111">
        <v>13</v>
      </c>
      <c r="AO735" s="112">
        <v>92.85714285714286</v>
      </c>
      <c r="AP735" s="111">
        <v>14</v>
      </c>
    </row>
    <row r="736" spans="1:42" ht="15">
      <c r="A736" s="65" t="s">
        <v>800</v>
      </c>
      <c r="B736" s="65" t="s">
        <v>842</v>
      </c>
      <c r="C736" s="66" t="s">
        <v>4651</v>
      </c>
      <c r="D736" s="67">
        <v>3</v>
      </c>
      <c r="E736" s="68"/>
      <c r="F736" s="69">
        <v>40</v>
      </c>
      <c r="G736" s="66"/>
      <c r="H736" s="70"/>
      <c r="I736" s="71"/>
      <c r="J736" s="71"/>
      <c r="K736" s="35" t="s">
        <v>65</v>
      </c>
      <c r="L736" s="79">
        <v>736</v>
      </c>
      <c r="M736" s="79"/>
      <c r="N736" s="73"/>
      <c r="O736" s="81" t="s">
        <v>844</v>
      </c>
      <c r="P736" s="81" t="s">
        <v>199</v>
      </c>
      <c r="Q736" s="84" t="s">
        <v>1540</v>
      </c>
      <c r="R736" s="81" t="s">
        <v>800</v>
      </c>
      <c r="S736" s="81" t="s">
        <v>2159</v>
      </c>
      <c r="T736" s="86" t="str">
        <f>HYPERLINK("http://www.youtube.com/channel/UCLj0oRJSMJlFtBvj2MqARiQ")</f>
        <v>http://www.youtube.com/channel/UCLj0oRJSMJlFtBvj2MqARiQ</v>
      </c>
      <c r="U736" s="81"/>
      <c r="V736" s="81" t="s">
        <v>2335</v>
      </c>
      <c r="W736" s="86" t="str">
        <f>HYPERLINK("https://www.youtube.com/watch?v=fK1_SH3X2ek")</f>
        <v>https://www.youtube.com/watch?v=fK1_SH3X2ek</v>
      </c>
      <c r="X736" s="81" t="s">
        <v>2349</v>
      </c>
      <c r="Y736" s="81">
        <v>1</v>
      </c>
      <c r="Z736" s="88">
        <v>44103.326319444444</v>
      </c>
      <c r="AA736" s="88">
        <v>44103.326319444444</v>
      </c>
      <c r="AB736" s="81"/>
      <c r="AC736" s="81"/>
      <c r="AD736" s="84" t="s">
        <v>2390</v>
      </c>
      <c r="AE736" s="82">
        <v>1</v>
      </c>
      <c r="AF736" s="83" t="str">
        <f>REPLACE(INDEX(GroupVertices[Group],MATCH(Edges[[#This Row],[Vertex 1]],GroupVertices[Vertex],0)),1,1,"")</f>
        <v>2</v>
      </c>
      <c r="AG736" s="83" t="str">
        <f>REPLACE(INDEX(GroupVertices[Group],MATCH(Edges[[#This Row],[Vertex 2]],GroupVertices[Vertex],0)),1,1,"")</f>
        <v>2</v>
      </c>
      <c r="AH736" s="111">
        <v>1</v>
      </c>
      <c r="AI736" s="112">
        <v>50</v>
      </c>
      <c r="AJ736" s="111">
        <v>0</v>
      </c>
      <c r="AK736" s="112">
        <v>0</v>
      </c>
      <c r="AL736" s="111">
        <v>0</v>
      </c>
      <c r="AM736" s="112">
        <v>0</v>
      </c>
      <c r="AN736" s="111">
        <v>1</v>
      </c>
      <c r="AO736" s="112">
        <v>50</v>
      </c>
      <c r="AP736" s="111">
        <v>2</v>
      </c>
    </row>
    <row r="737" spans="1:42" ht="15">
      <c r="A737" s="65" t="s">
        <v>801</v>
      </c>
      <c r="B737" s="65" t="s">
        <v>842</v>
      </c>
      <c r="C737" s="66" t="s">
        <v>4613</v>
      </c>
      <c r="D737" s="67">
        <v>10</v>
      </c>
      <c r="E737" s="68"/>
      <c r="F737" s="69">
        <v>15</v>
      </c>
      <c r="G737" s="66"/>
      <c r="H737" s="70"/>
      <c r="I737" s="71"/>
      <c r="J737" s="71"/>
      <c r="K737" s="35" t="s">
        <v>65</v>
      </c>
      <c r="L737" s="79">
        <v>737</v>
      </c>
      <c r="M737" s="79"/>
      <c r="N737" s="73"/>
      <c r="O737" s="81" t="s">
        <v>844</v>
      </c>
      <c r="P737" s="81" t="s">
        <v>199</v>
      </c>
      <c r="Q737" s="84" t="s">
        <v>1541</v>
      </c>
      <c r="R737" s="81" t="s">
        <v>801</v>
      </c>
      <c r="S737" s="81" t="s">
        <v>2160</v>
      </c>
      <c r="T737" s="86" t="str">
        <f>HYPERLINK("http://www.youtube.com/channel/UC1aILpkji8MPAKECCmV6exQ")</f>
        <v>http://www.youtube.com/channel/UC1aILpkji8MPAKECCmV6exQ</v>
      </c>
      <c r="U737" s="81"/>
      <c r="V737" s="81" t="s">
        <v>2335</v>
      </c>
      <c r="W737" s="86" t="str">
        <f>HYPERLINK("https://www.youtube.com/watch?v=fK1_SH3X2ek")</f>
        <v>https://www.youtube.com/watch?v=fK1_SH3X2ek</v>
      </c>
      <c r="X737" s="81" t="s">
        <v>2349</v>
      </c>
      <c r="Y737" s="81">
        <v>0</v>
      </c>
      <c r="Z737" s="88">
        <v>44105.19553240741</v>
      </c>
      <c r="AA737" s="88">
        <v>44105.19553240741</v>
      </c>
      <c r="AB737" s="81"/>
      <c r="AC737" s="81"/>
      <c r="AD737" s="84" t="s">
        <v>2390</v>
      </c>
      <c r="AE737" s="82">
        <v>2</v>
      </c>
      <c r="AF737" s="83" t="str">
        <f>REPLACE(INDEX(GroupVertices[Group],MATCH(Edges[[#This Row],[Vertex 1]],GroupVertices[Vertex],0)),1,1,"")</f>
        <v>2</v>
      </c>
      <c r="AG737" s="83" t="str">
        <f>REPLACE(INDEX(GroupVertices[Group],MATCH(Edges[[#This Row],[Vertex 2]],GroupVertices[Vertex],0)),1,1,"")</f>
        <v>2</v>
      </c>
      <c r="AH737" s="111">
        <v>0</v>
      </c>
      <c r="AI737" s="112">
        <v>0</v>
      </c>
      <c r="AJ737" s="111">
        <v>0</v>
      </c>
      <c r="AK737" s="112">
        <v>0</v>
      </c>
      <c r="AL737" s="111">
        <v>0</v>
      </c>
      <c r="AM737" s="112">
        <v>0</v>
      </c>
      <c r="AN737" s="111">
        <v>1</v>
      </c>
      <c r="AO737" s="112">
        <v>100</v>
      </c>
      <c r="AP737" s="111">
        <v>1</v>
      </c>
    </row>
    <row r="738" spans="1:42" ht="15">
      <c r="A738" s="65" t="s">
        <v>801</v>
      </c>
      <c r="B738" s="65" t="s">
        <v>842</v>
      </c>
      <c r="C738" s="66" t="s">
        <v>4613</v>
      </c>
      <c r="D738" s="67">
        <v>10</v>
      </c>
      <c r="E738" s="68"/>
      <c r="F738" s="69">
        <v>15</v>
      </c>
      <c r="G738" s="66"/>
      <c r="H738" s="70"/>
      <c r="I738" s="71"/>
      <c r="J738" s="71"/>
      <c r="K738" s="35" t="s">
        <v>65</v>
      </c>
      <c r="L738" s="79">
        <v>738</v>
      </c>
      <c r="M738" s="79"/>
      <c r="N738" s="73"/>
      <c r="O738" s="81" t="s">
        <v>844</v>
      </c>
      <c r="P738" s="81" t="s">
        <v>199</v>
      </c>
      <c r="Q738" s="84" t="s">
        <v>870</v>
      </c>
      <c r="R738" s="81" t="s">
        <v>801</v>
      </c>
      <c r="S738" s="81" t="s">
        <v>2160</v>
      </c>
      <c r="T738" s="86" t="str">
        <f>HYPERLINK("http://www.youtube.com/channel/UC1aILpkji8MPAKECCmV6exQ")</f>
        <v>http://www.youtube.com/channel/UC1aILpkji8MPAKECCmV6exQ</v>
      </c>
      <c r="U738" s="81"/>
      <c r="V738" s="81" t="s">
        <v>2335</v>
      </c>
      <c r="W738" s="86" t="str">
        <f>HYPERLINK("https://www.youtube.com/watch?v=fK1_SH3X2ek")</f>
        <v>https://www.youtube.com/watch?v=fK1_SH3X2ek</v>
      </c>
      <c r="X738" s="81" t="s">
        <v>2349</v>
      </c>
      <c r="Y738" s="81">
        <v>0</v>
      </c>
      <c r="Z738" s="88">
        <v>44105.19567129629</v>
      </c>
      <c r="AA738" s="88">
        <v>44105.19567129629</v>
      </c>
      <c r="AB738" s="81"/>
      <c r="AC738" s="81"/>
      <c r="AD738" s="84" t="s">
        <v>2390</v>
      </c>
      <c r="AE738" s="82">
        <v>2</v>
      </c>
      <c r="AF738" s="83" t="str">
        <f>REPLACE(INDEX(GroupVertices[Group],MATCH(Edges[[#This Row],[Vertex 1]],GroupVertices[Vertex],0)),1,1,"")</f>
        <v>2</v>
      </c>
      <c r="AG738" s="83" t="str">
        <f>REPLACE(INDEX(GroupVertices[Group],MATCH(Edges[[#This Row],[Vertex 2]],GroupVertices[Vertex],0)),1,1,"")</f>
        <v>2</v>
      </c>
      <c r="AH738" s="111">
        <v>1</v>
      </c>
      <c r="AI738" s="112">
        <v>100</v>
      </c>
      <c r="AJ738" s="111">
        <v>0</v>
      </c>
      <c r="AK738" s="112">
        <v>0</v>
      </c>
      <c r="AL738" s="111">
        <v>0</v>
      </c>
      <c r="AM738" s="112">
        <v>0</v>
      </c>
      <c r="AN738" s="111">
        <v>0</v>
      </c>
      <c r="AO738" s="112">
        <v>0</v>
      </c>
      <c r="AP738" s="111">
        <v>1</v>
      </c>
    </row>
    <row r="739" spans="1:42" ht="15">
      <c r="A739" s="65" t="s">
        <v>802</v>
      </c>
      <c r="B739" s="65" t="s">
        <v>842</v>
      </c>
      <c r="C739" s="66" t="s">
        <v>4651</v>
      </c>
      <c r="D739" s="67">
        <v>3</v>
      </c>
      <c r="E739" s="68"/>
      <c r="F739" s="69">
        <v>40</v>
      </c>
      <c r="G739" s="66"/>
      <c r="H739" s="70"/>
      <c r="I739" s="71"/>
      <c r="J739" s="71"/>
      <c r="K739" s="35" t="s">
        <v>65</v>
      </c>
      <c r="L739" s="79">
        <v>739</v>
      </c>
      <c r="M739" s="79"/>
      <c r="N739" s="73"/>
      <c r="O739" s="81" t="s">
        <v>844</v>
      </c>
      <c r="P739" s="81" t="s">
        <v>199</v>
      </c>
      <c r="Q739" s="84" t="s">
        <v>1542</v>
      </c>
      <c r="R739" s="81" t="s">
        <v>802</v>
      </c>
      <c r="S739" s="81" t="s">
        <v>2161</v>
      </c>
      <c r="T739" s="86" t="str">
        <f>HYPERLINK("http://www.youtube.com/channel/UCjXQ1_b7RUp86iL0t4I4XrQ")</f>
        <v>http://www.youtube.com/channel/UCjXQ1_b7RUp86iL0t4I4XrQ</v>
      </c>
      <c r="U739" s="81"/>
      <c r="V739" s="81" t="s">
        <v>2335</v>
      </c>
      <c r="W739" s="86" t="str">
        <f>HYPERLINK("https://www.youtube.com/watch?v=fK1_SH3X2ek")</f>
        <v>https://www.youtube.com/watch?v=fK1_SH3X2ek</v>
      </c>
      <c r="X739" s="81" t="s">
        <v>2349</v>
      </c>
      <c r="Y739" s="81">
        <v>0</v>
      </c>
      <c r="Z739" s="88">
        <v>44118.135625</v>
      </c>
      <c r="AA739" s="88">
        <v>44118.135625</v>
      </c>
      <c r="AB739" s="81"/>
      <c r="AC739" s="81"/>
      <c r="AD739" s="84" t="s">
        <v>2390</v>
      </c>
      <c r="AE739" s="82">
        <v>1</v>
      </c>
      <c r="AF739" s="83" t="str">
        <f>REPLACE(INDEX(GroupVertices[Group],MATCH(Edges[[#This Row],[Vertex 1]],GroupVertices[Vertex],0)),1,1,"")</f>
        <v>2</v>
      </c>
      <c r="AG739" s="83" t="str">
        <f>REPLACE(INDEX(GroupVertices[Group],MATCH(Edges[[#This Row],[Vertex 2]],GroupVertices[Vertex],0)),1,1,"")</f>
        <v>2</v>
      </c>
      <c r="AH739" s="111">
        <v>1</v>
      </c>
      <c r="AI739" s="112">
        <v>50</v>
      </c>
      <c r="AJ739" s="111">
        <v>0</v>
      </c>
      <c r="AK739" s="112">
        <v>0</v>
      </c>
      <c r="AL739" s="111">
        <v>0</v>
      </c>
      <c r="AM739" s="112">
        <v>0</v>
      </c>
      <c r="AN739" s="111">
        <v>1</v>
      </c>
      <c r="AO739" s="112">
        <v>50</v>
      </c>
      <c r="AP739" s="111">
        <v>2</v>
      </c>
    </row>
    <row r="740" spans="1:42" ht="15">
      <c r="A740" s="65" t="s">
        <v>803</v>
      </c>
      <c r="B740" s="65" t="s">
        <v>842</v>
      </c>
      <c r="C740" s="66" t="s">
        <v>4651</v>
      </c>
      <c r="D740" s="67">
        <v>3</v>
      </c>
      <c r="E740" s="68"/>
      <c r="F740" s="69">
        <v>40</v>
      </c>
      <c r="G740" s="66"/>
      <c r="H740" s="70"/>
      <c r="I740" s="71"/>
      <c r="J740" s="71"/>
      <c r="K740" s="35" t="s">
        <v>65</v>
      </c>
      <c r="L740" s="79">
        <v>740</v>
      </c>
      <c r="M740" s="79"/>
      <c r="N740" s="73"/>
      <c r="O740" s="81" t="s">
        <v>844</v>
      </c>
      <c r="P740" s="81" t="s">
        <v>199</v>
      </c>
      <c r="Q740" s="84" t="s">
        <v>1543</v>
      </c>
      <c r="R740" s="81" t="s">
        <v>803</v>
      </c>
      <c r="S740" s="81" t="s">
        <v>2162</v>
      </c>
      <c r="T740" s="86" t="str">
        <f>HYPERLINK("http://www.youtube.com/channel/UCBWw8SH9UeJw3XQVEBJtQrA")</f>
        <v>http://www.youtube.com/channel/UCBWw8SH9UeJw3XQVEBJtQrA</v>
      </c>
      <c r="U740" s="81"/>
      <c r="V740" s="81" t="s">
        <v>2335</v>
      </c>
      <c r="W740" s="86" t="str">
        <f>HYPERLINK("https://www.youtube.com/watch?v=fK1_SH3X2ek")</f>
        <v>https://www.youtube.com/watch?v=fK1_SH3X2ek</v>
      </c>
      <c r="X740" s="81" t="s">
        <v>2349</v>
      </c>
      <c r="Y740" s="81">
        <v>0</v>
      </c>
      <c r="Z740" s="88">
        <v>44126.29858796296</v>
      </c>
      <c r="AA740" s="88">
        <v>44126.29858796296</v>
      </c>
      <c r="AB740" s="81"/>
      <c r="AC740" s="81"/>
      <c r="AD740" s="84" t="s">
        <v>2390</v>
      </c>
      <c r="AE740" s="82">
        <v>1</v>
      </c>
      <c r="AF740" s="83" t="str">
        <f>REPLACE(INDEX(GroupVertices[Group],MATCH(Edges[[#This Row],[Vertex 1]],GroupVertices[Vertex],0)),1,1,"")</f>
        <v>2</v>
      </c>
      <c r="AG740" s="83" t="str">
        <f>REPLACE(INDEX(GroupVertices[Group],MATCH(Edges[[#This Row],[Vertex 2]],GroupVertices[Vertex],0)),1,1,"")</f>
        <v>2</v>
      </c>
      <c r="AH740" s="111">
        <v>1</v>
      </c>
      <c r="AI740" s="112">
        <v>25</v>
      </c>
      <c r="AJ740" s="111">
        <v>0</v>
      </c>
      <c r="AK740" s="112">
        <v>0</v>
      </c>
      <c r="AL740" s="111">
        <v>0</v>
      </c>
      <c r="AM740" s="112">
        <v>0</v>
      </c>
      <c r="AN740" s="111">
        <v>3</v>
      </c>
      <c r="AO740" s="112">
        <v>75</v>
      </c>
      <c r="AP740" s="111">
        <v>4</v>
      </c>
    </row>
    <row r="741" spans="1:42" ht="15">
      <c r="A741" s="65" t="s">
        <v>804</v>
      </c>
      <c r="B741" s="65" t="s">
        <v>842</v>
      </c>
      <c r="C741" s="66" t="s">
        <v>4651</v>
      </c>
      <c r="D741" s="67">
        <v>3</v>
      </c>
      <c r="E741" s="68"/>
      <c r="F741" s="69">
        <v>40</v>
      </c>
      <c r="G741" s="66"/>
      <c r="H741" s="70"/>
      <c r="I741" s="71"/>
      <c r="J741" s="71"/>
      <c r="K741" s="35" t="s">
        <v>65</v>
      </c>
      <c r="L741" s="79">
        <v>741</v>
      </c>
      <c r="M741" s="79"/>
      <c r="N741" s="73"/>
      <c r="O741" s="81" t="s">
        <v>844</v>
      </c>
      <c r="P741" s="81" t="s">
        <v>199</v>
      </c>
      <c r="Q741" s="84" t="s">
        <v>1544</v>
      </c>
      <c r="R741" s="81" t="s">
        <v>804</v>
      </c>
      <c r="S741" s="81" t="s">
        <v>2163</v>
      </c>
      <c r="T741" s="86" t="str">
        <f>HYPERLINK("http://www.youtube.com/channel/UCSFVipfASWh43ZpnFG3Alvg")</f>
        <v>http://www.youtube.com/channel/UCSFVipfASWh43ZpnFG3Alvg</v>
      </c>
      <c r="U741" s="81"/>
      <c r="V741" s="81" t="s">
        <v>2335</v>
      </c>
      <c r="W741" s="86" t="str">
        <f>HYPERLINK("https://www.youtube.com/watch?v=fK1_SH3X2ek")</f>
        <v>https://www.youtube.com/watch?v=fK1_SH3X2ek</v>
      </c>
      <c r="X741" s="81" t="s">
        <v>2349</v>
      </c>
      <c r="Y741" s="81">
        <v>11</v>
      </c>
      <c r="Z741" s="88">
        <v>44126.85835648148</v>
      </c>
      <c r="AA741" s="88">
        <v>44126.85835648148</v>
      </c>
      <c r="AB741" s="81"/>
      <c r="AC741" s="81"/>
      <c r="AD741" s="84" t="s">
        <v>2390</v>
      </c>
      <c r="AE741" s="82">
        <v>1</v>
      </c>
      <c r="AF741" s="83" t="str">
        <f>REPLACE(INDEX(GroupVertices[Group],MATCH(Edges[[#This Row],[Vertex 1]],GroupVertices[Vertex],0)),1,1,"")</f>
        <v>2</v>
      </c>
      <c r="AG741" s="83" t="str">
        <f>REPLACE(INDEX(GroupVertices[Group],MATCH(Edges[[#This Row],[Vertex 2]],GroupVertices[Vertex],0)),1,1,"")</f>
        <v>2</v>
      </c>
      <c r="AH741" s="111">
        <v>0</v>
      </c>
      <c r="AI741" s="112">
        <v>0</v>
      </c>
      <c r="AJ741" s="111">
        <v>0</v>
      </c>
      <c r="AK741" s="112">
        <v>0</v>
      </c>
      <c r="AL741" s="111">
        <v>0</v>
      </c>
      <c r="AM741" s="112">
        <v>0</v>
      </c>
      <c r="AN741" s="111">
        <v>10</v>
      </c>
      <c r="AO741" s="112">
        <v>100</v>
      </c>
      <c r="AP741" s="111">
        <v>10</v>
      </c>
    </row>
    <row r="742" spans="1:42" ht="15">
      <c r="A742" s="65" t="s">
        <v>805</v>
      </c>
      <c r="B742" s="65" t="s">
        <v>842</v>
      </c>
      <c r="C742" s="66" t="s">
        <v>4651</v>
      </c>
      <c r="D742" s="67">
        <v>3</v>
      </c>
      <c r="E742" s="68"/>
      <c r="F742" s="69">
        <v>40</v>
      </c>
      <c r="G742" s="66"/>
      <c r="H742" s="70"/>
      <c r="I742" s="71"/>
      <c r="J742" s="71"/>
      <c r="K742" s="35" t="s">
        <v>65</v>
      </c>
      <c r="L742" s="79">
        <v>742</v>
      </c>
      <c r="M742" s="79"/>
      <c r="N742" s="73"/>
      <c r="O742" s="81" t="s">
        <v>844</v>
      </c>
      <c r="P742" s="81" t="s">
        <v>199</v>
      </c>
      <c r="Q742" s="84" t="s">
        <v>1545</v>
      </c>
      <c r="R742" s="81" t="s">
        <v>805</v>
      </c>
      <c r="S742" s="81" t="s">
        <v>2164</v>
      </c>
      <c r="T742" s="86" t="str">
        <f>HYPERLINK("http://www.youtube.com/channel/UCmtBrY48_j-28UhxzpxRVyg")</f>
        <v>http://www.youtube.com/channel/UCmtBrY48_j-28UhxzpxRVyg</v>
      </c>
      <c r="U742" s="81"/>
      <c r="V742" s="81" t="s">
        <v>2335</v>
      </c>
      <c r="W742" s="86" t="str">
        <f>HYPERLINK("https://www.youtube.com/watch?v=fK1_SH3X2ek")</f>
        <v>https://www.youtube.com/watch?v=fK1_SH3X2ek</v>
      </c>
      <c r="X742" s="81" t="s">
        <v>2349</v>
      </c>
      <c r="Y742" s="81">
        <v>0</v>
      </c>
      <c r="Z742" s="88">
        <v>44132.10228009259</v>
      </c>
      <c r="AA742" s="88">
        <v>44132.10228009259</v>
      </c>
      <c r="AB742" s="81"/>
      <c r="AC742" s="81"/>
      <c r="AD742" s="84" t="s">
        <v>2390</v>
      </c>
      <c r="AE742" s="82">
        <v>1</v>
      </c>
      <c r="AF742" s="83" t="str">
        <f>REPLACE(INDEX(GroupVertices[Group],MATCH(Edges[[#This Row],[Vertex 1]],GroupVertices[Vertex],0)),1,1,"")</f>
        <v>2</v>
      </c>
      <c r="AG742" s="83" t="str">
        <f>REPLACE(INDEX(GroupVertices[Group],MATCH(Edges[[#This Row],[Vertex 2]],GroupVertices[Vertex],0)),1,1,"")</f>
        <v>2</v>
      </c>
      <c r="AH742" s="111">
        <v>0</v>
      </c>
      <c r="AI742" s="112">
        <v>0</v>
      </c>
      <c r="AJ742" s="111">
        <v>0</v>
      </c>
      <c r="AK742" s="112">
        <v>0</v>
      </c>
      <c r="AL742" s="111">
        <v>0</v>
      </c>
      <c r="AM742" s="112">
        <v>0</v>
      </c>
      <c r="AN742" s="111">
        <v>1</v>
      </c>
      <c r="AO742" s="112">
        <v>100</v>
      </c>
      <c r="AP742" s="111">
        <v>1</v>
      </c>
    </row>
    <row r="743" spans="1:42" ht="15">
      <c r="A743" s="65" t="s">
        <v>797</v>
      </c>
      <c r="B743" s="65" t="s">
        <v>842</v>
      </c>
      <c r="C743" s="66" t="s">
        <v>4651</v>
      </c>
      <c r="D743" s="67">
        <v>3</v>
      </c>
      <c r="E743" s="68"/>
      <c r="F743" s="69">
        <v>40</v>
      </c>
      <c r="G743" s="66"/>
      <c r="H743" s="70"/>
      <c r="I743" s="71"/>
      <c r="J743" s="71"/>
      <c r="K743" s="35" t="s">
        <v>65</v>
      </c>
      <c r="L743" s="79">
        <v>743</v>
      </c>
      <c r="M743" s="79"/>
      <c r="N743" s="73"/>
      <c r="O743" s="81" t="s">
        <v>844</v>
      </c>
      <c r="P743" s="81" t="s">
        <v>199</v>
      </c>
      <c r="Q743" s="84" t="s">
        <v>1546</v>
      </c>
      <c r="R743" s="81" t="s">
        <v>797</v>
      </c>
      <c r="S743" s="81" t="s">
        <v>2156</v>
      </c>
      <c r="T743" s="86" t="str">
        <f>HYPERLINK("http://www.youtube.com/channel/UC1l0Bbv3upJ90bFKIfT2JCA")</f>
        <v>http://www.youtube.com/channel/UC1l0Bbv3upJ90bFKIfT2JCA</v>
      </c>
      <c r="U743" s="81"/>
      <c r="V743" s="81" t="s">
        <v>2335</v>
      </c>
      <c r="W743" s="86" t="str">
        <f>HYPERLINK("https://www.youtube.com/watch?v=fK1_SH3X2ek")</f>
        <v>https://www.youtube.com/watch?v=fK1_SH3X2ek</v>
      </c>
      <c r="X743" s="81" t="s">
        <v>2349</v>
      </c>
      <c r="Y743" s="81">
        <v>2</v>
      </c>
      <c r="Z743" s="88">
        <v>44135.352858796294</v>
      </c>
      <c r="AA743" s="88">
        <v>44135.352858796294</v>
      </c>
      <c r="AB743" s="81"/>
      <c r="AC743" s="81"/>
      <c r="AD743" s="84" t="s">
        <v>2390</v>
      </c>
      <c r="AE743" s="82">
        <v>1</v>
      </c>
      <c r="AF743" s="83" t="str">
        <f>REPLACE(INDEX(GroupVertices[Group],MATCH(Edges[[#This Row],[Vertex 1]],GroupVertices[Vertex],0)),1,1,"")</f>
        <v>2</v>
      </c>
      <c r="AG743" s="83" t="str">
        <f>REPLACE(INDEX(GroupVertices[Group],MATCH(Edges[[#This Row],[Vertex 2]],GroupVertices[Vertex],0)),1,1,"")</f>
        <v>2</v>
      </c>
      <c r="AH743" s="111">
        <v>0</v>
      </c>
      <c r="AI743" s="112">
        <v>0</v>
      </c>
      <c r="AJ743" s="111">
        <v>0</v>
      </c>
      <c r="AK743" s="112">
        <v>0</v>
      </c>
      <c r="AL743" s="111">
        <v>0</v>
      </c>
      <c r="AM743" s="112">
        <v>0</v>
      </c>
      <c r="AN743" s="111">
        <v>1</v>
      </c>
      <c r="AO743" s="112">
        <v>100</v>
      </c>
      <c r="AP743" s="111">
        <v>1</v>
      </c>
    </row>
    <row r="744" spans="1:42" ht="15">
      <c r="A744" s="65" t="s">
        <v>806</v>
      </c>
      <c r="B744" s="65" t="s">
        <v>842</v>
      </c>
      <c r="C744" s="66" t="s">
        <v>4651</v>
      </c>
      <c r="D744" s="67">
        <v>3</v>
      </c>
      <c r="E744" s="68"/>
      <c r="F744" s="69">
        <v>40</v>
      </c>
      <c r="G744" s="66"/>
      <c r="H744" s="70"/>
      <c r="I744" s="71"/>
      <c r="J744" s="71"/>
      <c r="K744" s="35" t="s">
        <v>65</v>
      </c>
      <c r="L744" s="79">
        <v>744</v>
      </c>
      <c r="M744" s="79"/>
      <c r="N744" s="73"/>
      <c r="O744" s="81" t="s">
        <v>844</v>
      </c>
      <c r="P744" s="81" t="s">
        <v>199</v>
      </c>
      <c r="Q744" s="84" t="s">
        <v>1547</v>
      </c>
      <c r="R744" s="81" t="s">
        <v>806</v>
      </c>
      <c r="S744" s="81" t="s">
        <v>2165</v>
      </c>
      <c r="T744" s="86" t="str">
        <f>HYPERLINK("http://www.youtube.com/channel/UCkoGhJVmkMOztmnzPa30EWA")</f>
        <v>http://www.youtube.com/channel/UCkoGhJVmkMOztmnzPa30EWA</v>
      </c>
      <c r="U744" s="81"/>
      <c r="V744" s="81" t="s">
        <v>2335</v>
      </c>
      <c r="W744" s="86" t="str">
        <f>HYPERLINK("https://www.youtube.com/watch?v=fK1_SH3X2ek")</f>
        <v>https://www.youtube.com/watch?v=fK1_SH3X2ek</v>
      </c>
      <c r="X744" s="81" t="s">
        <v>2349</v>
      </c>
      <c r="Y744" s="81">
        <v>0</v>
      </c>
      <c r="Z744" s="88">
        <v>44140.27452546296</v>
      </c>
      <c r="AA744" s="88">
        <v>44140.27452546296</v>
      </c>
      <c r="AB744" s="81"/>
      <c r="AC744" s="81"/>
      <c r="AD744" s="84" t="s">
        <v>2390</v>
      </c>
      <c r="AE744" s="82">
        <v>1</v>
      </c>
      <c r="AF744" s="83" t="str">
        <f>REPLACE(INDEX(GroupVertices[Group],MATCH(Edges[[#This Row],[Vertex 1]],GroupVertices[Vertex],0)),1,1,"")</f>
        <v>2</v>
      </c>
      <c r="AG744" s="83" t="str">
        <f>REPLACE(INDEX(GroupVertices[Group],MATCH(Edges[[#This Row],[Vertex 2]],GroupVertices[Vertex],0)),1,1,"")</f>
        <v>2</v>
      </c>
      <c r="AH744" s="111">
        <v>1</v>
      </c>
      <c r="AI744" s="112">
        <v>20</v>
      </c>
      <c r="AJ744" s="111">
        <v>0</v>
      </c>
      <c r="AK744" s="112">
        <v>0</v>
      </c>
      <c r="AL744" s="111">
        <v>0</v>
      </c>
      <c r="AM744" s="112">
        <v>0</v>
      </c>
      <c r="AN744" s="111">
        <v>4</v>
      </c>
      <c r="AO744" s="112">
        <v>80</v>
      </c>
      <c r="AP744" s="111">
        <v>5</v>
      </c>
    </row>
    <row r="745" spans="1:42" ht="15">
      <c r="A745" s="65" t="s">
        <v>807</v>
      </c>
      <c r="B745" s="65" t="s">
        <v>842</v>
      </c>
      <c r="C745" s="66" t="s">
        <v>4651</v>
      </c>
      <c r="D745" s="67">
        <v>3</v>
      </c>
      <c r="E745" s="68"/>
      <c r="F745" s="69">
        <v>40</v>
      </c>
      <c r="G745" s="66"/>
      <c r="H745" s="70"/>
      <c r="I745" s="71"/>
      <c r="J745" s="71"/>
      <c r="K745" s="35" t="s">
        <v>65</v>
      </c>
      <c r="L745" s="79">
        <v>745</v>
      </c>
      <c r="M745" s="79"/>
      <c r="N745" s="73"/>
      <c r="O745" s="81" t="s">
        <v>844</v>
      </c>
      <c r="P745" s="81" t="s">
        <v>199</v>
      </c>
      <c r="Q745" s="84" t="s">
        <v>1166</v>
      </c>
      <c r="R745" s="81" t="s">
        <v>807</v>
      </c>
      <c r="S745" s="81" t="s">
        <v>2166</v>
      </c>
      <c r="T745" s="86" t="str">
        <f>HYPERLINK("http://www.youtube.com/channel/UCUUcUvc-YNLzYoX7ztHzLsw")</f>
        <v>http://www.youtube.com/channel/UCUUcUvc-YNLzYoX7ztHzLsw</v>
      </c>
      <c r="U745" s="81"/>
      <c r="V745" s="81" t="s">
        <v>2335</v>
      </c>
      <c r="W745" s="86" t="str">
        <f>HYPERLINK("https://www.youtube.com/watch?v=fK1_SH3X2ek")</f>
        <v>https://www.youtube.com/watch?v=fK1_SH3X2ek</v>
      </c>
      <c r="X745" s="81" t="s">
        <v>2349</v>
      </c>
      <c r="Y745" s="81">
        <v>0</v>
      </c>
      <c r="Z745" s="88">
        <v>44144.153449074074</v>
      </c>
      <c r="AA745" s="88">
        <v>44144.153449074074</v>
      </c>
      <c r="AB745" s="81"/>
      <c r="AC745" s="81"/>
      <c r="AD745" s="84" t="s">
        <v>2390</v>
      </c>
      <c r="AE745" s="82">
        <v>1</v>
      </c>
      <c r="AF745" s="83" t="str">
        <f>REPLACE(INDEX(GroupVertices[Group],MATCH(Edges[[#This Row],[Vertex 1]],GroupVertices[Vertex],0)),1,1,"")</f>
        <v>2</v>
      </c>
      <c r="AG745" s="83" t="str">
        <f>REPLACE(INDEX(GroupVertices[Group],MATCH(Edges[[#This Row],[Vertex 2]],GroupVertices[Vertex],0)),1,1,"")</f>
        <v>2</v>
      </c>
      <c r="AH745" s="111">
        <v>1</v>
      </c>
      <c r="AI745" s="112">
        <v>100</v>
      </c>
      <c r="AJ745" s="111">
        <v>0</v>
      </c>
      <c r="AK745" s="112">
        <v>0</v>
      </c>
      <c r="AL745" s="111">
        <v>0</v>
      </c>
      <c r="AM745" s="112">
        <v>0</v>
      </c>
      <c r="AN745" s="111">
        <v>0</v>
      </c>
      <c r="AO745" s="112">
        <v>0</v>
      </c>
      <c r="AP745" s="111">
        <v>1</v>
      </c>
    </row>
    <row r="746" spans="1:42" ht="15">
      <c r="A746" s="65" t="s">
        <v>808</v>
      </c>
      <c r="B746" s="65" t="s">
        <v>808</v>
      </c>
      <c r="C746" s="66" t="s">
        <v>4651</v>
      </c>
      <c r="D746" s="67">
        <v>3</v>
      </c>
      <c r="E746" s="68"/>
      <c r="F746" s="69">
        <v>40</v>
      </c>
      <c r="G746" s="66"/>
      <c r="H746" s="70"/>
      <c r="I746" s="71"/>
      <c r="J746" s="71"/>
      <c r="K746" s="35" t="s">
        <v>65</v>
      </c>
      <c r="L746" s="79">
        <v>746</v>
      </c>
      <c r="M746" s="79"/>
      <c r="N746" s="73"/>
      <c r="O746" s="81" t="s">
        <v>845</v>
      </c>
      <c r="P746" s="81" t="s">
        <v>847</v>
      </c>
      <c r="Q746" s="84" t="s">
        <v>1548</v>
      </c>
      <c r="R746" s="81" t="s">
        <v>808</v>
      </c>
      <c r="S746" s="81" t="s">
        <v>2167</v>
      </c>
      <c r="T746" s="86" t="str">
        <f>HYPERLINK("http://www.youtube.com/channel/UC-MVjybu6gbAbIDiQosKimA")</f>
        <v>http://www.youtube.com/channel/UC-MVjybu6gbAbIDiQosKimA</v>
      </c>
      <c r="U746" s="81" t="s">
        <v>2302</v>
      </c>
      <c r="V746" s="81" t="s">
        <v>2335</v>
      </c>
      <c r="W746" s="86" t="str">
        <f>HYPERLINK("https://www.youtube.com/watch?v=fK1_SH3X2ek")</f>
        <v>https://www.youtube.com/watch?v=fK1_SH3X2ek</v>
      </c>
      <c r="X746" s="81" t="s">
        <v>2349</v>
      </c>
      <c r="Y746" s="81">
        <v>0</v>
      </c>
      <c r="Z746" s="88">
        <v>44155.014131944445</v>
      </c>
      <c r="AA746" s="88">
        <v>44155.014131944445</v>
      </c>
      <c r="AB746" s="81"/>
      <c r="AC746" s="81"/>
      <c r="AD746" s="84" t="s">
        <v>2390</v>
      </c>
      <c r="AE746" s="82">
        <v>1</v>
      </c>
      <c r="AF746" s="83" t="str">
        <f>REPLACE(INDEX(GroupVertices[Group],MATCH(Edges[[#This Row],[Vertex 1]],GroupVertices[Vertex],0)),1,1,"")</f>
        <v>2</v>
      </c>
      <c r="AG746" s="83" t="str">
        <f>REPLACE(INDEX(GroupVertices[Group],MATCH(Edges[[#This Row],[Vertex 2]],GroupVertices[Vertex],0)),1,1,"")</f>
        <v>2</v>
      </c>
      <c r="AH746" s="111">
        <v>1</v>
      </c>
      <c r="AI746" s="112">
        <v>5.2631578947368425</v>
      </c>
      <c r="AJ746" s="111">
        <v>0</v>
      </c>
      <c r="AK746" s="112">
        <v>0</v>
      </c>
      <c r="AL746" s="111">
        <v>0</v>
      </c>
      <c r="AM746" s="112">
        <v>0</v>
      </c>
      <c r="AN746" s="111">
        <v>18</v>
      </c>
      <c r="AO746" s="112">
        <v>94.73684210526316</v>
      </c>
      <c r="AP746" s="111">
        <v>19</v>
      </c>
    </row>
    <row r="747" spans="1:42" ht="15">
      <c r="A747" s="65" t="s">
        <v>808</v>
      </c>
      <c r="B747" s="65" t="s">
        <v>842</v>
      </c>
      <c r="C747" s="66" t="s">
        <v>4651</v>
      </c>
      <c r="D747" s="67">
        <v>3</v>
      </c>
      <c r="E747" s="68"/>
      <c r="F747" s="69">
        <v>40</v>
      </c>
      <c r="G747" s="66"/>
      <c r="H747" s="70"/>
      <c r="I747" s="71"/>
      <c r="J747" s="71"/>
      <c r="K747" s="35" t="s">
        <v>65</v>
      </c>
      <c r="L747" s="79">
        <v>747</v>
      </c>
      <c r="M747" s="79"/>
      <c r="N747" s="73"/>
      <c r="O747" s="81" t="s">
        <v>844</v>
      </c>
      <c r="P747" s="81" t="s">
        <v>199</v>
      </c>
      <c r="Q747" s="84" t="s">
        <v>1549</v>
      </c>
      <c r="R747" s="81" t="s">
        <v>808</v>
      </c>
      <c r="S747" s="81" t="s">
        <v>2167</v>
      </c>
      <c r="T747" s="86" t="str">
        <f>HYPERLINK("http://www.youtube.com/channel/UC-MVjybu6gbAbIDiQosKimA")</f>
        <v>http://www.youtube.com/channel/UC-MVjybu6gbAbIDiQosKimA</v>
      </c>
      <c r="U747" s="81"/>
      <c r="V747" s="81" t="s">
        <v>2335</v>
      </c>
      <c r="W747" s="86" t="str">
        <f>HYPERLINK("https://www.youtube.com/watch?v=fK1_SH3X2ek")</f>
        <v>https://www.youtube.com/watch?v=fK1_SH3X2ek</v>
      </c>
      <c r="X747" s="81" t="s">
        <v>2349</v>
      </c>
      <c r="Y747" s="81">
        <v>0</v>
      </c>
      <c r="Z747" s="88">
        <v>44155.01318287037</v>
      </c>
      <c r="AA747" s="88">
        <v>44155.01318287037</v>
      </c>
      <c r="AB747" s="81"/>
      <c r="AC747" s="81"/>
      <c r="AD747" s="84" t="s">
        <v>2390</v>
      </c>
      <c r="AE747" s="82">
        <v>1</v>
      </c>
      <c r="AF747" s="83" t="str">
        <f>REPLACE(INDEX(GroupVertices[Group],MATCH(Edges[[#This Row],[Vertex 1]],GroupVertices[Vertex],0)),1,1,"")</f>
        <v>2</v>
      </c>
      <c r="AG747" s="83" t="str">
        <f>REPLACE(INDEX(GroupVertices[Group],MATCH(Edges[[#This Row],[Vertex 2]],GroupVertices[Vertex],0)),1,1,"")</f>
        <v>2</v>
      </c>
      <c r="AH747" s="111">
        <v>0</v>
      </c>
      <c r="AI747" s="112">
        <v>0</v>
      </c>
      <c r="AJ747" s="111">
        <v>0</v>
      </c>
      <c r="AK747" s="112">
        <v>0</v>
      </c>
      <c r="AL747" s="111">
        <v>0</v>
      </c>
      <c r="AM747" s="112">
        <v>0</v>
      </c>
      <c r="AN747" s="111">
        <v>12</v>
      </c>
      <c r="AO747" s="112">
        <v>100</v>
      </c>
      <c r="AP747" s="111">
        <v>12</v>
      </c>
    </row>
    <row r="748" spans="1:42" ht="15">
      <c r="A748" s="65" t="s">
        <v>780</v>
      </c>
      <c r="B748" s="65" t="s">
        <v>842</v>
      </c>
      <c r="C748" s="66" t="s">
        <v>4651</v>
      </c>
      <c r="D748" s="67">
        <v>3</v>
      </c>
      <c r="E748" s="68"/>
      <c r="F748" s="69">
        <v>40</v>
      </c>
      <c r="G748" s="66"/>
      <c r="H748" s="70"/>
      <c r="I748" s="71"/>
      <c r="J748" s="71"/>
      <c r="K748" s="35" t="s">
        <v>65</v>
      </c>
      <c r="L748" s="79">
        <v>748</v>
      </c>
      <c r="M748" s="79"/>
      <c r="N748" s="73"/>
      <c r="O748" s="81" t="s">
        <v>844</v>
      </c>
      <c r="P748" s="81" t="s">
        <v>199</v>
      </c>
      <c r="Q748" s="84" t="s">
        <v>1550</v>
      </c>
      <c r="R748" s="81" t="s">
        <v>780</v>
      </c>
      <c r="S748" s="81" t="s">
        <v>2139</v>
      </c>
      <c r="T748" s="86" t="str">
        <f>HYPERLINK("http://www.youtube.com/channel/UCqTGL2iGxZBMK9l4EWPg1Ug")</f>
        <v>http://www.youtube.com/channel/UCqTGL2iGxZBMK9l4EWPg1Ug</v>
      </c>
      <c r="U748" s="81"/>
      <c r="V748" s="81" t="s">
        <v>2335</v>
      </c>
      <c r="W748" s="86" t="str">
        <f>HYPERLINK("https://www.youtube.com/watch?v=fK1_SH3X2ek")</f>
        <v>https://www.youtube.com/watch?v=fK1_SH3X2ek</v>
      </c>
      <c r="X748" s="81" t="s">
        <v>2349</v>
      </c>
      <c r="Y748" s="81">
        <v>3</v>
      </c>
      <c r="Z748" s="88">
        <v>44166.78351851852</v>
      </c>
      <c r="AA748" s="88">
        <v>44166.78351851852</v>
      </c>
      <c r="AB748" s="81" t="s">
        <v>2376</v>
      </c>
      <c r="AC748" s="81" t="s">
        <v>2379</v>
      </c>
      <c r="AD748" s="84" t="s">
        <v>2390</v>
      </c>
      <c r="AE748" s="82">
        <v>1</v>
      </c>
      <c r="AF748" s="83" t="str">
        <f>REPLACE(INDEX(GroupVertices[Group],MATCH(Edges[[#This Row],[Vertex 1]],GroupVertices[Vertex],0)),1,1,"")</f>
        <v>2</v>
      </c>
      <c r="AG748" s="83" t="str">
        <f>REPLACE(INDEX(GroupVertices[Group],MATCH(Edges[[#This Row],[Vertex 2]],GroupVertices[Vertex],0)),1,1,"")</f>
        <v>2</v>
      </c>
      <c r="AH748" s="111">
        <v>0</v>
      </c>
      <c r="AI748" s="112">
        <v>0</v>
      </c>
      <c r="AJ748" s="111">
        <v>0</v>
      </c>
      <c r="AK748" s="112">
        <v>0</v>
      </c>
      <c r="AL748" s="111">
        <v>0</v>
      </c>
      <c r="AM748" s="112">
        <v>0</v>
      </c>
      <c r="AN748" s="111">
        <v>21</v>
      </c>
      <c r="AO748" s="112">
        <v>100</v>
      </c>
      <c r="AP748" s="111">
        <v>21</v>
      </c>
    </row>
    <row r="749" spans="1:42" ht="15">
      <c r="A749" s="65" t="s">
        <v>809</v>
      </c>
      <c r="B749" s="65" t="s">
        <v>810</v>
      </c>
      <c r="C749" s="66" t="s">
        <v>4651</v>
      </c>
      <c r="D749" s="67">
        <v>3</v>
      </c>
      <c r="E749" s="68"/>
      <c r="F749" s="69">
        <v>40</v>
      </c>
      <c r="G749" s="66"/>
      <c r="H749" s="70"/>
      <c r="I749" s="71"/>
      <c r="J749" s="71"/>
      <c r="K749" s="35" t="s">
        <v>65</v>
      </c>
      <c r="L749" s="79">
        <v>749</v>
      </c>
      <c r="M749" s="79"/>
      <c r="N749" s="73"/>
      <c r="O749" s="81" t="s">
        <v>845</v>
      </c>
      <c r="P749" s="81" t="s">
        <v>847</v>
      </c>
      <c r="Q749" s="84" t="s">
        <v>1551</v>
      </c>
      <c r="R749" s="81" t="s">
        <v>809</v>
      </c>
      <c r="S749" s="81" t="s">
        <v>2168</v>
      </c>
      <c r="T749" s="86" t="str">
        <f>HYPERLINK("http://www.youtube.com/channel/UC6E4aPR3UIKueoV4Zv4vCeA")</f>
        <v>http://www.youtube.com/channel/UC6E4aPR3UIKueoV4Zv4vCeA</v>
      </c>
      <c r="U749" s="81" t="s">
        <v>2303</v>
      </c>
      <c r="V749" s="81" t="s">
        <v>2335</v>
      </c>
      <c r="W749" s="86" t="str">
        <f>HYPERLINK("https://www.youtube.com/watch?v=fK1_SH3X2ek")</f>
        <v>https://www.youtube.com/watch?v=fK1_SH3X2ek</v>
      </c>
      <c r="X749" s="81" t="s">
        <v>2349</v>
      </c>
      <c r="Y749" s="81">
        <v>0</v>
      </c>
      <c r="Z749" s="88">
        <v>44260.78045138889</v>
      </c>
      <c r="AA749" s="88">
        <v>44260.78045138889</v>
      </c>
      <c r="AB749" s="81"/>
      <c r="AC749" s="81"/>
      <c r="AD749" s="84" t="s">
        <v>2390</v>
      </c>
      <c r="AE749" s="82">
        <v>1</v>
      </c>
      <c r="AF749" s="83" t="str">
        <f>REPLACE(INDEX(GroupVertices[Group],MATCH(Edges[[#This Row],[Vertex 1]],GroupVertices[Vertex],0)),1,1,"")</f>
        <v>2</v>
      </c>
      <c r="AG749" s="83" t="str">
        <f>REPLACE(INDEX(GroupVertices[Group],MATCH(Edges[[#This Row],[Vertex 2]],GroupVertices[Vertex],0)),1,1,"")</f>
        <v>2</v>
      </c>
      <c r="AH749" s="111">
        <v>0</v>
      </c>
      <c r="AI749" s="112">
        <v>0</v>
      </c>
      <c r="AJ749" s="111">
        <v>0</v>
      </c>
      <c r="AK749" s="112">
        <v>0</v>
      </c>
      <c r="AL749" s="111">
        <v>0</v>
      </c>
      <c r="AM749" s="112">
        <v>0</v>
      </c>
      <c r="AN749" s="111">
        <v>3</v>
      </c>
      <c r="AO749" s="112">
        <v>100</v>
      </c>
      <c r="AP749" s="111">
        <v>3</v>
      </c>
    </row>
    <row r="750" spans="1:42" ht="15">
      <c r="A750" s="65" t="s">
        <v>810</v>
      </c>
      <c r="B750" s="65" t="s">
        <v>842</v>
      </c>
      <c r="C750" s="66" t="s">
        <v>4651</v>
      </c>
      <c r="D750" s="67">
        <v>3</v>
      </c>
      <c r="E750" s="68"/>
      <c r="F750" s="69">
        <v>40</v>
      </c>
      <c r="G750" s="66"/>
      <c r="H750" s="70"/>
      <c r="I750" s="71"/>
      <c r="J750" s="71"/>
      <c r="K750" s="35" t="s">
        <v>65</v>
      </c>
      <c r="L750" s="79">
        <v>750</v>
      </c>
      <c r="M750" s="79"/>
      <c r="N750" s="73"/>
      <c r="O750" s="81" t="s">
        <v>844</v>
      </c>
      <c r="P750" s="81" t="s">
        <v>199</v>
      </c>
      <c r="Q750" s="84" t="s">
        <v>1552</v>
      </c>
      <c r="R750" s="81" t="s">
        <v>810</v>
      </c>
      <c r="S750" s="81" t="s">
        <v>2169</v>
      </c>
      <c r="T750" s="86" t="str">
        <f>HYPERLINK("http://www.youtube.com/channel/UCgquf9LuuyNk4tYNC7gZKgg")</f>
        <v>http://www.youtube.com/channel/UCgquf9LuuyNk4tYNC7gZKgg</v>
      </c>
      <c r="U750" s="81"/>
      <c r="V750" s="81" t="s">
        <v>2335</v>
      </c>
      <c r="W750" s="86" t="str">
        <f>HYPERLINK("https://www.youtube.com/watch?v=fK1_SH3X2ek")</f>
        <v>https://www.youtube.com/watch?v=fK1_SH3X2ek</v>
      </c>
      <c r="X750" s="81" t="s">
        <v>2349</v>
      </c>
      <c r="Y750" s="81">
        <v>8</v>
      </c>
      <c r="Z750" s="88">
        <v>44173.063622685186</v>
      </c>
      <c r="AA750" s="88">
        <v>44173.063622685186</v>
      </c>
      <c r="AB750" s="81"/>
      <c r="AC750" s="81"/>
      <c r="AD750" s="84" t="s">
        <v>2390</v>
      </c>
      <c r="AE750" s="82">
        <v>1</v>
      </c>
      <c r="AF750" s="83" t="str">
        <f>REPLACE(INDEX(GroupVertices[Group],MATCH(Edges[[#This Row],[Vertex 1]],GroupVertices[Vertex],0)),1,1,"")</f>
        <v>2</v>
      </c>
      <c r="AG750" s="83" t="str">
        <f>REPLACE(INDEX(GroupVertices[Group],MATCH(Edges[[#This Row],[Vertex 2]],GroupVertices[Vertex],0)),1,1,"")</f>
        <v>2</v>
      </c>
      <c r="AH750" s="111">
        <v>0</v>
      </c>
      <c r="AI750" s="112">
        <v>0</v>
      </c>
      <c r="AJ750" s="111">
        <v>0</v>
      </c>
      <c r="AK750" s="112">
        <v>0</v>
      </c>
      <c r="AL750" s="111">
        <v>0</v>
      </c>
      <c r="AM750" s="112">
        <v>0</v>
      </c>
      <c r="AN750" s="111">
        <v>12</v>
      </c>
      <c r="AO750" s="112">
        <v>100</v>
      </c>
      <c r="AP750" s="111">
        <v>12</v>
      </c>
    </row>
    <row r="751" spans="1:42" ht="15">
      <c r="A751" s="65" t="s">
        <v>811</v>
      </c>
      <c r="B751" s="65" t="s">
        <v>842</v>
      </c>
      <c r="C751" s="66" t="s">
        <v>4651</v>
      </c>
      <c r="D751" s="67">
        <v>3</v>
      </c>
      <c r="E751" s="68"/>
      <c r="F751" s="69">
        <v>40</v>
      </c>
      <c r="G751" s="66"/>
      <c r="H751" s="70"/>
      <c r="I751" s="71"/>
      <c r="J751" s="71"/>
      <c r="K751" s="35" t="s">
        <v>65</v>
      </c>
      <c r="L751" s="79">
        <v>751</v>
      </c>
      <c r="M751" s="79"/>
      <c r="N751" s="73"/>
      <c r="O751" s="81" t="s">
        <v>844</v>
      </c>
      <c r="P751" s="81" t="s">
        <v>199</v>
      </c>
      <c r="Q751" s="84" t="s">
        <v>936</v>
      </c>
      <c r="R751" s="81" t="s">
        <v>811</v>
      </c>
      <c r="S751" s="81" t="s">
        <v>2170</v>
      </c>
      <c r="T751" s="86" t="str">
        <f>HYPERLINK("http://www.youtube.com/channel/UCPO2vYJeMPUThpD2I7nA5KQ")</f>
        <v>http://www.youtube.com/channel/UCPO2vYJeMPUThpD2I7nA5KQ</v>
      </c>
      <c r="U751" s="81"/>
      <c r="V751" s="81" t="s">
        <v>2335</v>
      </c>
      <c r="W751" s="86" t="str">
        <f>HYPERLINK("https://www.youtube.com/watch?v=fK1_SH3X2ek")</f>
        <v>https://www.youtube.com/watch?v=fK1_SH3X2ek</v>
      </c>
      <c r="X751" s="81" t="s">
        <v>2349</v>
      </c>
      <c r="Y751" s="81">
        <v>0</v>
      </c>
      <c r="Z751" s="88">
        <v>44209.728900462964</v>
      </c>
      <c r="AA751" s="88">
        <v>44209.728900462964</v>
      </c>
      <c r="AB751" s="81"/>
      <c r="AC751" s="81"/>
      <c r="AD751" s="84" t="s">
        <v>2390</v>
      </c>
      <c r="AE751" s="82">
        <v>1</v>
      </c>
      <c r="AF751" s="83" t="str">
        <f>REPLACE(INDEX(GroupVertices[Group],MATCH(Edges[[#This Row],[Vertex 1]],GroupVertices[Vertex],0)),1,1,"")</f>
        <v>2</v>
      </c>
      <c r="AG751" s="83" t="str">
        <f>REPLACE(INDEX(GroupVertices[Group],MATCH(Edges[[#This Row],[Vertex 2]],GroupVertices[Vertex],0)),1,1,"")</f>
        <v>2</v>
      </c>
      <c r="AH751" s="111">
        <v>0</v>
      </c>
      <c r="AI751" s="112">
        <v>0</v>
      </c>
      <c r="AJ751" s="111">
        <v>0</v>
      </c>
      <c r="AK751" s="112">
        <v>0</v>
      </c>
      <c r="AL751" s="111">
        <v>0</v>
      </c>
      <c r="AM751" s="112">
        <v>0</v>
      </c>
      <c r="AN751" s="111">
        <v>1</v>
      </c>
      <c r="AO751" s="112">
        <v>100</v>
      </c>
      <c r="AP751" s="111">
        <v>1</v>
      </c>
    </row>
    <row r="752" spans="1:42" ht="15">
      <c r="A752" s="65" t="s">
        <v>812</v>
      </c>
      <c r="B752" s="65" t="s">
        <v>842</v>
      </c>
      <c r="C752" s="66" t="s">
        <v>4651</v>
      </c>
      <c r="D752" s="67">
        <v>3</v>
      </c>
      <c r="E752" s="68"/>
      <c r="F752" s="69">
        <v>40</v>
      </c>
      <c r="G752" s="66"/>
      <c r="H752" s="70"/>
      <c r="I752" s="71"/>
      <c r="J752" s="71"/>
      <c r="K752" s="35" t="s">
        <v>65</v>
      </c>
      <c r="L752" s="79">
        <v>752</v>
      </c>
      <c r="M752" s="79"/>
      <c r="N752" s="73"/>
      <c r="O752" s="81" t="s">
        <v>844</v>
      </c>
      <c r="P752" s="81" t="s">
        <v>199</v>
      </c>
      <c r="Q752" s="84" t="s">
        <v>1553</v>
      </c>
      <c r="R752" s="81" t="s">
        <v>812</v>
      </c>
      <c r="S752" s="81" t="s">
        <v>2171</v>
      </c>
      <c r="T752" s="86" t="str">
        <f>HYPERLINK("http://www.youtube.com/channel/UChTJoaRW4cXLkDd7UQsILEw")</f>
        <v>http://www.youtube.com/channel/UChTJoaRW4cXLkDd7UQsILEw</v>
      </c>
      <c r="U752" s="81"/>
      <c r="V752" s="81" t="s">
        <v>2335</v>
      </c>
      <c r="W752" s="86" t="str">
        <f>HYPERLINK("https://www.youtube.com/watch?v=fK1_SH3X2ek")</f>
        <v>https://www.youtube.com/watch?v=fK1_SH3X2ek</v>
      </c>
      <c r="X752" s="81" t="s">
        <v>2349</v>
      </c>
      <c r="Y752" s="81">
        <v>1</v>
      </c>
      <c r="Z752" s="88">
        <v>44219.67701388889</v>
      </c>
      <c r="AA752" s="88">
        <v>44219.67701388889</v>
      </c>
      <c r="AB752" s="81"/>
      <c r="AC752" s="81"/>
      <c r="AD752" s="84" t="s">
        <v>2390</v>
      </c>
      <c r="AE752" s="82">
        <v>1</v>
      </c>
      <c r="AF752" s="83" t="str">
        <f>REPLACE(INDEX(GroupVertices[Group],MATCH(Edges[[#This Row],[Vertex 1]],GroupVertices[Vertex],0)),1,1,"")</f>
        <v>2</v>
      </c>
      <c r="AG752" s="83" t="str">
        <f>REPLACE(INDEX(GroupVertices[Group],MATCH(Edges[[#This Row],[Vertex 2]],GroupVertices[Vertex],0)),1,1,"")</f>
        <v>2</v>
      </c>
      <c r="AH752" s="111">
        <v>0</v>
      </c>
      <c r="AI752" s="112">
        <v>0</v>
      </c>
      <c r="AJ752" s="111">
        <v>0</v>
      </c>
      <c r="AK752" s="112">
        <v>0</v>
      </c>
      <c r="AL752" s="111">
        <v>0</v>
      </c>
      <c r="AM752" s="112">
        <v>0</v>
      </c>
      <c r="AN752" s="111">
        <v>9</v>
      </c>
      <c r="AO752" s="112">
        <v>100</v>
      </c>
      <c r="AP752" s="111">
        <v>9</v>
      </c>
    </row>
    <row r="753" spans="1:42" ht="15">
      <c r="A753" s="65" t="s">
        <v>791</v>
      </c>
      <c r="B753" s="65" t="s">
        <v>781</v>
      </c>
      <c r="C753" s="66" t="s">
        <v>4651</v>
      </c>
      <c r="D753" s="67">
        <v>3</v>
      </c>
      <c r="E753" s="68"/>
      <c r="F753" s="69">
        <v>40</v>
      </c>
      <c r="G753" s="66"/>
      <c r="H753" s="70"/>
      <c r="I753" s="71"/>
      <c r="J753" s="71"/>
      <c r="K753" s="35" t="s">
        <v>65</v>
      </c>
      <c r="L753" s="79">
        <v>753</v>
      </c>
      <c r="M753" s="79"/>
      <c r="N753" s="73"/>
      <c r="O753" s="81" t="s">
        <v>845</v>
      </c>
      <c r="P753" s="81" t="s">
        <v>847</v>
      </c>
      <c r="Q753" s="84" t="s">
        <v>1554</v>
      </c>
      <c r="R753" s="81" t="s">
        <v>791</v>
      </c>
      <c r="S753" s="81" t="s">
        <v>2150</v>
      </c>
      <c r="T753" s="86" t="str">
        <f>HYPERLINK("http://www.youtube.com/channel/UCnRYGBsqdgTYMJN96h4DoTQ")</f>
        <v>http://www.youtube.com/channel/UCnRYGBsqdgTYMJN96h4DoTQ</v>
      </c>
      <c r="U753" s="81" t="s">
        <v>2304</v>
      </c>
      <c r="V753" s="81" t="s">
        <v>2335</v>
      </c>
      <c r="W753" s="86" t="str">
        <f>HYPERLINK("https://www.youtube.com/watch?v=fK1_SH3X2ek")</f>
        <v>https://www.youtube.com/watch?v=fK1_SH3X2ek</v>
      </c>
      <c r="X753" s="81" t="s">
        <v>2349</v>
      </c>
      <c r="Y753" s="81">
        <v>1</v>
      </c>
      <c r="Z753" s="88">
        <v>44361.660416666666</v>
      </c>
      <c r="AA753" s="88">
        <v>44361.660416666666</v>
      </c>
      <c r="AB753" s="81"/>
      <c r="AC753" s="81"/>
      <c r="AD753" s="84" t="s">
        <v>2390</v>
      </c>
      <c r="AE753" s="82">
        <v>1</v>
      </c>
      <c r="AF753" s="83" t="str">
        <f>REPLACE(INDEX(GroupVertices[Group],MATCH(Edges[[#This Row],[Vertex 1]],GroupVertices[Vertex],0)),1,1,"")</f>
        <v>2</v>
      </c>
      <c r="AG753" s="83" t="str">
        <f>REPLACE(INDEX(GroupVertices[Group],MATCH(Edges[[#This Row],[Vertex 2]],GroupVertices[Vertex],0)),1,1,"")</f>
        <v>2</v>
      </c>
      <c r="AH753" s="111">
        <v>0</v>
      </c>
      <c r="AI753" s="112">
        <v>0</v>
      </c>
      <c r="AJ753" s="111">
        <v>0</v>
      </c>
      <c r="AK753" s="112">
        <v>0</v>
      </c>
      <c r="AL753" s="111">
        <v>0</v>
      </c>
      <c r="AM753" s="112">
        <v>0</v>
      </c>
      <c r="AN753" s="111">
        <v>2</v>
      </c>
      <c r="AO753" s="112">
        <v>100</v>
      </c>
      <c r="AP753" s="111">
        <v>2</v>
      </c>
    </row>
    <row r="754" spans="1:42" ht="15">
      <c r="A754" s="65" t="s">
        <v>781</v>
      </c>
      <c r="B754" s="65" t="s">
        <v>842</v>
      </c>
      <c r="C754" s="66" t="s">
        <v>4651</v>
      </c>
      <c r="D754" s="67">
        <v>3</v>
      </c>
      <c r="E754" s="68"/>
      <c r="F754" s="69">
        <v>40</v>
      </c>
      <c r="G754" s="66"/>
      <c r="H754" s="70"/>
      <c r="I754" s="71"/>
      <c r="J754" s="71"/>
      <c r="K754" s="35" t="s">
        <v>65</v>
      </c>
      <c r="L754" s="79">
        <v>754</v>
      </c>
      <c r="M754" s="79"/>
      <c r="N754" s="73"/>
      <c r="O754" s="81" t="s">
        <v>844</v>
      </c>
      <c r="P754" s="81" t="s">
        <v>199</v>
      </c>
      <c r="Q754" s="84" t="s">
        <v>1555</v>
      </c>
      <c r="R754" s="81" t="s">
        <v>781</v>
      </c>
      <c r="S754" s="81" t="s">
        <v>2140</v>
      </c>
      <c r="T754" s="86" t="str">
        <f>HYPERLINK("http://www.youtube.com/channel/UCXptVAEtFVNWoBYkirxhSHg")</f>
        <v>http://www.youtube.com/channel/UCXptVAEtFVNWoBYkirxhSHg</v>
      </c>
      <c r="U754" s="81"/>
      <c r="V754" s="81" t="s">
        <v>2335</v>
      </c>
      <c r="W754" s="86" t="str">
        <f>HYPERLINK("https://www.youtube.com/watch?v=fK1_SH3X2ek")</f>
        <v>https://www.youtube.com/watch?v=fK1_SH3X2ek</v>
      </c>
      <c r="X754" s="81" t="s">
        <v>2349</v>
      </c>
      <c r="Y754" s="81">
        <v>19</v>
      </c>
      <c r="Z754" s="88">
        <v>44221.23532407408</v>
      </c>
      <c r="AA754" s="88">
        <v>44221.23532407408</v>
      </c>
      <c r="AB754" s="81"/>
      <c r="AC754" s="81"/>
      <c r="AD754" s="84" t="s">
        <v>2390</v>
      </c>
      <c r="AE754" s="82">
        <v>1</v>
      </c>
      <c r="AF754" s="83" t="str">
        <f>REPLACE(INDEX(GroupVertices[Group],MATCH(Edges[[#This Row],[Vertex 1]],GroupVertices[Vertex],0)),1,1,"")</f>
        <v>2</v>
      </c>
      <c r="AG754" s="83" t="str">
        <f>REPLACE(INDEX(GroupVertices[Group],MATCH(Edges[[#This Row],[Vertex 2]],GroupVertices[Vertex],0)),1,1,"")</f>
        <v>2</v>
      </c>
      <c r="AH754" s="111">
        <v>0</v>
      </c>
      <c r="AI754" s="112">
        <v>0</v>
      </c>
      <c r="AJ754" s="111">
        <v>0</v>
      </c>
      <c r="AK754" s="112">
        <v>0</v>
      </c>
      <c r="AL754" s="111">
        <v>0</v>
      </c>
      <c r="AM754" s="112">
        <v>0</v>
      </c>
      <c r="AN754" s="111">
        <v>8</v>
      </c>
      <c r="AO754" s="112">
        <v>100</v>
      </c>
      <c r="AP754" s="111">
        <v>8</v>
      </c>
    </row>
    <row r="755" spans="1:42" ht="15">
      <c r="A755" s="65" t="s">
        <v>782</v>
      </c>
      <c r="B755" s="65" t="s">
        <v>842</v>
      </c>
      <c r="C755" s="66" t="s">
        <v>4651</v>
      </c>
      <c r="D755" s="67">
        <v>3</v>
      </c>
      <c r="E755" s="68"/>
      <c r="F755" s="69">
        <v>40</v>
      </c>
      <c r="G755" s="66"/>
      <c r="H755" s="70"/>
      <c r="I755" s="71"/>
      <c r="J755" s="71"/>
      <c r="K755" s="35" t="s">
        <v>65</v>
      </c>
      <c r="L755" s="79">
        <v>755</v>
      </c>
      <c r="M755" s="79"/>
      <c r="N755" s="73"/>
      <c r="O755" s="81" t="s">
        <v>844</v>
      </c>
      <c r="P755" s="81" t="s">
        <v>199</v>
      </c>
      <c r="Q755" s="84" t="s">
        <v>1556</v>
      </c>
      <c r="R755" s="81" t="s">
        <v>782</v>
      </c>
      <c r="S755" s="81" t="s">
        <v>2141</v>
      </c>
      <c r="T755" s="86" t="str">
        <f>HYPERLINK("http://www.youtube.com/channel/UCYbcr3YlItwbRXxWJhXfPMQ")</f>
        <v>http://www.youtube.com/channel/UCYbcr3YlItwbRXxWJhXfPMQ</v>
      </c>
      <c r="U755" s="81"/>
      <c r="V755" s="81" t="s">
        <v>2335</v>
      </c>
      <c r="W755" s="86" t="str">
        <f>HYPERLINK("https://www.youtube.com/watch?v=fK1_SH3X2ek")</f>
        <v>https://www.youtube.com/watch?v=fK1_SH3X2ek</v>
      </c>
      <c r="X755" s="81" t="s">
        <v>2349</v>
      </c>
      <c r="Y755" s="81">
        <v>0</v>
      </c>
      <c r="Z755" s="88">
        <v>44235.783113425925</v>
      </c>
      <c r="AA755" s="88">
        <v>44235.783113425925</v>
      </c>
      <c r="AB755" s="81"/>
      <c r="AC755" s="81"/>
      <c r="AD755" s="84" t="s">
        <v>2390</v>
      </c>
      <c r="AE755" s="82">
        <v>1</v>
      </c>
      <c r="AF755" s="83" t="str">
        <f>REPLACE(INDEX(GroupVertices[Group],MATCH(Edges[[#This Row],[Vertex 1]],GroupVertices[Vertex],0)),1,1,"")</f>
        <v>2</v>
      </c>
      <c r="AG755" s="83" t="str">
        <f>REPLACE(INDEX(GroupVertices[Group],MATCH(Edges[[#This Row],[Vertex 2]],GroupVertices[Vertex],0)),1,1,"")</f>
        <v>2</v>
      </c>
      <c r="AH755" s="111">
        <v>0</v>
      </c>
      <c r="AI755" s="112">
        <v>0</v>
      </c>
      <c r="AJ755" s="111">
        <v>0</v>
      </c>
      <c r="AK755" s="112">
        <v>0</v>
      </c>
      <c r="AL755" s="111">
        <v>0</v>
      </c>
      <c r="AM755" s="112">
        <v>0</v>
      </c>
      <c r="AN755" s="111">
        <v>10</v>
      </c>
      <c r="AO755" s="112">
        <v>100</v>
      </c>
      <c r="AP755" s="111">
        <v>10</v>
      </c>
    </row>
    <row r="756" spans="1:42" ht="15">
      <c r="A756" s="65" t="s">
        <v>813</v>
      </c>
      <c r="B756" s="65" t="s">
        <v>842</v>
      </c>
      <c r="C756" s="66" t="s">
        <v>4651</v>
      </c>
      <c r="D756" s="67">
        <v>3</v>
      </c>
      <c r="E756" s="68"/>
      <c r="F756" s="69">
        <v>40</v>
      </c>
      <c r="G756" s="66"/>
      <c r="H756" s="70"/>
      <c r="I756" s="71"/>
      <c r="J756" s="71"/>
      <c r="K756" s="35" t="s">
        <v>65</v>
      </c>
      <c r="L756" s="79">
        <v>756</v>
      </c>
      <c r="M756" s="79"/>
      <c r="N756" s="73"/>
      <c r="O756" s="81" t="s">
        <v>844</v>
      </c>
      <c r="P756" s="81" t="s">
        <v>199</v>
      </c>
      <c r="Q756" s="84" t="s">
        <v>1557</v>
      </c>
      <c r="R756" s="81" t="s">
        <v>813</v>
      </c>
      <c r="S756" s="81" t="s">
        <v>2172</v>
      </c>
      <c r="T756" s="86" t="str">
        <f>HYPERLINK("http://www.youtube.com/channel/UCHmOPF4RgEpc7Cn_fQchGLw")</f>
        <v>http://www.youtube.com/channel/UCHmOPF4RgEpc7Cn_fQchGLw</v>
      </c>
      <c r="U756" s="81"/>
      <c r="V756" s="81" t="s">
        <v>2335</v>
      </c>
      <c r="W756" s="86" t="str">
        <f>HYPERLINK("https://www.youtube.com/watch?v=fK1_SH3X2ek")</f>
        <v>https://www.youtube.com/watch?v=fK1_SH3X2ek</v>
      </c>
      <c r="X756" s="81" t="s">
        <v>2349</v>
      </c>
      <c r="Y756" s="81">
        <v>0</v>
      </c>
      <c r="Z756" s="88">
        <v>44240.46387731482</v>
      </c>
      <c r="AA756" s="88">
        <v>44240.46387731482</v>
      </c>
      <c r="AB756" s="81"/>
      <c r="AC756" s="81"/>
      <c r="AD756" s="84" t="s">
        <v>2390</v>
      </c>
      <c r="AE756" s="82">
        <v>1</v>
      </c>
      <c r="AF756" s="83" t="str">
        <f>REPLACE(INDEX(GroupVertices[Group],MATCH(Edges[[#This Row],[Vertex 1]],GroupVertices[Vertex],0)),1,1,"")</f>
        <v>2</v>
      </c>
      <c r="AG756" s="83" t="str">
        <f>REPLACE(INDEX(GroupVertices[Group],MATCH(Edges[[#This Row],[Vertex 2]],GroupVertices[Vertex],0)),1,1,"")</f>
        <v>2</v>
      </c>
      <c r="AH756" s="111">
        <v>0</v>
      </c>
      <c r="AI756" s="112">
        <v>0</v>
      </c>
      <c r="AJ756" s="111">
        <v>0</v>
      </c>
      <c r="AK756" s="112">
        <v>0</v>
      </c>
      <c r="AL756" s="111">
        <v>0</v>
      </c>
      <c r="AM756" s="112">
        <v>0</v>
      </c>
      <c r="AN756" s="111">
        <v>7</v>
      </c>
      <c r="AO756" s="112">
        <v>100</v>
      </c>
      <c r="AP756" s="111">
        <v>7</v>
      </c>
    </row>
    <row r="757" spans="1:42" ht="15">
      <c r="A757" s="65" t="s">
        <v>814</v>
      </c>
      <c r="B757" s="65" t="s">
        <v>842</v>
      </c>
      <c r="C757" s="66" t="s">
        <v>4651</v>
      </c>
      <c r="D757" s="67">
        <v>3</v>
      </c>
      <c r="E757" s="68"/>
      <c r="F757" s="69">
        <v>40</v>
      </c>
      <c r="G757" s="66"/>
      <c r="H757" s="70"/>
      <c r="I757" s="71"/>
      <c r="J757" s="71"/>
      <c r="K757" s="35" t="s">
        <v>65</v>
      </c>
      <c r="L757" s="79">
        <v>757</v>
      </c>
      <c r="M757" s="79"/>
      <c r="N757" s="73"/>
      <c r="O757" s="81" t="s">
        <v>844</v>
      </c>
      <c r="P757" s="81" t="s">
        <v>199</v>
      </c>
      <c r="Q757" s="84" t="s">
        <v>1558</v>
      </c>
      <c r="R757" s="81" t="s">
        <v>814</v>
      </c>
      <c r="S757" s="81" t="s">
        <v>2173</v>
      </c>
      <c r="T757" s="86" t="str">
        <f>HYPERLINK("http://www.youtube.com/channel/UCruo99Y6FBB2DcBuWKn4lsw")</f>
        <v>http://www.youtube.com/channel/UCruo99Y6FBB2DcBuWKn4lsw</v>
      </c>
      <c r="U757" s="81"/>
      <c r="V757" s="81" t="s">
        <v>2335</v>
      </c>
      <c r="W757" s="86" t="str">
        <f>HYPERLINK("https://www.youtube.com/watch?v=fK1_SH3X2ek")</f>
        <v>https://www.youtube.com/watch?v=fK1_SH3X2ek</v>
      </c>
      <c r="X757" s="81" t="s">
        <v>2349</v>
      </c>
      <c r="Y757" s="81">
        <v>1</v>
      </c>
      <c r="Z757" s="88">
        <v>44248.15825231482</v>
      </c>
      <c r="AA757" s="88">
        <v>44248.15825231482</v>
      </c>
      <c r="AB757" s="81"/>
      <c r="AC757" s="81"/>
      <c r="AD757" s="84" t="s">
        <v>2390</v>
      </c>
      <c r="AE757" s="82">
        <v>1</v>
      </c>
      <c r="AF757" s="83" t="str">
        <f>REPLACE(INDEX(GroupVertices[Group],MATCH(Edges[[#This Row],[Vertex 1]],GroupVertices[Vertex],0)),1,1,"")</f>
        <v>2</v>
      </c>
      <c r="AG757" s="83" t="str">
        <f>REPLACE(INDEX(GroupVertices[Group],MATCH(Edges[[#This Row],[Vertex 2]],GroupVertices[Vertex],0)),1,1,"")</f>
        <v>2</v>
      </c>
      <c r="AH757" s="111">
        <v>0</v>
      </c>
      <c r="AI757" s="112">
        <v>0</v>
      </c>
      <c r="AJ757" s="111">
        <v>0</v>
      </c>
      <c r="AK757" s="112">
        <v>0</v>
      </c>
      <c r="AL757" s="111">
        <v>0</v>
      </c>
      <c r="AM757" s="112">
        <v>0</v>
      </c>
      <c r="AN757" s="111">
        <v>5</v>
      </c>
      <c r="AO757" s="112">
        <v>100</v>
      </c>
      <c r="AP757" s="111">
        <v>5</v>
      </c>
    </row>
    <row r="758" spans="1:42" ht="15">
      <c r="A758" s="65" t="s">
        <v>815</v>
      </c>
      <c r="B758" s="65" t="s">
        <v>842</v>
      </c>
      <c r="C758" s="66" t="s">
        <v>4651</v>
      </c>
      <c r="D758" s="67">
        <v>3</v>
      </c>
      <c r="E758" s="68"/>
      <c r="F758" s="69">
        <v>40</v>
      </c>
      <c r="G758" s="66"/>
      <c r="H758" s="70"/>
      <c r="I758" s="71"/>
      <c r="J758" s="71"/>
      <c r="K758" s="35" t="s">
        <v>65</v>
      </c>
      <c r="L758" s="79">
        <v>758</v>
      </c>
      <c r="M758" s="79"/>
      <c r="N758" s="73"/>
      <c r="O758" s="81" t="s">
        <v>844</v>
      </c>
      <c r="P758" s="81" t="s">
        <v>199</v>
      </c>
      <c r="Q758" s="84" t="s">
        <v>1559</v>
      </c>
      <c r="R758" s="81" t="s">
        <v>815</v>
      </c>
      <c r="S758" s="81" t="s">
        <v>2174</v>
      </c>
      <c r="T758" s="86" t="str">
        <f>HYPERLINK("http://www.youtube.com/channel/UChDxGApugufXgdbkew0BHEA")</f>
        <v>http://www.youtube.com/channel/UChDxGApugufXgdbkew0BHEA</v>
      </c>
      <c r="U758" s="81"/>
      <c r="V758" s="81" t="s">
        <v>2335</v>
      </c>
      <c r="W758" s="86" t="str">
        <f>HYPERLINK("https://www.youtube.com/watch?v=fK1_SH3X2ek")</f>
        <v>https://www.youtube.com/watch?v=fK1_SH3X2ek</v>
      </c>
      <c r="X758" s="81" t="s">
        <v>2349</v>
      </c>
      <c r="Y758" s="81">
        <v>2</v>
      </c>
      <c r="Z758" s="88">
        <v>44266.142743055556</v>
      </c>
      <c r="AA758" s="88">
        <v>44266.142743055556</v>
      </c>
      <c r="AB758" s="81"/>
      <c r="AC758" s="81"/>
      <c r="AD758" s="84" t="s">
        <v>2390</v>
      </c>
      <c r="AE758" s="82">
        <v>1</v>
      </c>
      <c r="AF758" s="83" t="str">
        <f>REPLACE(INDEX(GroupVertices[Group],MATCH(Edges[[#This Row],[Vertex 1]],GroupVertices[Vertex],0)),1,1,"")</f>
        <v>2</v>
      </c>
      <c r="AG758" s="83" t="str">
        <f>REPLACE(INDEX(GroupVertices[Group],MATCH(Edges[[#This Row],[Vertex 2]],GroupVertices[Vertex],0)),1,1,"")</f>
        <v>2</v>
      </c>
      <c r="AH758" s="111">
        <v>0</v>
      </c>
      <c r="AI758" s="112">
        <v>0</v>
      </c>
      <c r="AJ758" s="111">
        <v>0</v>
      </c>
      <c r="AK758" s="112">
        <v>0</v>
      </c>
      <c r="AL758" s="111">
        <v>0</v>
      </c>
      <c r="AM758" s="112">
        <v>0</v>
      </c>
      <c r="AN758" s="111">
        <v>10</v>
      </c>
      <c r="AO758" s="112">
        <v>100</v>
      </c>
      <c r="AP758" s="111">
        <v>10</v>
      </c>
    </row>
    <row r="759" spans="1:42" ht="15">
      <c r="A759" s="65" t="s">
        <v>816</v>
      </c>
      <c r="B759" s="65" t="s">
        <v>842</v>
      </c>
      <c r="C759" s="66" t="s">
        <v>4651</v>
      </c>
      <c r="D759" s="67">
        <v>3</v>
      </c>
      <c r="E759" s="68"/>
      <c r="F759" s="69">
        <v>40</v>
      </c>
      <c r="G759" s="66"/>
      <c r="H759" s="70"/>
      <c r="I759" s="71"/>
      <c r="J759" s="71"/>
      <c r="K759" s="35" t="s">
        <v>65</v>
      </c>
      <c r="L759" s="79">
        <v>759</v>
      </c>
      <c r="M759" s="79"/>
      <c r="N759" s="73"/>
      <c r="O759" s="81" t="s">
        <v>844</v>
      </c>
      <c r="P759" s="81" t="s">
        <v>199</v>
      </c>
      <c r="Q759" s="84" t="s">
        <v>1560</v>
      </c>
      <c r="R759" s="81" t="s">
        <v>816</v>
      </c>
      <c r="S759" s="81" t="s">
        <v>2175</v>
      </c>
      <c r="T759" s="86" t="str">
        <f>HYPERLINK("http://www.youtube.com/channel/UCGG7n9NThURR_CUkef32Y9Q")</f>
        <v>http://www.youtube.com/channel/UCGG7n9NThURR_CUkef32Y9Q</v>
      </c>
      <c r="U759" s="81"/>
      <c r="V759" s="81" t="s">
        <v>2335</v>
      </c>
      <c r="W759" s="86" t="str">
        <f>HYPERLINK("https://www.youtube.com/watch?v=fK1_SH3X2ek")</f>
        <v>https://www.youtube.com/watch?v=fK1_SH3X2ek</v>
      </c>
      <c r="X759" s="81" t="s">
        <v>2349</v>
      </c>
      <c r="Y759" s="81">
        <v>0</v>
      </c>
      <c r="Z759" s="88">
        <v>44298.281956018516</v>
      </c>
      <c r="AA759" s="88">
        <v>44298.281956018516</v>
      </c>
      <c r="AB759" s="81"/>
      <c r="AC759" s="81"/>
      <c r="AD759" s="84" t="s">
        <v>2390</v>
      </c>
      <c r="AE759" s="82">
        <v>1</v>
      </c>
      <c r="AF759" s="83" t="str">
        <f>REPLACE(INDEX(GroupVertices[Group],MATCH(Edges[[#This Row],[Vertex 1]],GroupVertices[Vertex],0)),1,1,"")</f>
        <v>2</v>
      </c>
      <c r="AG759" s="83" t="str">
        <f>REPLACE(INDEX(GroupVertices[Group],MATCH(Edges[[#This Row],[Vertex 2]],GroupVertices[Vertex],0)),1,1,"")</f>
        <v>2</v>
      </c>
      <c r="AH759" s="111">
        <v>0</v>
      </c>
      <c r="AI759" s="112">
        <v>0</v>
      </c>
      <c r="AJ759" s="111">
        <v>0</v>
      </c>
      <c r="AK759" s="112">
        <v>0</v>
      </c>
      <c r="AL759" s="111">
        <v>0</v>
      </c>
      <c r="AM759" s="112">
        <v>0</v>
      </c>
      <c r="AN759" s="111">
        <v>2</v>
      </c>
      <c r="AO759" s="112">
        <v>100</v>
      </c>
      <c r="AP759" s="111">
        <v>2</v>
      </c>
    </row>
    <row r="760" spans="1:42" ht="15">
      <c r="A760" s="65" t="s">
        <v>817</v>
      </c>
      <c r="B760" s="65" t="s">
        <v>842</v>
      </c>
      <c r="C760" s="66" t="s">
        <v>4651</v>
      </c>
      <c r="D760" s="67">
        <v>3</v>
      </c>
      <c r="E760" s="68"/>
      <c r="F760" s="69">
        <v>40</v>
      </c>
      <c r="G760" s="66"/>
      <c r="H760" s="70"/>
      <c r="I760" s="71"/>
      <c r="J760" s="71"/>
      <c r="K760" s="35" t="s">
        <v>65</v>
      </c>
      <c r="L760" s="79">
        <v>760</v>
      </c>
      <c r="M760" s="79"/>
      <c r="N760" s="73"/>
      <c r="O760" s="81" t="s">
        <v>844</v>
      </c>
      <c r="P760" s="81" t="s">
        <v>199</v>
      </c>
      <c r="Q760" s="84" t="s">
        <v>1561</v>
      </c>
      <c r="R760" s="81" t="s">
        <v>817</v>
      </c>
      <c r="S760" s="81" t="s">
        <v>2176</v>
      </c>
      <c r="T760" s="86" t="str">
        <f>HYPERLINK("http://www.youtube.com/channel/UCQpqRbnxeGP47QFTnpEkY8Q")</f>
        <v>http://www.youtube.com/channel/UCQpqRbnxeGP47QFTnpEkY8Q</v>
      </c>
      <c r="U760" s="81"/>
      <c r="V760" s="81" t="s">
        <v>2335</v>
      </c>
      <c r="W760" s="86" t="str">
        <f>HYPERLINK("https://www.youtube.com/watch?v=fK1_SH3X2ek")</f>
        <v>https://www.youtube.com/watch?v=fK1_SH3X2ek</v>
      </c>
      <c r="X760" s="81" t="s">
        <v>2349</v>
      </c>
      <c r="Y760" s="81">
        <v>0</v>
      </c>
      <c r="Z760" s="88">
        <v>44299.11267361111</v>
      </c>
      <c r="AA760" s="88">
        <v>44299.11267361111</v>
      </c>
      <c r="AB760" s="81"/>
      <c r="AC760" s="81"/>
      <c r="AD760" s="84" t="s">
        <v>2390</v>
      </c>
      <c r="AE760" s="82">
        <v>1</v>
      </c>
      <c r="AF760" s="83" t="str">
        <f>REPLACE(INDEX(GroupVertices[Group],MATCH(Edges[[#This Row],[Vertex 1]],GroupVertices[Vertex],0)),1,1,"")</f>
        <v>2</v>
      </c>
      <c r="AG760" s="83" t="str">
        <f>REPLACE(INDEX(GroupVertices[Group],MATCH(Edges[[#This Row],[Vertex 2]],GroupVertices[Vertex],0)),1,1,"")</f>
        <v>2</v>
      </c>
      <c r="AH760" s="111">
        <v>1</v>
      </c>
      <c r="AI760" s="112">
        <v>6.25</v>
      </c>
      <c r="AJ760" s="111">
        <v>1</v>
      </c>
      <c r="AK760" s="112">
        <v>6.25</v>
      </c>
      <c r="AL760" s="111">
        <v>0</v>
      </c>
      <c r="AM760" s="112">
        <v>0</v>
      </c>
      <c r="AN760" s="111">
        <v>14</v>
      </c>
      <c r="AO760" s="112">
        <v>87.5</v>
      </c>
      <c r="AP760" s="111">
        <v>16</v>
      </c>
    </row>
    <row r="761" spans="1:42" ht="15">
      <c r="A761" s="65" t="s">
        <v>783</v>
      </c>
      <c r="B761" s="65" t="s">
        <v>842</v>
      </c>
      <c r="C761" s="66" t="s">
        <v>4651</v>
      </c>
      <c r="D761" s="67">
        <v>3</v>
      </c>
      <c r="E761" s="68"/>
      <c r="F761" s="69">
        <v>40</v>
      </c>
      <c r="G761" s="66"/>
      <c r="H761" s="70"/>
      <c r="I761" s="71"/>
      <c r="J761" s="71"/>
      <c r="K761" s="35" t="s">
        <v>65</v>
      </c>
      <c r="L761" s="79">
        <v>761</v>
      </c>
      <c r="M761" s="79"/>
      <c r="N761" s="73"/>
      <c r="O761" s="81" t="s">
        <v>844</v>
      </c>
      <c r="P761" s="81" t="s">
        <v>199</v>
      </c>
      <c r="Q761" s="84" t="s">
        <v>1562</v>
      </c>
      <c r="R761" s="81" t="s">
        <v>783</v>
      </c>
      <c r="S761" s="81" t="s">
        <v>2142</v>
      </c>
      <c r="T761" s="86" t="str">
        <f>HYPERLINK("http://www.youtube.com/channel/UCF5ChGDslgBBC95Q2q_mqTA")</f>
        <v>http://www.youtube.com/channel/UCF5ChGDslgBBC95Q2q_mqTA</v>
      </c>
      <c r="U761" s="81"/>
      <c r="V761" s="81" t="s">
        <v>2335</v>
      </c>
      <c r="W761" s="86" t="str">
        <f>HYPERLINK("https://www.youtube.com/watch?v=fK1_SH3X2ek")</f>
        <v>https://www.youtube.com/watch?v=fK1_SH3X2ek</v>
      </c>
      <c r="X761" s="81" t="s">
        <v>2349</v>
      </c>
      <c r="Y761" s="81">
        <v>0</v>
      </c>
      <c r="Z761" s="88">
        <v>44307.91670138889</v>
      </c>
      <c r="AA761" s="88">
        <v>44307.91670138889</v>
      </c>
      <c r="AB761" s="81"/>
      <c r="AC761" s="81"/>
      <c r="AD761" s="84" t="s">
        <v>2390</v>
      </c>
      <c r="AE761" s="82">
        <v>1</v>
      </c>
      <c r="AF761" s="83" t="str">
        <f>REPLACE(INDEX(GroupVertices[Group],MATCH(Edges[[#This Row],[Vertex 1]],GroupVertices[Vertex],0)),1,1,"")</f>
        <v>2</v>
      </c>
      <c r="AG761" s="83" t="str">
        <f>REPLACE(INDEX(GroupVertices[Group],MATCH(Edges[[#This Row],[Vertex 2]],GroupVertices[Vertex],0)),1,1,"")</f>
        <v>2</v>
      </c>
      <c r="AH761" s="111">
        <v>0</v>
      </c>
      <c r="AI761" s="112">
        <v>0</v>
      </c>
      <c r="AJ761" s="111">
        <v>1</v>
      </c>
      <c r="AK761" s="112">
        <v>20</v>
      </c>
      <c r="AL761" s="111">
        <v>0</v>
      </c>
      <c r="AM761" s="112">
        <v>0</v>
      </c>
      <c r="AN761" s="111">
        <v>4</v>
      </c>
      <c r="AO761" s="112">
        <v>80</v>
      </c>
      <c r="AP761" s="111">
        <v>5</v>
      </c>
    </row>
    <row r="762" spans="1:42" ht="15">
      <c r="A762" s="65" t="s">
        <v>818</v>
      </c>
      <c r="B762" s="65" t="s">
        <v>819</v>
      </c>
      <c r="C762" s="66" t="s">
        <v>4651</v>
      </c>
      <c r="D762" s="67">
        <v>3</v>
      </c>
      <c r="E762" s="68"/>
      <c r="F762" s="69">
        <v>40</v>
      </c>
      <c r="G762" s="66"/>
      <c r="H762" s="70"/>
      <c r="I762" s="71"/>
      <c r="J762" s="71"/>
      <c r="K762" s="35" t="s">
        <v>65</v>
      </c>
      <c r="L762" s="79">
        <v>762</v>
      </c>
      <c r="M762" s="79"/>
      <c r="N762" s="73"/>
      <c r="O762" s="81" t="s">
        <v>845</v>
      </c>
      <c r="P762" s="81" t="s">
        <v>847</v>
      </c>
      <c r="Q762" s="84" t="s">
        <v>950</v>
      </c>
      <c r="R762" s="81" t="s">
        <v>818</v>
      </c>
      <c r="S762" s="81" t="s">
        <v>2177</v>
      </c>
      <c r="T762" s="86" t="str">
        <f>HYPERLINK("http://www.youtube.com/channel/UCxWv4IME8TBjpAxZTkah88g")</f>
        <v>http://www.youtube.com/channel/UCxWv4IME8TBjpAxZTkah88g</v>
      </c>
      <c r="U762" s="81" t="s">
        <v>2305</v>
      </c>
      <c r="V762" s="81" t="s">
        <v>2335</v>
      </c>
      <c r="W762" s="86" t="str">
        <f>HYPERLINK("https://www.youtube.com/watch?v=fK1_SH3X2ek")</f>
        <v>https://www.youtube.com/watch?v=fK1_SH3X2ek</v>
      </c>
      <c r="X762" s="81" t="s">
        <v>2349</v>
      </c>
      <c r="Y762" s="81">
        <v>1</v>
      </c>
      <c r="Z762" s="88">
        <v>44319.69375</v>
      </c>
      <c r="AA762" s="88">
        <v>44319.69375</v>
      </c>
      <c r="AB762" s="81"/>
      <c r="AC762" s="81"/>
      <c r="AD762" s="84" t="s">
        <v>2390</v>
      </c>
      <c r="AE762" s="82">
        <v>1</v>
      </c>
      <c r="AF762" s="83" t="str">
        <f>REPLACE(INDEX(GroupVertices[Group],MATCH(Edges[[#This Row],[Vertex 1]],GroupVertices[Vertex],0)),1,1,"")</f>
        <v>2</v>
      </c>
      <c r="AG762" s="83" t="str">
        <f>REPLACE(INDEX(GroupVertices[Group],MATCH(Edges[[#This Row],[Vertex 2]],GroupVertices[Vertex],0)),1,1,"")</f>
        <v>2</v>
      </c>
      <c r="AH762" s="111">
        <v>0</v>
      </c>
      <c r="AI762" s="112">
        <v>0</v>
      </c>
      <c r="AJ762" s="111">
        <v>0</v>
      </c>
      <c r="AK762" s="112">
        <v>0</v>
      </c>
      <c r="AL762" s="111">
        <v>0</v>
      </c>
      <c r="AM762" s="112">
        <v>0</v>
      </c>
      <c r="AN762" s="111">
        <v>1</v>
      </c>
      <c r="AO762" s="112">
        <v>100</v>
      </c>
      <c r="AP762" s="111">
        <v>1</v>
      </c>
    </row>
    <row r="763" spans="1:42" ht="15">
      <c r="A763" s="65" t="s">
        <v>819</v>
      </c>
      <c r="B763" s="65" t="s">
        <v>842</v>
      </c>
      <c r="C763" s="66" t="s">
        <v>4651</v>
      </c>
      <c r="D763" s="67">
        <v>3</v>
      </c>
      <c r="E763" s="68"/>
      <c r="F763" s="69">
        <v>40</v>
      </c>
      <c r="G763" s="66"/>
      <c r="H763" s="70"/>
      <c r="I763" s="71"/>
      <c r="J763" s="71"/>
      <c r="K763" s="35" t="s">
        <v>65</v>
      </c>
      <c r="L763" s="79">
        <v>763</v>
      </c>
      <c r="M763" s="79"/>
      <c r="N763" s="73"/>
      <c r="O763" s="81" t="s">
        <v>844</v>
      </c>
      <c r="P763" s="81" t="s">
        <v>199</v>
      </c>
      <c r="Q763" s="84" t="s">
        <v>1563</v>
      </c>
      <c r="R763" s="81" t="s">
        <v>819</v>
      </c>
      <c r="S763" s="81" t="s">
        <v>2178</v>
      </c>
      <c r="T763" s="86" t="str">
        <f>HYPERLINK("http://www.youtube.com/channel/UC_V7nOjrL1MJU2JZ-6wyrXg")</f>
        <v>http://www.youtube.com/channel/UC_V7nOjrL1MJU2JZ-6wyrXg</v>
      </c>
      <c r="U763" s="81"/>
      <c r="V763" s="81" t="s">
        <v>2335</v>
      </c>
      <c r="W763" s="86" t="str">
        <f>HYPERLINK("https://www.youtube.com/watch?v=fK1_SH3X2ek")</f>
        <v>https://www.youtube.com/watch?v=fK1_SH3X2ek</v>
      </c>
      <c r="X763" s="81" t="s">
        <v>2349</v>
      </c>
      <c r="Y763" s="81">
        <v>0</v>
      </c>
      <c r="Z763" s="88">
        <v>44319.6684837963</v>
      </c>
      <c r="AA763" s="88">
        <v>44319.6684837963</v>
      </c>
      <c r="AB763" s="81"/>
      <c r="AC763" s="81"/>
      <c r="AD763" s="84" t="s">
        <v>2390</v>
      </c>
      <c r="AE763" s="82">
        <v>1</v>
      </c>
      <c r="AF763" s="83" t="str">
        <f>REPLACE(INDEX(GroupVertices[Group],MATCH(Edges[[#This Row],[Vertex 1]],GroupVertices[Vertex],0)),1,1,"")</f>
        <v>2</v>
      </c>
      <c r="AG763" s="83" t="str">
        <f>REPLACE(INDEX(GroupVertices[Group],MATCH(Edges[[#This Row],[Vertex 2]],GroupVertices[Vertex],0)),1,1,"")</f>
        <v>2</v>
      </c>
      <c r="AH763" s="111">
        <v>0</v>
      </c>
      <c r="AI763" s="112">
        <v>0</v>
      </c>
      <c r="AJ763" s="111">
        <v>0</v>
      </c>
      <c r="AK763" s="112">
        <v>0</v>
      </c>
      <c r="AL763" s="111">
        <v>0</v>
      </c>
      <c r="AM763" s="112">
        <v>0</v>
      </c>
      <c r="AN763" s="111">
        <v>7</v>
      </c>
      <c r="AO763" s="112">
        <v>100</v>
      </c>
      <c r="AP763" s="111">
        <v>7</v>
      </c>
    </row>
    <row r="764" spans="1:42" ht="15">
      <c r="A764" s="65" t="s">
        <v>820</v>
      </c>
      <c r="B764" s="65" t="s">
        <v>842</v>
      </c>
      <c r="C764" s="66" t="s">
        <v>4651</v>
      </c>
      <c r="D764" s="67">
        <v>3</v>
      </c>
      <c r="E764" s="68"/>
      <c r="F764" s="69">
        <v>40</v>
      </c>
      <c r="G764" s="66"/>
      <c r="H764" s="70"/>
      <c r="I764" s="71"/>
      <c r="J764" s="71"/>
      <c r="K764" s="35" t="s">
        <v>65</v>
      </c>
      <c r="L764" s="79">
        <v>764</v>
      </c>
      <c r="M764" s="79"/>
      <c r="N764" s="73"/>
      <c r="O764" s="81" t="s">
        <v>844</v>
      </c>
      <c r="P764" s="81" t="s">
        <v>199</v>
      </c>
      <c r="Q764" s="84" t="s">
        <v>1564</v>
      </c>
      <c r="R764" s="81" t="s">
        <v>820</v>
      </c>
      <c r="S764" s="81" t="s">
        <v>2179</v>
      </c>
      <c r="T764" s="86" t="str">
        <f>HYPERLINK("http://www.youtube.com/channel/UCbieuM_WCd6wC0enOietzdQ")</f>
        <v>http://www.youtube.com/channel/UCbieuM_WCd6wC0enOietzdQ</v>
      </c>
      <c r="U764" s="81"/>
      <c r="V764" s="81" t="s">
        <v>2335</v>
      </c>
      <c r="W764" s="86" t="str">
        <f>HYPERLINK("https://www.youtube.com/watch?v=fK1_SH3X2ek")</f>
        <v>https://www.youtube.com/watch?v=fK1_SH3X2ek</v>
      </c>
      <c r="X764" s="81" t="s">
        <v>2349</v>
      </c>
      <c r="Y764" s="81">
        <v>0</v>
      </c>
      <c r="Z764" s="88">
        <v>44321.39302083333</v>
      </c>
      <c r="AA764" s="88">
        <v>44321.39302083333</v>
      </c>
      <c r="AB764" s="81"/>
      <c r="AC764" s="81"/>
      <c r="AD764" s="84" t="s">
        <v>2390</v>
      </c>
      <c r="AE764" s="82">
        <v>1</v>
      </c>
      <c r="AF764" s="83" t="str">
        <f>REPLACE(INDEX(GroupVertices[Group],MATCH(Edges[[#This Row],[Vertex 1]],GroupVertices[Vertex],0)),1,1,"")</f>
        <v>2</v>
      </c>
      <c r="AG764" s="83" t="str">
        <f>REPLACE(INDEX(GroupVertices[Group],MATCH(Edges[[#This Row],[Vertex 2]],GroupVertices[Vertex],0)),1,1,"")</f>
        <v>2</v>
      </c>
      <c r="AH764" s="111">
        <v>0</v>
      </c>
      <c r="AI764" s="112">
        <v>0</v>
      </c>
      <c r="AJ764" s="111">
        <v>0</v>
      </c>
      <c r="AK764" s="112">
        <v>0</v>
      </c>
      <c r="AL764" s="111">
        <v>0</v>
      </c>
      <c r="AM764" s="112">
        <v>0</v>
      </c>
      <c r="AN764" s="111">
        <v>9</v>
      </c>
      <c r="AO764" s="112">
        <v>100</v>
      </c>
      <c r="AP764" s="111">
        <v>9</v>
      </c>
    </row>
    <row r="765" spans="1:42" ht="15">
      <c r="A765" s="65" t="s">
        <v>821</v>
      </c>
      <c r="B765" s="65" t="s">
        <v>842</v>
      </c>
      <c r="C765" s="66" t="s">
        <v>4651</v>
      </c>
      <c r="D765" s="67">
        <v>3</v>
      </c>
      <c r="E765" s="68"/>
      <c r="F765" s="69">
        <v>40</v>
      </c>
      <c r="G765" s="66"/>
      <c r="H765" s="70"/>
      <c r="I765" s="71"/>
      <c r="J765" s="71"/>
      <c r="K765" s="35" t="s">
        <v>65</v>
      </c>
      <c r="L765" s="79">
        <v>765</v>
      </c>
      <c r="M765" s="79"/>
      <c r="N765" s="73"/>
      <c r="O765" s="81" t="s">
        <v>844</v>
      </c>
      <c r="P765" s="81" t="s">
        <v>199</v>
      </c>
      <c r="Q765" s="84" t="s">
        <v>1565</v>
      </c>
      <c r="R765" s="81" t="s">
        <v>821</v>
      </c>
      <c r="S765" s="81" t="s">
        <v>2180</v>
      </c>
      <c r="T765" s="86" t="str">
        <f>HYPERLINK("http://www.youtube.com/channel/UCchgbiZujU7ZKwdY5B2hoeA")</f>
        <v>http://www.youtube.com/channel/UCchgbiZujU7ZKwdY5B2hoeA</v>
      </c>
      <c r="U765" s="81"/>
      <c r="V765" s="81" t="s">
        <v>2335</v>
      </c>
      <c r="W765" s="86" t="str">
        <f>HYPERLINK("https://www.youtube.com/watch?v=fK1_SH3X2ek")</f>
        <v>https://www.youtube.com/watch?v=fK1_SH3X2ek</v>
      </c>
      <c r="X765" s="81" t="s">
        <v>2349</v>
      </c>
      <c r="Y765" s="81">
        <v>0</v>
      </c>
      <c r="Z765" s="88">
        <v>44340.60013888889</v>
      </c>
      <c r="AA765" s="88">
        <v>44340.60013888889</v>
      </c>
      <c r="AB765" s="81"/>
      <c r="AC765" s="81"/>
      <c r="AD765" s="84" t="s">
        <v>2390</v>
      </c>
      <c r="AE765" s="82">
        <v>1</v>
      </c>
      <c r="AF765" s="83" t="str">
        <f>REPLACE(INDEX(GroupVertices[Group],MATCH(Edges[[#This Row],[Vertex 1]],GroupVertices[Vertex],0)),1,1,"")</f>
        <v>2</v>
      </c>
      <c r="AG765" s="83" t="str">
        <f>REPLACE(INDEX(GroupVertices[Group],MATCH(Edges[[#This Row],[Vertex 2]],GroupVertices[Vertex],0)),1,1,"")</f>
        <v>2</v>
      </c>
      <c r="AH765" s="111">
        <v>0</v>
      </c>
      <c r="AI765" s="112">
        <v>0</v>
      </c>
      <c r="AJ765" s="111">
        <v>3</v>
      </c>
      <c r="AK765" s="112">
        <v>4.477611940298507</v>
      </c>
      <c r="AL765" s="111">
        <v>0</v>
      </c>
      <c r="AM765" s="112">
        <v>0</v>
      </c>
      <c r="AN765" s="111">
        <v>64</v>
      </c>
      <c r="AO765" s="112">
        <v>95.5223880597015</v>
      </c>
      <c r="AP765" s="111">
        <v>67</v>
      </c>
    </row>
    <row r="766" spans="1:42" ht="15">
      <c r="A766" s="65" t="s">
        <v>822</v>
      </c>
      <c r="B766" s="65" t="s">
        <v>842</v>
      </c>
      <c r="C766" s="66" t="s">
        <v>4651</v>
      </c>
      <c r="D766" s="67">
        <v>3</v>
      </c>
      <c r="E766" s="68"/>
      <c r="F766" s="69">
        <v>40</v>
      </c>
      <c r="G766" s="66"/>
      <c r="H766" s="70"/>
      <c r="I766" s="71"/>
      <c r="J766" s="71"/>
      <c r="K766" s="35" t="s">
        <v>65</v>
      </c>
      <c r="L766" s="79">
        <v>766</v>
      </c>
      <c r="M766" s="79"/>
      <c r="N766" s="73"/>
      <c r="O766" s="81" t="s">
        <v>844</v>
      </c>
      <c r="P766" s="81" t="s">
        <v>199</v>
      </c>
      <c r="Q766" s="84" t="s">
        <v>1566</v>
      </c>
      <c r="R766" s="81" t="s">
        <v>822</v>
      </c>
      <c r="S766" s="81" t="s">
        <v>2181</v>
      </c>
      <c r="T766" s="86" t="str">
        <f>HYPERLINK("http://www.youtube.com/channel/UCoIUMLg-qptX6fVqZEBPm-w")</f>
        <v>http://www.youtube.com/channel/UCoIUMLg-qptX6fVqZEBPm-w</v>
      </c>
      <c r="U766" s="81"/>
      <c r="V766" s="81" t="s">
        <v>2335</v>
      </c>
      <c r="W766" s="86" t="str">
        <f>HYPERLINK("https://www.youtube.com/watch?v=fK1_SH3X2ek")</f>
        <v>https://www.youtube.com/watch?v=fK1_SH3X2ek</v>
      </c>
      <c r="X766" s="81" t="s">
        <v>2349</v>
      </c>
      <c r="Y766" s="81">
        <v>0</v>
      </c>
      <c r="Z766" s="88">
        <v>44351.85496527778</v>
      </c>
      <c r="AA766" s="88">
        <v>44351.85496527778</v>
      </c>
      <c r="AB766" s="81"/>
      <c r="AC766" s="81"/>
      <c r="AD766" s="84" t="s">
        <v>2390</v>
      </c>
      <c r="AE766" s="82">
        <v>1</v>
      </c>
      <c r="AF766" s="83" t="str">
        <f>REPLACE(INDEX(GroupVertices[Group],MATCH(Edges[[#This Row],[Vertex 1]],GroupVertices[Vertex],0)),1,1,"")</f>
        <v>2</v>
      </c>
      <c r="AG766" s="83" t="str">
        <f>REPLACE(INDEX(GroupVertices[Group],MATCH(Edges[[#This Row],[Vertex 2]],GroupVertices[Vertex],0)),1,1,"")</f>
        <v>2</v>
      </c>
      <c r="AH766" s="111">
        <v>0</v>
      </c>
      <c r="AI766" s="112">
        <v>0</v>
      </c>
      <c r="AJ766" s="111">
        <v>0</v>
      </c>
      <c r="AK766" s="112">
        <v>0</v>
      </c>
      <c r="AL766" s="111">
        <v>0</v>
      </c>
      <c r="AM766" s="112">
        <v>0</v>
      </c>
      <c r="AN766" s="111">
        <v>14</v>
      </c>
      <c r="AO766" s="112">
        <v>100</v>
      </c>
      <c r="AP766" s="111">
        <v>14</v>
      </c>
    </row>
    <row r="767" spans="1:42" ht="15">
      <c r="A767" s="65" t="s">
        <v>823</v>
      </c>
      <c r="B767" s="65" t="s">
        <v>345</v>
      </c>
      <c r="C767" s="66" t="s">
        <v>4613</v>
      </c>
      <c r="D767" s="67">
        <v>10</v>
      </c>
      <c r="E767" s="68"/>
      <c r="F767" s="69">
        <v>15</v>
      </c>
      <c r="G767" s="66"/>
      <c r="H767" s="70"/>
      <c r="I767" s="71"/>
      <c r="J767" s="71"/>
      <c r="K767" s="35" t="s">
        <v>65</v>
      </c>
      <c r="L767" s="79">
        <v>767</v>
      </c>
      <c r="M767" s="79"/>
      <c r="N767" s="73"/>
      <c r="O767" s="81" t="s">
        <v>844</v>
      </c>
      <c r="P767" s="81" t="s">
        <v>199</v>
      </c>
      <c r="Q767" s="84" t="s">
        <v>1567</v>
      </c>
      <c r="R767" s="81" t="s">
        <v>823</v>
      </c>
      <c r="S767" s="81" t="s">
        <v>2182</v>
      </c>
      <c r="T767" s="86" t="str">
        <f>HYPERLINK("http://www.youtube.com/channel/UCZj8Z6LdulS3k7YTTxz6iUQ")</f>
        <v>http://www.youtube.com/channel/UCZj8Z6LdulS3k7YTTxz6iUQ</v>
      </c>
      <c r="U767" s="81"/>
      <c r="V767" s="81" t="s">
        <v>2311</v>
      </c>
      <c r="W767" s="86" t="str">
        <f>HYPERLINK("https://www.youtube.com/watch?v=iy-47a68P60")</f>
        <v>https://www.youtube.com/watch?v=iy-47a68P60</v>
      </c>
      <c r="X767" s="81" t="s">
        <v>2349</v>
      </c>
      <c r="Y767" s="81">
        <v>2</v>
      </c>
      <c r="Z767" s="88">
        <v>44302.66473379629</v>
      </c>
      <c r="AA767" s="88">
        <v>44302.66473379629</v>
      </c>
      <c r="AB767" s="81"/>
      <c r="AC767" s="81"/>
      <c r="AD767" s="84" t="s">
        <v>2390</v>
      </c>
      <c r="AE767" s="82">
        <v>2</v>
      </c>
      <c r="AF767" s="83" t="str">
        <f>REPLACE(INDEX(GroupVertices[Group],MATCH(Edges[[#This Row],[Vertex 1]],GroupVertices[Vertex],0)),1,1,"")</f>
        <v>8</v>
      </c>
      <c r="AG767" s="83" t="str">
        <f>REPLACE(INDEX(GroupVertices[Group],MATCH(Edges[[#This Row],[Vertex 2]],GroupVertices[Vertex],0)),1,1,"")</f>
        <v>8</v>
      </c>
      <c r="AH767" s="111">
        <v>3</v>
      </c>
      <c r="AI767" s="112">
        <v>7.142857142857143</v>
      </c>
      <c r="AJ767" s="111">
        <v>0</v>
      </c>
      <c r="AK767" s="112">
        <v>0</v>
      </c>
      <c r="AL767" s="111">
        <v>0</v>
      </c>
      <c r="AM767" s="112">
        <v>0</v>
      </c>
      <c r="AN767" s="111">
        <v>39</v>
      </c>
      <c r="AO767" s="112">
        <v>92.85714285714286</v>
      </c>
      <c r="AP767" s="111">
        <v>42</v>
      </c>
    </row>
    <row r="768" spans="1:42" ht="15">
      <c r="A768" s="65" t="s">
        <v>823</v>
      </c>
      <c r="B768" s="65" t="s">
        <v>345</v>
      </c>
      <c r="C768" s="66" t="s">
        <v>4613</v>
      </c>
      <c r="D768" s="67">
        <v>10</v>
      </c>
      <c r="E768" s="68"/>
      <c r="F768" s="69">
        <v>15</v>
      </c>
      <c r="G768" s="66"/>
      <c r="H768" s="70"/>
      <c r="I768" s="71"/>
      <c r="J768" s="71"/>
      <c r="K768" s="35" t="s">
        <v>65</v>
      </c>
      <c r="L768" s="79">
        <v>768</v>
      </c>
      <c r="M768" s="79"/>
      <c r="N768" s="73"/>
      <c r="O768" s="81" t="s">
        <v>844</v>
      </c>
      <c r="P768" s="81" t="s">
        <v>199</v>
      </c>
      <c r="Q768" s="84" t="s">
        <v>1568</v>
      </c>
      <c r="R768" s="81" t="s">
        <v>823</v>
      </c>
      <c r="S768" s="81" t="s">
        <v>2182</v>
      </c>
      <c r="T768" s="86" t="str">
        <f>HYPERLINK("http://www.youtube.com/channel/UCZj8Z6LdulS3k7YTTxz6iUQ")</f>
        <v>http://www.youtube.com/channel/UCZj8Z6LdulS3k7YTTxz6iUQ</v>
      </c>
      <c r="U768" s="81"/>
      <c r="V768" s="81" t="s">
        <v>2311</v>
      </c>
      <c r="W768" s="86" t="str">
        <f>HYPERLINK("https://www.youtube.com/watch?v=iy-47a68P60")</f>
        <v>https://www.youtube.com/watch?v=iy-47a68P60</v>
      </c>
      <c r="X768" s="81" t="s">
        <v>2349</v>
      </c>
      <c r="Y768" s="81">
        <v>0</v>
      </c>
      <c r="Z768" s="88">
        <v>44358.832662037035</v>
      </c>
      <c r="AA768" s="88">
        <v>44358.832662037035</v>
      </c>
      <c r="AB768" s="81"/>
      <c r="AC768" s="81"/>
      <c r="AD768" s="84" t="s">
        <v>2390</v>
      </c>
      <c r="AE768" s="82">
        <v>2</v>
      </c>
      <c r="AF768" s="83" t="str">
        <f>REPLACE(INDEX(GroupVertices[Group],MATCH(Edges[[#This Row],[Vertex 1]],GroupVertices[Vertex],0)),1,1,"")</f>
        <v>8</v>
      </c>
      <c r="AG768" s="83" t="str">
        <f>REPLACE(INDEX(GroupVertices[Group],MATCH(Edges[[#This Row],[Vertex 2]],GroupVertices[Vertex],0)),1,1,"")</f>
        <v>8</v>
      </c>
      <c r="AH768" s="111">
        <v>2</v>
      </c>
      <c r="AI768" s="112">
        <v>6.666666666666667</v>
      </c>
      <c r="AJ768" s="111">
        <v>0</v>
      </c>
      <c r="AK768" s="112">
        <v>0</v>
      </c>
      <c r="AL768" s="111">
        <v>0</v>
      </c>
      <c r="AM768" s="112">
        <v>0</v>
      </c>
      <c r="AN768" s="111">
        <v>28</v>
      </c>
      <c r="AO768" s="112">
        <v>93.33333333333333</v>
      </c>
      <c r="AP768" s="111">
        <v>30</v>
      </c>
    </row>
    <row r="769" spans="1:42" ht="15">
      <c r="A769" s="65" t="s">
        <v>823</v>
      </c>
      <c r="B769" s="65" t="s">
        <v>842</v>
      </c>
      <c r="C769" s="66" t="s">
        <v>4651</v>
      </c>
      <c r="D769" s="67">
        <v>3</v>
      </c>
      <c r="E769" s="68"/>
      <c r="F769" s="69">
        <v>40</v>
      </c>
      <c r="G769" s="66"/>
      <c r="H769" s="70"/>
      <c r="I769" s="71"/>
      <c r="J769" s="71"/>
      <c r="K769" s="35" t="s">
        <v>65</v>
      </c>
      <c r="L769" s="79">
        <v>769</v>
      </c>
      <c r="M769" s="79"/>
      <c r="N769" s="73"/>
      <c r="O769" s="81" t="s">
        <v>844</v>
      </c>
      <c r="P769" s="81" t="s">
        <v>199</v>
      </c>
      <c r="Q769" s="84" t="s">
        <v>1569</v>
      </c>
      <c r="R769" s="81" t="s">
        <v>823</v>
      </c>
      <c r="S769" s="81" t="s">
        <v>2182</v>
      </c>
      <c r="T769" s="86" t="str">
        <f>HYPERLINK("http://www.youtube.com/channel/UCZj8Z6LdulS3k7YTTxz6iUQ")</f>
        <v>http://www.youtube.com/channel/UCZj8Z6LdulS3k7YTTxz6iUQ</v>
      </c>
      <c r="U769" s="81"/>
      <c r="V769" s="81" t="s">
        <v>2335</v>
      </c>
      <c r="W769" s="86" t="str">
        <f>HYPERLINK("https://www.youtube.com/watch?v=fK1_SH3X2ek")</f>
        <v>https://www.youtube.com/watch?v=fK1_SH3X2ek</v>
      </c>
      <c r="X769" s="81" t="s">
        <v>2349</v>
      </c>
      <c r="Y769" s="81">
        <v>0</v>
      </c>
      <c r="Z769" s="88">
        <v>44358.83550925926</v>
      </c>
      <c r="AA769" s="88">
        <v>44358.83550925926</v>
      </c>
      <c r="AB769" s="81"/>
      <c r="AC769" s="81"/>
      <c r="AD769" s="84" t="s">
        <v>2390</v>
      </c>
      <c r="AE769" s="82">
        <v>1</v>
      </c>
      <c r="AF769" s="83" t="str">
        <f>REPLACE(INDEX(GroupVertices[Group],MATCH(Edges[[#This Row],[Vertex 1]],GroupVertices[Vertex],0)),1,1,"")</f>
        <v>8</v>
      </c>
      <c r="AG769" s="83" t="str">
        <f>REPLACE(INDEX(GroupVertices[Group],MATCH(Edges[[#This Row],[Vertex 2]],GroupVertices[Vertex],0)),1,1,"")</f>
        <v>2</v>
      </c>
      <c r="AH769" s="111">
        <v>2</v>
      </c>
      <c r="AI769" s="112">
        <v>8</v>
      </c>
      <c r="AJ769" s="111">
        <v>1</v>
      </c>
      <c r="AK769" s="112">
        <v>4</v>
      </c>
      <c r="AL769" s="111">
        <v>0</v>
      </c>
      <c r="AM769" s="112">
        <v>0</v>
      </c>
      <c r="AN769" s="111">
        <v>22</v>
      </c>
      <c r="AO769" s="112">
        <v>88</v>
      </c>
      <c r="AP769" s="111">
        <v>25</v>
      </c>
    </row>
    <row r="770" spans="1:42" ht="15">
      <c r="A770" s="65" t="s">
        <v>824</v>
      </c>
      <c r="B770" s="65" t="s">
        <v>824</v>
      </c>
      <c r="C770" s="66" t="s">
        <v>4651</v>
      </c>
      <c r="D770" s="67">
        <v>3</v>
      </c>
      <c r="E770" s="68"/>
      <c r="F770" s="69">
        <v>40</v>
      </c>
      <c r="G770" s="66"/>
      <c r="H770" s="70"/>
      <c r="I770" s="71"/>
      <c r="J770" s="71"/>
      <c r="K770" s="35" t="s">
        <v>65</v>
      </c>
      <c r="L770" s="79">
        <v>770</v>
      </c>
      <c r="M770" s="79"/>
      <c r="N770" s="73"/>
      <c r="O770" s="81" t="s">
        <v>846</v>
      </c>
      <c r="P770" s="81"/>
      <c r="Q770" s="81"/>
      <c r="R770" s="81"/>
      <c r="S770" s="81"/>
      <c r="T770" s="81"/>
      <c r="U770" s="81"/>
      <c r="V770" s="81" t="s">
        <v>2336</v>
      </c>
      <c r="W770" s="86" t="str">
        <f>HYPERLINK("https://www.youtube.com/watch?v=_iatKXqz1Ug")</f>
        <v>https://www.youtube.com/watch?v=_iatKXqz1Ug</v>
      </c>
      <c r="X770" s="81"/>
      <c r="Y770" s="81"/>
      <c r="Z770" s="88">
        <v>44340.47440972222</v>
      </c>
      <c r="AA770" s="81"/>
      <c r="AB770" s="81"/>
      <c r="AC770" s="81"/>
      <c r="AD770" s="81"/>
      <c r="AE770">
        <v>1</v>
      </c>
      <c r="AF770" s="80" t="str">
        <f>REPLACE(INDEX(GroupVertices[Group],MATCH(Edges[[#This Row],[Vertex 1]],GroupVertices[Vertex],0)),1,1,"")</f>
        <v>13</v>
      </c>
      <c r="AG770" s="80" t="str">
        <f>REPLACE(INDEX(GroupVertices[Group],MATCH(Edges[[#This Row],[Vertex 2]],GroupVertices[Vertex],0)),1,1,"")</f>
        <v>13</v>
      </c>
      <c r="AH770" s="49"/>
      <c r="AI770" s="50"/>
      <c r="AJ770" s="49"/>
      <c r="AK770" s="50"/>
      <c r="AL770" s="49"/>
      <c r="AM770" s="50"/>
      <c r="AN770" s="49"/>
      <c r="AO770" s="50"/>
      <c r="AP770" s="49"/>
    </row>
    <row r="771" spans="1:42" ht="15">
      <c r="A771" s="65" t="s">
        <v>223</v>
      </c>
      <c r="B771" s="65" t="s">
        <v>223</v>
      </c>
      <c r="C771" s="66" t="s">
        <v>4651</v>
      </c>
      <c r="D771" s="67">
        <v>3</v>
      </c>
      <c r="E771" s="68"/>
      <c r="F771" s="69">
        <v>40</v>
      </c>
      <c r="G771" s="66"/>
      <c r="H771" s="70"/>
      <c r="I771" s="71"/>
      <c r="J771" s="71"/>
      <c r="K771" s="35" t="s">
        <v>65</v>
      </c>
      <c r="L771" s="79">
        <v>771</v>
      </c>
      <c r="M771" s="79"/>
      <c r="N771" s="73"/>
      <c r="O771" s="81" t="s">
        <v>846</v>
      </c>
      <c r="P771" s="81"/>
      <c r="Q771" s="81"/>
      <c r="R771" s="81"/>
      <c r="S771" s="81"/>
      <c r="T771" s="81"/>
      <c r="U771" s="81"/>
      <c r="V771" s="81" t="s">
        <v>2306</v>
      </c>
      <c r="W771" s="86" t="str">
        <f>HYPERLINK("https://www.youtube.com/watch?v=f5vABZt80AQ")</f>
        <v>https://www.youtube.com/watch?v=f5vABZt80AQ</v>
      </c>
      <c r="X771" s="81"/>
      <c r="Y771" s="81"/>
      <c r="Z771" s="88">
        <v>43797.7677662037</v>
      </c>
      <c r="AA771" s="81"/>
      <c r="AB771" s="81"/>
      <c r="AC771" s="81"/>
      <c r="AD771" s="81"/>
      <c r="AE771">
        <v>1</v>
      </c>
      <c r="AF771" s="80" t="str">
        <f>REPLACE(INDEX(GroupVertices[Group],MATCH(Edges[[#This Row],[Vertex 1]],GroupVertices[Vertex],0)),1,1,"")</f>
        <v>9</v>
      </c>
      <c r="AG771" s="80" t="str">
        <f>REPLACE(INDEX(GroupVertices[Group],MATCH(Edges[[#This Row],[Vertex 2]],GroupVertices[Vertex],0)),1,1,"")</f>
        <v>9</v>
      </c>
      <c r="AH771" s="49"/>
      <c r="AI771" s="50"/>
      <c r="AJ771" s="49"/>
      <c r="AK771" s="50"/>
      <c r="AL771" s="49"/>
      <c r="AM771" s="50"/>
      <c r="AN771" s="49"/>
      <c r="AO771" s="50"/>
      <c r="AP771" s="49"/>
    </row>
    <row r="772" spans="1:42" ht="15">
      <c r="A772" s="65" t="s">
        <v>825</v>
      </c>
      <c r="B772" s="65" t="s">
        <v>825</v>
      </c>
      <c r="C772" s="66" t="s">
        <v>4651</v>
      </c>
      <c r="D772" s="67">
        <v>3</v>
      </c>
      <c r="E772" s="68"/>
      <c r="F772" s="69">
        <v>40</v>
      </c>
      <c r="G772" s="66"/>
      <c r="H772" s="70"/>
      <c r="I772" s="71"/>
      <c r="J772" s="71"/>
      <c r="K772" s="35" t="s">
        <v>65</v>
      </c>
      <c r="L772" s="79">
        <v>772</v>
      </c>
      <c r="M772" s="79"/>
      <c r="N772" s="73"/>
      <c r="O772" s="81" t="s">
        <v>846</v>
      </c>
      <c r="P772" s="81"/>
      <c r="Q772" s="81"/>
      <c r="R772" s="81"/>
      <c r="S772" s="81"/>
      <c r="T772" s="81"/>
      <c r="U772" s="81"/>
      <c r="V772" s="81" t="s">
        <v>2307</v>
      </c>
      <c r="W772" s="86" t="str">
        <f>HYPERLINK("https://www.youtube.com/watch?v=A1MrJb2pXgA")</f>
        <v>https://www.youtube.com/watch?v=A1MrJb2pXgA</v>
      </c>
      <c r="X772" s="81"/>
      <c r="Y772" s="81"/>
      <c r="Z772" s="88">
        <v>43124.734826388885</v>
      </c>
      <c r="AA772" s="81"/>
      <c r="AB772" s="81"/>
      <c r="AC772" s="81"/>
      <c r="AD772" s="81"/>
      <c r="AE772">
        <v>1</v>
      </c>
      <c r="AF772" s="80" t="str">
        <f>REPLACE(INDEX(GroupVertices[Group],MATCH(Edges[[#This Row],[Vertex 1]],GroupVertices[Vertex],0)),1,1,"")</f>
        <v>24</v>
      </c>
      <c r="AG772" s="80" t="str">
        <f>REPLACE(INDEX(GroupVertices[Group],MATCH(Edges[[#This Row],[Vertex 2]],GroupVertices[Vertex],0)),1,1,"")</f>
        <v>24</v>
      </c>
      <c r="AH772" s="49"/>
      <c r="AI772" s="50"/>
      <c r="AJ772" s="49"/>
      <c r="AK772" s="50"/>
      <c r="AL772" s="49"/>
      <c r="AM772" s="50"/>
      <c r="AN772" s="49"/>
      <c r="AO772" s="50"/>
      <c r="AP772" s="49"/>
    </row>
    <row r="773" spans="1:42" ht="15">
      <c r="A773" s="65" t="s">
        <v>826</v>
      </c>
      <c r="B773" s="65" t="s">
        <v>826</v>
      </c>
      <c r="C773" s="66" t="s">
        <v>4613</v>
      </c>
      <c r="D773" s="67">
        <v>10</v>
      </c>
      <c r="E773" s="68"/>
      <c r="F773" s="69">
        <v>15</v>
      </c>
      <c r="G773" s="66"/>
      <c r="H773" s="70"/>
      <c r="I773" s="71"/>
      <c r="J773" s="71"/>
      <c r="K773" s="35" t="s">
        <v>65</v>
      </c>
      <c r="L773" s="79">
        <v>773</v>
      </c>
      <c r="M773" s="79"/>
      <c r="N773" s="73"/>
      <c r="O773" s="81" t="s">
        <v>846</v>
      </c>
      <c r="P773" s="81"/>
      <c r="Q773" s="81"/>
      <c r="R773" s="81"/>
      <c r="S773" s="81"/>
      <c r="T773" s="81"/>
      <c r="U773" s="81"/>
      <c r="V773" s="81" t="s">
        <v>2308</v>
      </c>
      <c r="W773" s="86" t="str">
        <f>HYPERLINK("https://www.youtube.com/watch?v=ggOqMncgemw")</f>
        <v>https://www.youtube.com/watch?v=ggOqMncgemw</v>
      </c>
      <c r="X773" s="81"/>
      <c r="Y773" s="81"/>
      <c r="Z773" s="88">
        <v>43719.338842592595</v>
      </c>
      <c r="AA773" s="81"/>
      <c r="AB773" s="81"/>
      <c r="AC773" s="81"/>
      <c r="AD773" s="81"/>
      <c r="AE773">
        <v>2</v>
      </c>
      <c r="AF773" s="80" t="str">
        <f>REPLACE(INDEX(GroupVertices[Group],MATCH(Edges[[#This Row],[Vertex 1]],GroupVertices[Vertex],0)),1,1,"")</f>
        <v>6</v>
      </c>
      <c r="AG773" s="80" t="str">
        <f>REPLACE(INDEX(GroupVertices[Group],MATCH(Edges[[#This Row],[Vertex 2]],GroupVertices[Vertex],0)),1,1,"")</f>
        <v>6</v>
      </c>
      <c r="AH773" s="49"/>
      <c r="AI773" s="50"/>
      <c r="AJ773" s="49"/>
      <c r="AK773" s="50"/>
      <c r="AL773" s="49"/>
      <c r="AM773" s="50"/>
      <c r="AN773" s="49"/>
      <c r="AO773" s="50"/>
      <c r="AP773" s="49"/>
    </row>
    <row r="774" spans="1:42" ht="15">
      <c r="A774" s="65" t="s">
        <v>826</v>
      </c>
      <c r="B774" s="65" t="s">
        <v>826</v>
      </c>
      <c r="C774" s="66" t="s">
        <v>4613</v>
      </c>
      <c r="D774" s="67">
        <v>10</v>
      </c>
      <c r="E774" s="68"/>
      <c r="F774" s="69">
        <v>15</v>
      </c>
      <c r="G774" s="66"/>
      <c r="H774" s="70"/>
      <c r="I774" s="71"/>
      <c r="J774" s="71"/>
      <c r="K774" s="35" t="s">
        <v>65</v>
      </c>
      <c r="L774" s="79">
        <v>774</v>
      </c>
      <c r="M774" s="79"/>
      <c r="N774" s="73"/>
      <c r="O774" s="81" t="s">
        <v>846</v>
      </c>
      <c r="P774" s="81"/>
      <c r="Q774" s="81"/>
      <c r="R774" s="81"/>
      <c r="S774" s="81"/>
      <c r="T774" s="81"/>
      <c r="U774" s="81"/>
      <c r="V774" s="81" t="s">
        <v>2309</v>
      </c>
      <c r="W774" s="86" t="str">
        <f>HYPERLINK("https://www.youtube.com/watch?v=HeOcduRiqyw")</f>
        <v>https://www.youtube.com/watch?v=HeOcduRiqyw</v>
      </c>
      <c r="X774" s="81"/>
      <c r="Y774" s="81"/>
      <c r="Z774" s="88">
        <v>43721.37069444444</v>
      </c>
      <c r="AA774" s="81"/>
      <c r="AB774" s="81"/>
      <c r="AC774" s="81"/>
      <c r="AD774" s="81"/>
      <c r="AE774">
        <v>2</v>
      </c>
      <c r="AF774" s="80" t="str">
        <f>REPLACE(INDEX(GroupVertices[Group],MATCH(Edges[[#This Row],[Vertex 1]],GroupVertices[Vertex],0)),1,1,"")</f>
        <v>6</v>
      </c>
      <c r="AG774" s="80" t="str">
        <f>REPLACE(INDEX(GroupVertices[Group],MATCH(Edges[[#This Row],[Vertex 2]],GroupVertices[Vertex],0)),1,1,"")</f>
        <v>6</v>
      </c>
      <c r="AH774" s="49"/>
      <c r="AI774" s="50"/>
      <c r="AJ774" s="49"/>
      <c r="AK774" s="50"/>
      <c r="AL774" s="49"/>
      <c r="AM774" s="50"/>
      <c r="AN774" s="49"/>
      <c r="AO774" s="50"/>
      <c r="AP774" s="49"/>
    </row>
    <row r="775" spans="1:42" ht="15">
      <c r="A775" s="65" t="s">
        <v>827</v>
      </c>
      <c r="B775" s="65" t="s">
        <v>827</v>
      </c>
      <c r="C775" s="66" t="s">
        <v>4651</v>
      </c>
      <c r="D775" s="67">
        <v>3</v>
      </c>
      <c r="E775" s="68"/>
      <c r="F775" s="69">
        <v>40</v>
      </c>
      <c r="G775" s="66"/>
      <c r="H775" s="70"/>
      <c r="I775" s="71"/>
      <c r="J775" s="71"/>
      <c r="K775" s="35" t="s">
        <v>65</v>
      </c>
      <c r="L775" s="79">
        <v>775</v>
      </c>
      <c r="M775" s="79"/>
      <c r="N775" s="73"/>
      <c r="O775" s="81" t="s">
        <v>846</v>
      </c>
      <c r="P775" s="81"/>
      <c r="Q775" s="81"/>
      <c r="R775" s="81"/>
      <c r="S775" s="81"/>
      <c r="T775" s="81"/>
      <c r="U775" s="81"/>
      <c r="V775" s="81" t="s">
        <v>2337</v>
      </c>
      <c r="W775" s="86" t="str">
        <f>HYPERLINK("https://www.youtube.com/watch?v=35YxoCAKKYw")</f>
        <v>https://www.youtube.com/watch?v=35YxoCAKKYw</v>
      </c>
      <c r="X775" s="81"/>
      <c r="Y775" s="81"/>
      <c r="Z775" s="88">
        <v>42396.90825231482</v>
      </c>
      <c r="AA775" s="81"/>
      <c r="AB775" s="81"/>
      <c r="AC775" s="81"/>
      <c r="AD775" s="81"/>
      <c r="AE775">
        <v>1</v>
      </c>
      <c r="AF775" s="80" t="str">
        <f>REPLACE(INDEX(GroupVertices[Group],MATCH(Edges[[#This Row],[Vertex 1]],GroupVertices[Vertex],0)),1,1,"")</f>
        <v>13</v>
      </c>
      <c r="AG775" s="80" t="str">
        <f>REPLACE(INDEX(GroupVertices[Group],MATCH(Edges[[#This Row],[Vertex 2]],GroupVertices[Vertex],0)),1,1,"")</f>
        <v>13</v>
      </c>
      <c r="AH775" s="49"/>
      <c r="AI775" s="50"/>
      <c r="AJ775" s="49"/>
      <c r="AK775" s="50"/>
      <c r="AL775" s="49"/>
      <c r="AM775" s="50"/>
      <c r="AN775" s="49"/>
      <c r="AO775" s="50"/>
      <c r="AP775" s="49"/>
    </row>
    <row r="776" spans="1:42" ht="15">
      <c r="A776" s="65" t="s">
        <v>828</v>
      </c>
      <c r="B776" s="65" t="s">
        <v>828</v>
      </c>
      <c r="C776" s="66" t="s">
        <v>4651</v>
      </c>
      <c r="D776" s="67">
        <v>3</v>
      </c>
      <c r="E776" s="68"/>
      <c r="F776" s="69">
        <v>40</v>
      </c>
      <c r="G776" s="66"/>
      <c r="H776" s="70"/>
      <c r="I776" s="71"/>
      <c r="J776" s="71"/>
      <c r="K776" s="35" t="s">
        <v>65</v>
      </c>
      <c r="L776" s="79">
        <v>776</v>
      </c>
      <c r="M776" s="79"/>
      <c r="N776" s="73"/>
      <c r="O776" s="81" t="s">
        <v>846</v>
      </c>
      <c r="P776" s="81"/>
      <c r="Q776" s="81"/>
      <c r="R776" s="81"/>
      <c r="S776" s="81"/>
      <c r="T776" s="81"/>
      <c r="U776" s="81"/>
      <c r="V776" s="81" t="s">
        <v>2310</v>
      </c>
      <c r="W776" s="86" t="str">
        <f>HYPERLINK("https://www.youtube.com/watch?v=LBkXQ_mBO3Q")</f>
        <v>https://www.youtube.com/watch?v=LBkXQ_mBO3Q</v>
      </c>
      <c r="X776" s="81"/>
      <c r="Y776" s="81"/>
      <c r="Z776" s="88">
        <v>43497.427303240744</v>
      </c>
      <c r="AA776" s="81"/>
      <c r="AB776" s="81"/>
      <c r="AC776" s="81"/>
      <c r="AD776" s="81"/>
      <c r="AE776">
        <v>1</v>
      </c>
      <c r="AF776" s="80" t="str">
        <f>REPLACE(INDEX(GroupVertices[Group],MATCH(Edges[[#This Row],[Vertex 1]],GroupVertices[Vertex],0)),1,1,"")</f>
        <v>3</v>
      </c>
      <c r="AG776" s="80" t="str">
        <f>REPLACE(INDEX(GroupVertices[Group],MATCH(Edges[[#This Row],[Vertex 2]],GroupVertices[Vertex],0)),1,1,"")</f>
        <v>3</v>
      </c>
      <c r="AH776" s="49"/>
      <c r="AI776" s="50"/>
      <c r="AJ776" s="49"/>
      <c r="AK776" s="50"/>
      <c r="AL776" s="49"/>
      <c r="AM776" s="50"/>
      <c r="AN776" s="49"/>
      <c r="AO776" s="50"/>
      <c r="AP776" s="49"/>
    </row>
    <row r="777" spans="1:42" ht="15">
      <c r="A777" s="65" t="s">
        <v>829</v>
      </c>
      <c r="B777" s="65" t="s">
        <v>829</v>
      </c>
      <c r="C777" s="66" t="s">
        <v>4651</v>
      </c>
      <c r="D777" s="67">
        <v>3</v>
      </c>
      <c r="E777" s="68"/>
      <c r="F777" s="69">
        <v>40</v>
      </c>
      <c r="G777" s="66"/>
      <c r="H777" s="70"/>
      <c r="I777" s="71"/>
      <c r="J777" s="71"/>
      <c r="K777" s="35" t="s">
        <v>65</v>
      </c>
      <c r="L777" s="79">
        <v>777</v>
      </c>
      <c r="M777" s="79"/>
      <c r="N777" s="73"/>
      <c r="O777" s="81" t="s">
        <v>846</v>
      </c>
      <c r="P777" s="81"/>
      <c r="Q777" s="81"/>
      <c r="R777" s="81"/>
      <c r="S777" s="81"/>
      <c r="T777" s="81"/>
      <c r="U777" s="81"/>
      <c r="V777" s="81" t="s">
        <v>2338</v>
      </c>
      <c r="W777" s="86" t="str">
        <f>HYPERLINK("https://www.youtube.com/watch?v=1122XOjo1iM")</f>
        <v>https://www.youtube.com/watch?v=1122XOjo1iM</v>
      </c>
      <c r="X777" s="81"/>
      <c r="Y777" s="81"/>
      <c r="Z777" s="88">
        <v>44240.50540509259</v>
      </c>
      <c r="AA777" s="81"/>
      <c r="AB777" s="81"/>
      <c r="AC777" s="81"/>
      <c r="AD777" s="81"/>
      <c r="AE777">
        <v>1</v>
      </c>
      <c r="AF777" s="80" t="str">
        <f>REPLACE(INDEX(GroupVertices[Group],MATCH(Edges[[#This Row],[Vertex 1]],GroupVertices[Vertex],0)),1,1,"")</f>
        <v>13</v>
      </c>
      <c r="AG777" s="80" t="str">
        <f>REPLACE(INDEX(GroupVertices[Group],MATCH(Edges[[#This Row],[Vertex 2]],GroupVertices[Vertex],0)),1,1,"")</f>
        <v>13</v>
      </c>
      <c r="AH777" s="49"/>
      <c r="AI777" s="50"/>
      <c r="AJ777" s="49"/>
      <c r="AK777" s="50"/>
      <c r="AL777" s="49"/>
      <c r="AM777" s="50"/>
      <c r="AN777" s="49"/>
      <c r="AO777" s="50"/>
      <c r="AP777" s="49"/>
    </row>
    <row r="778" spans="1:42" ht="15">
      <c r="A778" s="65" t="s">
        <v>345</v>
      </c>
      <c r="B778" s="65" t="s">
        <v>345</v>
      </c>
      <c r="C778" s="66" t="s">
        <v>4651</v>
      </c>
      <c r="D778" s="67">
        <v>3</v>
      </c>
      <c r="E778" s="68"/>
      <c r="F778" s="69">
        <v>40</v>
      </c>
      <c r="G778" s="66"/>
      <c r="H778" s="70"/>
      <c r="I778" s="71"/>
      <c r="J778" s="71"/>
      <c r="K778" s="35" t="s">
        <v>65</v>
      </c>
      <c r="L778" s="79">
        <v>778</v>
      </c>
      <c r="M778" s="79"/>
      <c r="N778" s="73"/>
      <c r="O778" s="81" t="s">
        <v>846</v>
      </c>
      <c r="P778" s="81"/>
      <c r="Q778" s="81"/>
      <c r="R778" s="81"/>
      <c r="S778" s="81"/>
      <c r="T778" s="81"/>
      <c r="U778" s="81"/>
      <c r="V778" s="81" t="s">
        <v>2311</v>
      </c>
      <c r="W778" s="86" t="str">
        <f>HYPERLINK("https://www.youtube.com/watch?v=iy-47a68P60")</f>
        <v>https://www.youtube.com/watch?v=iy-47a68P60</v>
      </c>
      <c r="X778" s="81"/>
      <c r="Y778" s="81"/>
      <c r="Z778" s="88">
        <v>43430.58924768519</v>
      </c>
      <c r="AA778" s="81"/>
      <c r="AB778" s="81"/>
      <c r="AC778" s="81"/>
      <c r="AD778" s="81"/>
      <c r="AE778">
        <v>1</v>
      </c>
      <c r="AF778" s="80" t="str">
        <f>REPLACE(INDEX(GroupVertices[Group],MATCH(Edges[[#This Row],[Vertex 1]],GroupVertices[Vertex],0)),1,1,"")</f>
        <v>8</v>
      </c>
      <c r="AG778" s="80" t="str">
        <f>REPLACE(INDEX(GroupVertices[Group],MATCH(Edges[[#This Row],[Vertex 2]],GroupVertices[Vertex],0)),1,1,"")</f>
        <v>8</v>
      </c>
      <c r="AH778" s="49"/>
      <c r="AI778" s="50"/>
      <c r="AJ778" s="49"/>
      <c r="AK778" s="50"/>
      <c r="AL778" s="49"/>
      <c r="AM778" s="50"/>
      <c r="AN778" s="49"/>
      <c r="AO778" s="50"/>
      <c r="AP778" s="49"/>
    </row>
    <row r="779" spans="1:42" ht="15">
      <c r="A779" s="65" t="s">
        <v>830</v>
      </c>
      <c r="B779" s="65" t="s">
        <v>830</v>
      </c>
      <c r="C779" s="66" t="s">
        <v>4651</v>
      </c>
      <c r="D779" s="67">
        <v>3</v>
      </c>
      <c r="E779" s="68"/>
      <c r="F779" s="69">
        <v>40</v>
      </c>
      <c r="G779" s="66"/>
      <c r="H779" s="70"/>
      <c r="I779" s="71"/>
      <c r="J779" s="71"/>
      <c r="K779" s="35" t="s">
        <v>65</v>
      </c>
      <c r="L779" s="79">
        <v>779</v>
      </c>
      <c r="M779" s="79"/>
      <c r="N779" s="73"/>
      <c r="O779" s="81" t="s">
        <v>846</v>
      </c>
      <c r="P779" s="81"/>
      <c r="Q779" s="81"/>
      <c r="R779" s="81"/>
      <c r="S779" s="81"/>
      <c r="T779" s="81"/>
      <c r="U779" s="81"/>
      <c r="V779" s="81" t="s">
        <v>2339</v>
      </c>
      <c r="W779" s="86" t="str">
        <f>HYPERLINK("https://www.youtube.com/watch?v=q2zxHaxjoDQ")</f>
        <v>https://www.youtube.com/watch?v=q2zxHaxjoDQ</v>
      </c>
      <c r="X779" s="81"/>
      <c r="Y779" s="81"/>
      <c r="Z779" s="88">
        <v>42663.7321875</v>
      </c>
      <c r="AA779" s="81"/>
      <c r="AB779" s="81"/>
      <c r="AC779" s="81"/>
      <c r="AD779" s="81"/>
      <c r="AE779">
        <v>1</v>
      </c>
      <c r="AF779" s="80" t="str">
        <f>REPLACE(INDEX(GroupVertices[Group],MATCH(Edges[[#This Row],[Vertex 1]],GroupVertices[Vertex],0)),1,1,"")</f>
        <v>13</v>
      </c>
      <c r="AG779" s="80" t="str">
        <f>REPLACE(INDEX(GroupVertices[Group],MATCH(Edges[[#This Row],[Vertex 2]],GroupVertices[Vertex],0)),1,1,"")</f>
        <v>13</v>
      </c>
      <c r="AH779" s="49"/>
      <c r="AI779" s="50"/>
      <c r="AJ779" s="49"/>
      <c r="AK779" s="50"/>
      <c r="AL779" s="49"/>
      <c r="AM779" s="50"/>
      <c r="AN779" s="49"/>
      <c r="AO779" s="50"/>
      <c r="AP779" s="49"/>
    </row>
    <row r="780" spans="1:42" ht="15">
      <c r="A780" s="65" t="s">
        <v>831</v>
      </c>
      <c r="B780" s="65" t="s">
        <v>831</v>
      </c>
      <c r="C780" s="66" t="s">
        <v>4651</v>
      </c>
      <c r="D780" s="67">
        <v>3</v>
      </c>
      <c r="E780" s="68"/>
      <c r="F780" s="69">
        <v>40</v>
      </c>
      <c r="G780" s="66"/>
      <c r="H780" s="70"/>
      <c r="I780" s="71"/>
      <c r="J780" s="71"/>
      <c r="K780" s="35" t="s">
        <v>65</v>
      </c>
      <c r="L780" s="79">
        <v>780</v>
      </c>
      <c r="M780" s="79"/>
      <c r="N780" s="73"/>
      <c r="O780" s="81" t="s">
        <v>846</v>
      </c>
      <c r="P780" s="81"/>
      <c r="Q780" s="81"/>
      <c r="R780" s="81"/>
      <c r="S780" s="81"/>
      <c r="T780" s="81"/>
      <c r="U780" s="81"/>
      <c r="V780" s="81" t="s">
        <v>2340</v>
      </c>
      <c r="W780" s="86" t="str">
        <f>HYPERLINK("https://www.youtube.com/watch?v=7iZSO_vqLa4")</f>
        <v>https://www.youtube.com/watch?v=7iZSO_vqLa4</v>
      </c>
      <c r="X780" s="81"/>
      <c r="Y780" s="81"/>
      <c r="Z780" s="88">
        <v>43093.41148148148</v>
      </c>
      <c r="AA780" s="81"/>
      <c r="AB780" s="81"/>
      <c r="AC780" s="81"/>
      <c r="AD780" s="81"/>
      <c r="AE780">
        <v>1</v>
      </c>
      <c r="AF780" s="80" t="str">
        <f>REPLACE(INDEX(GroupVertices[Group],MATCH(Edges[[#This Row],[Vertex 1]],GroupVertices[Vertex],0)),1,1,"")</f>
        <v>13</v>
      </c>
      <c r="AG780" s="80" t="str">
        <f>REPLACE(INDEX(GroupVertices[Group],MATCH(Edges[[#This Row],[Vertex 2]],GroupVertices[Vertex],0)),1,1,"")</f>
        <v>13</v>
      </c>
      <c r="AH780" s="49"/>
      <c r="AI780" s="50"/>
      <c r="AJ780" s="49"/>
      <c r="AK780" s="50"/>
      <c r="AL780" s="49"/>
      <c r="AM780" s="50"/>
      <c r="AN780" s="49"/>
      <c r="AO780" s="50"/>
      <c r="AP780" s="49"/>
    </row>
    <row r="781" spans="1:42" ht="15">
      <c r="A781" s="65" t="s">
        <v>445</v>
      </c>
      <c r="B781" s="65" t="s">
        <v>445</v>
      </c>
      <c r="C781" s="66" t="s">
        <v>4651</v>
      </c>
      <c r="D781" s="67">
        <v>3</v>
      </c>
      <c r="E781" s="68"/>
      <c r="F781" s="69">
        <v>40</v>
      </c>
      <c r="G781" s="66"/>
      <c r="H781" s="70"/>
      <c r="I781" s="71"/>
      <c r="J781" s="71"/>
      <c r="K781" s="35" t="s">
        <v>65</v>
      </c>
      <c r="L781" s="79">
        <v>781</v>
      </c>
      <c r="M781" s="79"/>
      <c r="N781" s="73"/>
      <c r="O781" s="81" t="s">
        <v>846</v>
      </c>
      <c r="P781" s="81"/>
      <c r="Q781" s="81"/>
      <c r="R781" s="81"/>
      <c r="S781" s="81"/>
      <c r="T781" s="81"/>
      <c r="U781" s="81"/>
      <c r="V781" s="81" t="s">
        <v>2317</v>
      </c>
      <c r="W781" s="86" t="str">
        <f>HYPERLINK("https://www.youtube.com/watch?v=niztAhOnXpQ")</f>
        <v>https://www.youtube.com/watch?v=niztAhOnXpQ</v>
      </c>
      <c r="X781" s="81"/>
      <c r="Y781" s="81"/>
      <c r="Z781" s="88">
        <v>44289.166863425926</v>
      </c>
      <c r="AA781" s="81"/>
      <c r="AB781" s="81"/>
      <c r="AC781" s="81"/>
      <c r="AD781" s="81"/>
      <c r="AE781">
        <v>1</v>
      </c>
      <c r="AF781" s="80" t="str">
        <f>REPLACE(INDEX(GroupVertices[Group],MATCH(Edges[[#This Row],[Vertex 1]],GroupVertices[Vertex],0)),1,1,"")</f>
        <v>20</v>
      </c>
      <c r="AG781" s="80" t="str">
        <f>REPLACE(INDEX(GroupVertices[Group],MATCH(Edges[[#This Row],[Vertex 2]],GroupVertices[Vertex],0)),1,1,"")</f>
        <v>20</v>
      </c>
      <c r="AH781" s="49"/>
      <c r="AI781" s="50"/>
      <c r="AJ781" s="49"/>
      <c r="AK781" s="50"/>
      <c r="AL781" s="49"/>
      <c r="AM781" s="50"/>
      <c r="AN781" s="49"/>
      <c r="AO781" s="50"/>
      <c r="AP781" s="49"/>
    </row>
    <row r="782" spans="1:42" ht="15">
      <c r="A782" s="65" t="s">
        <v>832</v>
      </c>
      <c r="B782" s="65" t="s">
        <v>832</v>
      </c>
      <c r="C782" s="66" t="s">
        <v>4651</v>
      </c>
      <c r="D782" s="67">
        <v>3</v>
      </c>
      <c r="E782" s="68"/>
      <c r="F782" s="69">
        <v>40</v>
      </c>
      <c r="G782" s="66"/>
      <c r="H782" s="70"/>
      <c r="I782" s="71"/>
      <c r="J782" s="71"/>
      <c r="K782" s="35" t="s">
        <v>65</v>
      </c>
      <c r="L782" s="79">
        <v>782</v>
      </c>
      <c r="M782" s="79"/>
      <c r="N782" s="73"/>
      <c r="O782" s="81" t="s">
        <v>846</v>
      </c>
      <c r="P782" s="81"/>
      <c r="Q782" s="81"/>
      <c r="R782" s="81"/>
      <c r="S782" s="81"/>
      <c r="T782" s="81"/>
      <c r="U782" s="81"/>
      <c r="V782" s="81" t="s">
        <v>2341</v>
      </c>
      <c r="W782" s="86" t="str">
        <f>HYPERLINK("https://www.youtube.com/watch?v=vawW1_p2p64")</f>
        <v>https://www.youtube.com/watch?v=vawW1_p2p64</v>
      </c>
      <c r="X782" s="81"/>
      <c r="Y782" s="81"/>
      <c r="Z782" s="88">
        <v>42167.28527777778</v>
      </c>
      <c r="AA782" s="81"/>
      <c r="AB782" s="81"/>
      <c r="AC782" s="81"/>
      <c r="AD782" s="81"/>
      <c r="AE782">
        <v>1</v>
      </c>
      <c r="AF782" s="80" t="str">
        <f>REPLACE(INDEX(GroupVertices[Group],MATCH(Edges[[#This Row],[Vertex 1]],GroupVertices[Vertex],0)),1,1,"")</f>
        <v>13</v>
      </c>
      <c r="AG782" s="80" t="str">
        <f>REPLACE(INDEX(GroupVertices[Group],MATCH(Edges[[#This Row],[Vertex 2]],GroupVertices[Vertex],0)),1,1,"")</f>
        <v>13</v>
      </c>
      <c r="AH782" s="49"/>
      <c r="AI782" s="50"/>
      <c r="AJ782" s="49"/>
      <c r="AK782" s="50"/>
      <c r="AL782" s="49"/>
      <c r="AM782" s="50"/>
      <c r="AN782" s="49"/>
      <c r="AO782" s="50"/>
      <c r="AP782" s="49"/>
    </row>
    <row r="783" spans="1:42" ht="15">
      <c r="A783" s="65" t="s">
        <v>455</v>
      </c>
      <c r="B783" s="65" t="s">
        <v>455</v>
      </c>
      <c r="C783" s="66" t="s">
        <v>4651</v>
      </c>
      <c r="D783" s="67">
        <v>3</v>
      </c>
      <c r="E783" s="68"/>
      <c r="F783" s="69">
        <v>40</v>
      </c>
      <c r="G783" s="66"/>
      <c r="H783" s="70"/>
      <c r="I783" s="71"/>
      <c r="J783" s="71"/>
      <c r="K783" s="35" t="s">
        <v>65</v>
      </c>
      <c r="L783" s="79">
        <v>783</v>
      </c>
      <c r="M783" s="79"/>
      <c r="N783" s="73"/>
      <c r="O783" s="81" t="s">
        <v>846</v>
      </c>
      <c r="P783" s="81"/>
      <c r="Q783" s="81"/>
      <c r="R783" s="81"/>
      <c r="S783" s="81"/>
      <c r="T783" s="81"/>
      <c r="U783" s="81"/>
      <c r="V783" s="81" t="s">
        <v>2318</v>
      </c>
      <c r="W783" s="86" t="str">
        <f>HYPERLINK("https://www.youtube.com/watch?v=4gDOjS0xRAQ")</f>
        <v>https://www.youtube.com/watch?v=4gDOjS0xRAQ</v>
      </c>
      <c r="X783" s="81"/>
      <c r="Y783" s="81"/>
      <c r="Z783" s="88">
        <v>43932.50142361111</v>
      </c>
      <c r="AA783" s="81"/>
      <c r="AB783" s="81"/>
      <c r="AC783" s="81"/>
      <c r="AD783" s="81"/>
      <c r="AE783">
        <v>1</v>
      </c>
      <c r="AF783" s="80" t="str">
        <f>REPLACE(INDEX(GroupVertices[Group],MATCH(Edges[[#This Row],[Vertex 1]],GroupVertices[Vertex],0)),1,1,"")</f>
        <v>7</v>
      </c>
      <c r="AG783" s="80" t="str">
        <f>REPLACE(INDEX(GroupVertices[Group],MATCH(Edges[[#This Row],[Vertex 2]],GroupVertices[Vertex],0)),1,1,"")</f>
        <v>7</v>
      </c>
      <c r="AH783" s="49"/>
      <c r="AI783" s="50"/>
      <c r="AJ783" s="49"/>
      <c r="AK783" s="50"/>
      <c r="AL783" s="49"/>
      <c r="AM783" s="50"/>
      <c r="AN783" s="49"/>
      <c r="AO783" s="50"/>
      <c r="AP783" s="49"/>
    </row>
    <row r="784" spans="1:42" ht="15">
      <c r="A784" s="65" t="s">
        <v>833</v>
      </c>
      <c r="B784" s="65" t="s">
        <v>833</v>
      </c>
      <c r="C784" s="66" t="s">
        <v>4651</v>
      </c>
      <c r="D784" s="67">
        <v>3</v>
      </c>
      <c r="E784" s="68"/>
      <c r="F784" s="69">
        <v>40</v>
      </c>
      <c r="G784" s="66"/>
      <c r="H784" s="70"/>
      <c r="I784" s="71"/>
      <c r="J784" s="71"/>
      <c r="K784" s="35" t="s">
        <v>65</v>
      </c>
      <c r="L784" s="79">
        <v>784</v>
      </c>
      <c r="M784" s="79"/>
      <c r="N784" s="73"/>
      <c r="O784" s="81" t="s">
        <v>846</v>
      </c>
      <c r="P784" s="81"/>
      <c r="Q784" s="81"/>
      <c r="R784" s="81"/>
      <c r="S784" s="81"/>
      <c r="T784" s="81"/>
      <c r="U784" s="81"/>
      <c r="V784" s="81" t="s">
        <v>2320</v>
      </c>
      <c r="W784" s="86" t="str">
        <f>HYPERLINK("https://www.youtube.com/watch?v=CjLTpEupuf8")</f>
        <v>https://www.youtube.com/watch?v=CjLTpEupuf8</v>
      </c>
      <c r="X784" s="81"/>
      <c r="Y784" s="81"/>
      <c r="Z784" s="88">
        <v>43966.87934027778</v>
      </c>
      <c r="AA784" s="81"/>
      <c r="AB784" s="81"/>
      <c r="AC784" s="81"/>
      <c r="AD784" s="81"/>
      <c r="AE784">
        <v>1</v>
      </c>
      <c r="AF784" s="80" t="str">
        <f>REPLACE(INDEX(GroupVertices[Group],MATCH(Edges[[#This Row],[Vertex 1]],GroupVertices[Vertex],0)),1,1,"")</f>
        <v>23</v>
      </c>
      <c r="AG784" s="80" t="str">
        <f>REPLACE(INDEX(GroupVertices[Group],MATCH(Edges[[#This Row],[Vertex 2]],GroupVertices[Vertex],0)),1,1,"")</f>
        <v>23</v>
      </c>
      <c r="AH784" s="49"/>
      <c r="AI784" s="50"/>
      <c r="AJ784" s="49"/>
      <c r="AK784" s="50"/>
      <c r="AL784" s="49"/>
      <c r="AM784" s="50"/>
      <c r="AN784" s="49"/>
      <c r="AO784" s="50"/>
      <c r="AP784" s="49"/>
    </row>
    <row r="785" spans="1:42" ht="15">
      <c r="A785" s="65" t="s">
        <v>834</v>
      </c>
      <c r="B785" s="65" t="s">
        <v>834</v>
      </c>
      <c r="C785" s="66" t="s">
        <v>4651</v>
      </c>
      <c r="D785" s="67">
        <v>3</v>
      </c>
      <c r="E785" s="68"/>
      <c r="F785" s="69">
        <v>40</v>
      </c>
      <c r="G785" s="66"/>
      <c r="H785" s="70"/>
      <c r="I785" s="71"/>
      <c r="J785" s="71"/>
      <c r="K785" s="35" t="s">
        <v>65</v>
      </c>
      <c r="L785" s="79">
        <v>785</v>
      </c>
      <c r="M785" s="79"/>
      <c r="N785" s="73"/>
      <c r="O785" s="81" t="s">
        <v>846</v>
      </c>
      <c r="P785" s="81"/>
      <c r="Q785" s="81"/>
      <c r="R785" s="81"/>
      <c r="S785" s="81"/>
      <c r="T785" s="81"/>
      <c r="U785" s="81"/>
      <c r="V785" s="81" t="s">
        <v>2321</v>
      </c>
      <c r="W785" s="86" t="str">
        <f>HYPERLINK("https://www.youtube.com/watch?v=xS_txj05aTQ")</f>
        <v>https://www.youtube.com/watch?v=xS_txj05aTQ</v>
      </c>
      <c r="X785" s="81"/>
      <c r="Y785" s="81"/>
      <c r="Z785" s="88">
        <v>42521.75707175926</v>
      </c>
      <c r="AA785" s="81"/>
      <c r="AB785" s="81"/>
      <c r="AC785" s="81"/>
      <c r="AD785" s="81"/>
      <c r="AE785">
        <v>1</v>
      </c>
      <c r="AF785" s="80" t="str">
        <f>REPLACE(INDEX(GroupVertices[Group],MATCH(Edges[[#This Row],[Vertex 1]],GroupVertices[Vertex],0)),1,1,"")</f>
        <v>10</v>
      </c>
      <c r="AG785" s="80" t="str">
        <f>REPLACE(INDEX(GroupVertices[Group],MATCH(Edges[[#This Row],[Vertex 2]],GroupVertices[Vertex],0)),1,1,"")</f>
        <v>10</v>
      </c>
      <c r="AH785" s="49"/>
      <c r="AI785" s="50"/>
      <c r="AJ785" s="49"/>
      <c r="AK785" s="50"/>
      <c r="AL785" s="49"/>
      <c r="AM785" s="50"/>
      <c r="AN785" s="49"/>
      <c r="AO785" s="50"/>
      <c r="AP785" s="49"/>
    </row>
    <row r="786" spans="1:42" ht="15">
      <c r="A786" s="65" t="s">
        <v>835</v>
      </c>
      <c r="B786" s="65" t="s">
        <v>835</v>
      </c>
      <c r="C786" s="66" t="s">
        <v>4613</v>
      </c>
      <c r="D786" s="67">
        <v>10</v>
      </c>
      <c r="E786" s="68"/>
      <c r="F786" s="69">
        <v>15</v>
      </c>
      <c r="G786" s="66"/>
      <c r="H786" s="70"/>
      <c r="I786" s="71"/>
      <c r="J786" s="71"/>
      <c r="K786" s="35" t="s">
        <v>65</v>
      </c>
      <c r="L786" s="79">
        <v>786</v>
      </c>
      <c r="M786" s="79"/>
      <c r="N786" s="73"/>
      <c r="O786" s="81" t="s">
        <v>844</v>
      </c>
      <c r="P786" s="81" t="s">
        <v>199</v>
      </c>
      <c r="Q786" s="84" t="s">
        <v>1570</v>
      </c>
      <c r="R786" s="81" t="s">
        <v>835</v>
      </c>
      <c r="S786" s="81" t="s">
        <v>2183</v>
      </c>
      <c r="T786" s="86" t="str">
        <f>HYPERLINK("http://www.youtube.com/channel/UCrC8mOqJQpoB7NuIMKIS6rQ")</f>
        <v>http://www.youtube.com/channel/UCrC8mOqJQpoB7NuIMKIS6rQ</v>
      </c>
      <c r="U786" s="81"/>
      <c r="V786" s="81" t="s">
        <v>2322</v>
      </c>
      <c r="W786" s="86" t="str">
        <f>HYPERLINK("https://www.youtube.com/watch?v=5Q411ntL0jQ")</f>
        <v>https://www.youtube.com/watch?v=5Q411ntL0jQ</v>
      </c>
      <c r="X786" s="81" t="s">
        <v>2349</v>
      </c>
      <c r="Y786" s="81">
        <v>1</v>
      </c>
      <c r="Z786" s="88">
        <v>43915.18953703704</v>
      </c>
      <c r="AA786" s="88">
        <v>43915.18953703704</v>
      </c>
      <c r="AB786" s="81" t="s">
        <v>2377</v>
      </c>
      <c r="AC786" s="81" t="s">
        <v>2389</v>
      </c>
      <c r="AD786" s="84" t="s">
        <v>2390</v>
      </c>
      <c r="AE786" s="82">
        <v>2</v>
      </c>
      <c r="AF786" s="83" t="str">
        <f>REPLACE(INDEX(GroupVertices[Group],MATCH(Edges[[#This Row],[Vertex 1]],GroupVertices[Vertex],0)),1,1,"")</f>
        <v>11</v>
      </c>
      <c r="AG786" s="83" t="str">
        <f>REPLACE(INDEX(GroupVertices[Group],MATCH(Edges[[#This Row],[Vertex 2]],GroupVertices[Vertex],0)),1,1,"")</f>
        <v>11</v>
      </c>
      <c r="AH786" s="111">
        <v>2</v>
      </c>
      <c r="AI786" s="112">
        <v>1.7391304347826086</v>
      </c>
      <c r="AJ786" s="111">
        <v>1</v>
      </c>
      <c r="AK786" s="112">
        <v>0.8695652173913043</v>
      </c>
      <c r="AL786" s="111">
        <v>0</v>
      </c>
      <c r="AM786" s="112">
        <v>0</v>
      </c>
      <c r="AN786" s="111">
        <v>112</v>
      </c>
      <c r="AO786" s="112">
        <v>97.3913043478261</v>
      </c>
      <c r="AP786" s="111">
        <v>115</v>
      </c>
    </row>
    <row r="787" spans="1:42" ht="15">
      <c r="A787" s="65" t="s">
        <v>835</v>
      </c>
      <c r="B787" s="65" t="s">
        <v>835</v>
      </c>
      <c r="C787" s="66" t="s">
        <v>4613</v>
      </c>
      <c r="D787" s="67">
        <v>10</v>
      </c>
      <c r="E787" s="68"/>
      <c r="F787" s="69">
        <v>15</v>
      </c>
      <c r="G787" s="66"/>
      <c r="H787" s="70"/>
      <c r="I787" s="71"/>
      <c r="J787" s="71"/>
      <c r="K787" s="35" t="s">
        <v>65</v>
      </c>
      <c r="L787" s="79">
        <v>787</v>
      </c>
      <c r="M787" s="79"/>
      <c r="N787" s="73"/>
      <c r="O787" s="81" t="s">
        <v>846</v>
      </c>
      <c r="P787" s="81"/>
      <c r="Q787" s="81"/>
      <c r="R787" s="81"/>
      <c r="S787" s="81"/>
      <c r="T787" s="81"/>
      <c r="U787" s="81"/>
      <c r="V787" s="81" t="s">
        <v>2322</v>
      </c>
      <c r="W787" s="86" t="str">
        <f>HYPERLINK("https://www.youtube.com/watch?v=5Q411ntL0jQ")</f>
        <v>https://www.youtube.com/watch?v=5Q411ntL0jQ</v>
      </c>
      <c r="X787" s="81"/>
      <c r="Y787" s="81"/>
      <c r="Z787" s="88">
        <v>43915.19998842593</v>
      </c>
      <c r="AA787" s="81"/>
      <c r="AB787" s="81"/>
      <c r="AC787" s="81"/>
      <c r="AD787" s="81"/>
      <c r="AE787">
        <v>2</v>
      </c>
      <c r="AF787" s="80" t="str">
        <f>REPLACE(INDEX(GroupVertices[Group],MATCH(Edges[[#This Row],[Vertex 1]],GroupVertices[Vertex],0)),1,1,"")</f>
        <v>11</v>
      </c>
      <c r="AG787" s="80" t="str">
        <f>REPLACE(INDEX(GroupVertices[Group],MATCH(Edges[[#This Row],[Vertex 2]],GroupVertices[Vertex],0)),1,1,"")</f>
        <v>11</v>
      </c>
      <c r="AH787" s="49"/>
      <c r="AI787" s="50"/>
      <c r="AJ787" s="49"/>
      <c r="AK787" s="50"/>
      <c r="AL787" s="49"/>
      <c r="AM787" s="50"/>
      <c r="AN787" s="49"/>
      <c r="AO787" s="50"/>
      <c r="AP787" s="49"/>
    </row>
    <row r="788" spans="1:42" ht="15">
      <c r="A788" s="65" t="s">
        <v>836</v>
      </c>
      <c r="B788" s="65" t="s">
        <v>836</v>
      </c>
      <c r="C788" s="66" t="s">
        <v>4651</v>
      </c>
      <c r="D788" s="67">
        <v>3</v>
      </c>
      <c r="E788" s="68"/>
      <c r="F788" s="69">
        <v>40</v>
      </c>
      <c r="G788" s="66"/>
      <c r="H788" s="70"/>
      <c r="I788" s="71"/>
      <c r="J788" s="71"/>
      <c r="K788" s="35" t="s">
        <v>65</v>
      </c>
      <c r="L788" s="79">
        <v>788</v>
      </c>
      <c r="M788" s="79"/>
      <c r="N788" s="73"/>
      <c r="O788" s="81" t="s">
        <v>846</v>
      </c>
      <c r="P788" s="81"/>
      <c r="Q788" s="81"/>
      <c r="R788" s="81"/>
      <c r="S788" s="81"/>
      <c r="T788" s="81"/>
      <c r="U788" s="81"/>
      <c r="V788" s="81" t="s">
        <v>2323</v>
      </c>
      <c r="W788" s="86" t="str">
        <f>HYPERLINK("https://www.youtube.com/watch?v=TAO_rztPO80")</f>
        <v>https://www.youtube.com/watch?v=TAO_rztPO80</v>
      </c>
      <c r="X788" s="81"/>
      <c r="Y788" s="81"/>
      <c r="Z788" s="88">
        <v>41108.95361111111</v>
      </c>
      <c r="AA788" s="81"/>
      <c r="AB788" s="81"/>
      <c r="AC788" s="81"/>
      <c r="AD788" s="81"/>
      <c r="AE788">
        <v>1</v>
      </c>
      <c r="AF788" s="80" t="str">
        <f>REPLACE(INDEX(GroupVertices[Group],MATCH(Edges[[#This Row],[Vertex 1]],GroupVertices[Vertex],0)),1,1,"")</f>
        <v>21</v>
      </c>
      <c r="AG788" s="80" t="str">
        <f>REPLACE(INDEX(GroupVertices[Group],MATCH(Edges[[#This Row],[Vertex 2]],GroupVertices[Vertex],0)),1,1,"")</f>
        <v>21</v>
      </c>
      <c r="AH788" s="49"/>
      <c r="AI788" s="50"/>
      <c r="AJ788" s="49"/>
      <c r="AK788" s="50"/>
      <c r="AL788" s="49"/>
      <c r="AM788" s="50"/>
      <c r="AN788" s="49"/>
      <c r="AO788" s="50"/>
      <c r="AP788" s="49"/>
    </row>
    <row r="789" spans="1:42" ht="15">
      <c r="A789" s="65" t="s">
        <v>526</v>
      </c>
      <c r="B789" s="65" t="s">
        <v>526</v>
      </c>
      <c r="C789" s="66" t="s">
        <v>4651</v>
      </c>
      <c r="D789" s="67">
        <v>3</v>
      </c>
      <c r="E789" s="68"/>
      <c r="F789" s="69">
        <v>40</v>
      </c>
      <c r="G789" s="66"/>
      <c r="H789" s="70"/>
      <c r="I789" s="71"/>
      <c r="J789" s="71"/>
      <c r="K789" s="35" t="s">
        <v>65</v>
      </c>
      <c r="L789" s="79">
        <v>789</v>
      </c>
      <c r="M789" s="79"/>
      <c r="N789" s="73"/>
      <c r="O789" s="81" t="s">
        <v>846</v>
      </c>
      <c r="P789" s="81"/>
      <c r="Q789" s="81"/>
      <c r="R789" s="81"/>
      <c r="S789" s="81"/>
      <c r="T789" s="81"/>
      <c r="U789" s="81"/>
      <c r="V789" s="81" t="s">
        <v>2324</v>
      </c>
      <c r="W789" s="86" t="str">
        <f>HYPERLINK("https://www.youtube.com/watch?v=Td1itX2lMss")</f>
        <v>https://www.youtube.com/watch?v=Td1itX2lMss</v>
      </c>
      <c r="X789" s="81"/>
      <c r="Y789" s="81"/>
      <c r="Z789" s="88">
        <v>43765.564837962964</v>
      </c>
      <c r="AA789" s="81"/>
      <c r="AB789" s="81"/>
      <c r="AC789" s="81"/>
      <c r="AD789" s="81"/>
      <c r="AE789">
        <v>1</v>
      </c>
      <c r="AF789" s="80" t="str">
        <f>REPLACE(INDEX(GroupVertices[Group],MATCH(Edges[[#This Row],[Vertex 1]],GroupVertices[Vertex],0)),1,1,"")</f>
        <v>16</v>
      </c>
      <c r="AG789" s="80" t="str">
        <f>REPLACE(INDEX(GroupVertices[Group],MATCH(Edges[[#This Row],[Vertex 2]],GroupVertices[Vertex],0)),1,1,"")</f>
        <v>16</v>
      </c>
      <c r="AH789" s="49"/>
      <c r="AI789" s="50"/>
      <c r="AJ789" s="49"/>
      <c r="AK789" s="50"/>
      <c r="AL789" s="49"/>
      <c r="AM789" s="50"/>
      <c r="AN789" s="49"/>
      <c r="AO789" s="50"/>
      <c r="AP789" s="49"/>
    </row>
    <row r="790" spans="1:42" ht="15">
      <c r="A790" s="65" t="s">
        <v>542</v>
      </c>
      <c r="B790" s="65" t="s">
        <v>542</v>
      </c>
      <c r="C790" s="66" t="s">
        <v>4651</v>
      </c>
      <c r="D790" s="67">
        <v>3</v>
      </c>
      <c r="E790" s="68"/>
      <c r="F790" s="69">
        <v>40</v>
      </c>
      <c r="G790" s="66"/>
      <c r="H790" s="70"/>
      <c r="I790" s="71"/>
      <c r="J790" s="71"/>
      <c r="K790" s="35" t="s">
        <v>65</v>
      </c>
      <c r="L790" s="79">
        <v>790</v>
      </c>
      <c r="M790" s="79"/>
      <c r="N790" s="73"/>
      <c r="O790" s="81" t="s">
        <v>846</v>
      </c>
      <c r="P790" s="81"/>
      <c r="Q790" s="81"/>
      <c r="R790" s="81"/>
      <c r="S790" s="81"/>
      <c r="T790" s="81"/>
      <c r="U790" s="81"/>
      <c r="V790" s="81" t="s">
        <v>2326</v>
      </c>
      <c r="W790" s="86" t="str">
        <f>HYPERLINK("https://www.youtube.com/watch?v=pfKPJasaDSY")</f>
        <v>https://www.youtube.com/watch?v=pfKPJasaDSY</v>
      </c>
      <c r="X790" s="81"/>
      <c r="Y790" s="81"/>
      <c r="Z790" s="88">
        <v>42053.86168981482</v>
      </c>
      <c r="AA790" s="81"/>
      <c r="AB790" s="81"/>
      <c r="AC790" s="81"/>
      <c r="AD790" s="81"/>
      <c r="AE790">
        <v>1</v>
      </c>
      <c r="AF790" s="80" t="str">
        <f>REPLACE(INDEX(GroupVertices[Group],MATCH(Edges[[#This Row],[Vertex 1]],GroupVertices[Vertex],0)),1,1,"")</f>
        <v>15</v>
      </c>
      <c r="AG790" s="80" t="str">
        <f>REPLACE(INDEX(GroupVertices[Group],MATCH(Edges[[#This Row],[Vertex 2]],GroupVertices[Vertex],0)),1,1,"")</f>
        <v>15</v>
      </c>
      <c r="AH790" s="49"/>
      <c r="AI790" s="50"/>
      <c r="AJ790" s="49"/>
      <c r="AK790" s="50"/>
      <c r="AL790" s="49"/>
      <c r="AM790" s="50"/>
      <c r="AN790" s="49"/>
      <c r="AO790" s="50"/>
      <c r="AP790" s="49"/>
    </row>
    <row r="791" spans="1:42" ht="15">
      <c r="A791" s="65" t="s">
        <v>837</v>
      </c>
      <c r="B791" s="65" t="s">
        <v>837</v>
      </c>
      <c r="C791" s="66" t="s">
        <v>4651</v>
      </c>
      <c r="D791" s="67">
        <v>3</v>
      </c>
      <c r="E791" s="68"/>
      <c r="F791" s="69">
        <v>40</v>
      </c>
      <c r="G791" s="66"/>
      <c r="H791" s="70"/>
      <c r="I791" s="71"/>
      <c r="J791" s="71"/>
      <c r="K791" s="35" t="s">
        <v>65</v>
      </c>
      <c r="L791" s="79">
        <v>791</v>
      </c>
      <c r="M791" s="79"/>
      <c r="N791" s="73"/>
      <c r="O791" s="81" t="s">
        <v>846</v>
      </c>
      <c r="P791" s="81"/>
      <c r="Q791" s="81"/>
      <c r="R791" s="81"/>
      <c r="S791" s="81"/>
      <c r="T791" s="81"/>
      <c r="U791" s="81"/>
      <c r="V791" s="81" t="s">
        <v>2342</v>
      </c>
      <c r="W791" s="86" t="str">
        <f>HYPERLINK("https://www.youtube.com/watch?v=khC0wedp-K8")</f>
        <v>https://www.youtube.com/watch?v=khC0wedp-K8</v>
      </c>
      <c r="X791" s="81"/>
      <c r="Y791" s="81"/>
      <c r="Z791" s="88">
        <v>43194.25001157408</v>
      </c>
      <c r="AA791" s="81"/>
      <c r="AB791" s="81"/>
      <c r="AC791" s="81"/>
      <c r="AD791" s="81"/>
      <c r="AE791">
        <v>1</v>
      </c>
      <c r="AF791" s="80" t="str">
        <f>REPLACE(INDEX(GroupVertices[Group],MATCH(Edges[[#This Row],[Vertex 1]],GroupVertices[Vertex],0)),1,1,"")</f>
        <v>13</v>
      </c>
      <c r="AG791" s="80" t="str">
        <f>REPLACE(INDEX(GroupVertices[Group],MATCH(Edges[[#This Row],[Vertex 2]],GroupVertices[Vertex],0)),1,1,"")</f>
        <v>13</v>
      </c>
      <c r="AH791" s="49"/>
      <c r="AI791" s="50"/>
      <c r="AJ791" s="49"/>
      <c r="AK791" s="50"/>
      <c r="AL791" s="49"/>
      <c r="AM791" s="50"/>
      <c r="AN791" s="49"/>
      <c r="AO791" s="50"/>
      <c r="AP791" s="49"/>
    </row>
    <row r="792" spans="1:42" ht="15">
      <c r="A792" s="65" t="s">
        <v>553</v>
      </c>
      <c r="B792" s="65" t="s">
        <v>553</v>
      </c>
      <c r="C792" s="66" t="s">
        <v>4613</v>
      </c>
      <c r="D792" s="67">
        <v>10</v>
      </c>
      <c r="E792" s="68"/>
      <c r="F792" s="69">
        <v>15</v>
      </c>
      <c r="G792" s="66"/>
      <c r="H792" s="70"/>
      <c r="I792" s="71"/>
      <c r="J792" s="71"/>
      <c r="K792" s="35" t="s">
        <v>65</v>
      </c>
      <c r="L792" s="79">
        <v>792</v>
      </c>
      <c r="M792" s="79"/>
      <c r="N792" s="73"/>
      <c r="O792" s="81" t="s">
        <v>846</v>
      </c>
      <c r="P792" s="81"/>
      <c r="Q792" s="81"/>
      <c r="R792" s="81"/>
      <c r="S792" s="81"/>
      <c r="T792" s="81"/>
      <c r="U792" s="81"/>
      <c r="V792" s="81" t="s">
        <v>2327</v>
      </c>
      <c r="W792" s="86" t="str">
        <f>HYPERLINK("https://www.youtube.com/watch?v=H6DrSG_KQjo")</f>
        <v>https://www.youtube.com/watch?v=H6DrSG_KQjo</v>
      </c>
      <c r="X792" s="81"/>
      <c r="Y792" s="81"/>
      <c r="Z792" s="88">
        <v>42996.88618055556</v>
      </c>
      <c r="AA792" s="81"/>
      <c r="AB792" s="81"/>
      <c r="AC792" s="81"/>
      <c r="AD792" s="81"/>
      <c r="AE792">
        <v>2</v>
      </c>
      <c r="AF792" s="80" t="str">
        <f>REPLACE(INDEX(GroupVertices[Group],MATCH(Edges[[#This Row],[Vertex 1]],GroupVertices[Vertex],0)),1,1,"")</f>
        <v>1</v>
      </c>
      <c r="AG792" s="80" t="str">
        <f>REPLACE(INDEX(GroupVertices[Group],MATCH(Edges[[#This Row],[Vertex 2]],GroupVertices[Vertex],0)),1,1,"")</f>
        <v>1</v>
      </c>
      <c r="AH792" s="49"/>
      <c r="AI792" s="50"/>
      <c r="AJ792" s="49"/>
      <c r="AK792" s="50"/>
      <c r="AL792" s="49"/>
      <c r="AM792" s="50"/>
      <c r="AN792" s="49"/>
      <c r="AO792" s="50"/>
      <c r="AP792" s="49"/>
    </row>
    <row r="793" spans="1:42" ht="15">
      <c r="A793" s="65" t="s">
        <v>553</v>
      </c>
      <c r="B793" s="65" t="s">
        <v>553</v>
      </c>
      <c r="C793" s="66" t="s">
        <v>4613</v>
      </c>
      <c r="D793" s="67">
        <v>10</v>
      </c>
      <c r="E793" s="68"/>
      <c r="F793" s="69">
        <v>15</v>
      </c>
      <c r="G793" s="66"/>
      <c r="H793" s="70"/>
      <c r="I793" s="71"/>
      <c r="J793" s="71"/>
      <c r="K793" s="35" t="s">
        <v>65</v>
      </c>
      <c r="L793" s="79">
        <v>793</v>
      </c>
      <c r="M793" s="79"/>
      <c r="N793" s="73"/>
      <c r="O793" s="81" t="s">
        <v>846</v>
      </c>
      <c r="P793" s="81"/>
      <c r="Q793" s="81"/>
      <c r="R793" s="81"/>
      <c r="S793" s="81"/>
      <c r="T793" s="81"/>
      <c r="U793" s="81"/>
      <c r="V793" s="81" t="s">
        <v>2329</v>
      </c>
      <c r="W793" s="86" t="str">
        <f>HYPERLINK("https://www.youtube.com/watch?v=QYWNXp36O48")</f>
        <v>https://www.youtube.com/watch?v=QYWNXp36O48</v>
      </c>
      <c r="X793" s="81"/>
      <c r="Y793" s="81"/>
      <c r="Z793" s="88">
        <v>42995.79478009259</v>
      </c>
      <c r="AA793" s="81"/>
      <c r="AB793" s="81"/>
      <c r="AC793" s="81"/>
      <c r="AD793" s="81"/>
      <c r="AE793">
        <v>2</v>
      </c>
      <c r="AF793" s="80" t="str">
        <f>REPLACE(INDEX(GroupVertices[Group],MATCH(Edges[[#This Row],[Vertex 1]],GroupVertices[Vertex],0)),1,1,"")</f>
        <v>1</v>
      </c>
      <c r="AG793" s="80" t="str">
        <f>REPLACE(INDEX(GroupVertices[Group],MATCH(Edges[[#This Row],[Vertex 2]],GroupVertices[Vertex],0)),1,1,"")</f>
        <v>1</v>
      </c>
      <c r="AH793" s="49"/>
      <c r="AI793" s="50"/>
      <c r="AJ793" s="49"/>
      <c r="AK793" s="50"/>
      <c r="AL793" s="49"/>
      <c r="AM793" s="50"/>
      <c r="AN793" s="49"/>
      <c r="AO793" s="50"/>
      <c r="AP793" s="49"/>
    </row>
    <row r="794" spans="1:42" ht="15">
      <c r="A794" s="65" t="s">
        <v>838</v>
      </c>
      <c r="B794" s="65" t="s">
        <v>838</v>
      </c>
      <c r="C794" s="66" t="s">
        <v>4651</v>
      </c>
      <c r="D794" s="67">
        <v>3</v>
      </c>
      <c r="E794" s="68"/>
      <c r="F794" s="69">
        <v>40</v>
      </c>
      <c r="G794" s="66"/>
      <c r="H794" s="70"/>
      <c r="I794" s="71"/>
      <c r="J794" s="71"/>
      <c r="K794" s="35" t="s">
        <v>65</v>
      </c>
      <c r="L794" s="79">
        <v>794</v>
      </c>
      <c r="M794" s="79"/>
      <c r="N794" s="73"/>
      <c r="O794" s="81" t="s">
        <v>846</v>
      </c>
      <c r="P794" s="81"/>
      <c r="Q794" s="81"/>
      <c r="R794" s="81"/>
      <c r="S794" s="81"/>
      <c r="T794" s="81"/>
      <c r="U794" s="81"/>
      <c r="V794" s="81" t="s">
        <v>2343</v>
      </c>
      <c r="W794" s="86" t="str">
        <f>HYPERLINK("https://www.youtube.com/watch?v=eoRbJqpWwo0")</f>
        <v>https://www.youtube.com/watch?v=eoRbJqpWwo0</v>
      </c>
      <c r="X794" s="81"/>
      <c r="Y794" s="81"/>
      <c r="Z794" s="88">
        <v>44054.416817129626</v>
      </c>
      <c r="AA794" s="81"/>
      <c r="AB794" s="81"/>
      <c r="AC794" s="81"/>
      <c r="AD794" s="81"/>
      <c r="AE794">
        <v>1</v>
      </c>
      <c r="AF794" s="80" t="str">
        <f>REPLACE(INDEX(GroupVertices[Group],MATCH(Edges[[#This Row],[Vertex 1]],GroupVertices[Vertex],0)),1,1,"")</f>
        <v>13</v>
      </c>
      <c r="AG794" s="80" t="str">
        <f>REPLACE(INDEX(GroupVertices[Group],MATCH(Edges[[#This Row],[Vertex 2]],GroupVertices[Vertex],0)),1,1,"")</f>
        <v>13</v>
      </c>
      <c r="AH794" s="49"/>
      <c r="AI794" s="50"/>
      <c r="AJ794" s="49"/>
      <c r="AK794" s="50"/>
      <c r="AL794" s="49"/>
      <c r="AM794" s="50"/>
      <c r="AN794" s="49"/>
      <c r="AO794" s="50"/>
      <c r="AP794" s="49"/>
    </row>
    <row r="795" spans="1:42" ht="15">
      <c r="A795" s="65" t="s">
        <v>839</v>
      </c>
      <c r="B795" s="65" t="s">
        <v>839</v>
      </c>
      <c r="C795" s="66" t="s">
        <v>4613</v>
      </c>
      <c r="D795" s="67">
        <v>10</v>
      </c>
      <c r="E795" s="68"/>
      <c r="F795" s="69">
        <v>15</v>
      </c>
      <c r="G795" s="66"/>
      <c r="H795" s="70"/>
      <c r="I795" s="71"/>
      <c r="J795" s="71"/>
      <c r="K795" s="35" t="s">
        <v>65</v>
      </c>
      <c r="L795" s="79">
        <v>795</v>
      </c>
      <c r="M795" s="79"/>
      <c r="N795" s="73"/>
      <c r="O795" s="81" t="s">
        <v>846</v>
      </c>
      <c r="P795" s="81"/>
      <c r="Q795" s="81"/>
      <c r="R795" s="81"/>
      <c r="S795" s="81"/>
      <c r="T795" s="81"/>
      <c r="U795" s="81"/>
      <c r="V795" s="81" t="s">
        <v>2344</v>
      </c>
      <c r="W795" s="86" t="str">
        <f>HYPERLINK("https://www.youtube.com/watch?v=B8zRA1fKJrA")</f>
        <v>https://www.youtube.com/watch?v=B8zRA1fKJrA</v>
      </c>
      <c r="X795" s="81"/>
      <c r="Y795" s="81"/>
      <c r="Z795" s="88">
        <v>43018.32939814815</v>
      </c>
      <c r="AA795" s="81"/>
      <c r="AB795" s="81"/>
      <c r="AC795" s="81"/>
      <c r="AD795" s="81"/>
      <c r="AE795">
        <v>2</v>
      </c>
      <c r="AF795" s="80" t="str">
        <f>REPLACE(INDEX(GroupVertices[Group],MATCH(Edges[[#This Row],[Vertex 1]],GroupVertices[Vertex],0)),1,1,"")</f>
        <v>22</v>
      </c>
      <c r="AG795" s="80" t="str">
        <f>REPLACE(INDEX(GroupVertices[Group],MATCH(Edges[[#This Row],[Vertex 2]],GroupVertices[Vertex],0)),1,1,"")</f>
        <v>22</v>
      </c>
      <c r="AH795" s="49"/>
      <c r="AI795" s="50"/>
      <c r="AJ795" s="49"/>
      <c r="AK795" s="50"/>
      <c r="AL795" s="49"/>
      <c r="AM795" s="50"/>
      <c r="AN795" s="49"/>
      <c r="AO795" s="50"/>
      <c r="AP795" s="49"/>
    </row>
    <row r="796" spans="1:42" ht="15">
      <c r="A796" s="65" t="s">
        <v>839</v>
      </c>
      <c r="B796" s="65" t="s">
        <v>839</v>
      </c>
      <c r="C796" s="66" t="s">
        <v>4613</v>
      </c>
      <c r="D796" s="67">
        <v>10</v>
      </c>
      <c r="E796" s="68"/>
      <c r="F796" s="69">
        <v>15</v>
      </c>
      <c r="G796" s="66"/>
      <c r="H796" s="70"/>
      <c r="I796" s="71"/>
      <c r="J796" s="71"/>
      <c r="K796" s="35" t="s">
        <v>65</v>
      </c>
      <c r="L796" s="79">
        <v>796</v>
      </c>
      <c r="M796" s="79"/>
      <c r="N796" s="73"/>
      <c r="O796" s="81" t="s">
        <v>846</v>
      </c>
      <c r="P796" s="81"/>
      <c r="Q796" s="81"/>
      <c r="R796" s="81"/>
      <c r="S796" s="81"/>
      <c r="T796" s="81"/>
      <c r="U796" s="81"/>
      <c r="V796" s="81" t="s">
        <v>2331</v>
      </c>
      <c r="W796" s="86" t="str">
        <f>HYPERLINK("https://www.youtube.com/watch?v=Uuk8iIhq-Do")</f>
        <v>https://www.youtube.com/watch?v=Uuk8iIhq-Do</v>
      </c>
      <c r="X796" s="81"/>
      <c r="Y796" s="81"/>
      <c r="Z796" s="88">
        <v>42531.560578703706</v>
      </c>
      <c r="AA796" s="81"/>
      <c r="AB796" s="81"/>
      <c r="AC796" s="81"/>
      <c r="AD796" s="81"/>
      <c r="AE796">
        <v>2</v>
      </c>
      <c r="AF796" s="80" t="str">
        <f>REPLACE(INDEX(GroupVertices[Group],MATCH(Edges[[#This Row],[Vertex 1]],GroupVertices[Vertex],0)),1,1,"")</f>
        <v>22</v>
      </c>
      <c r="AG796" s="80" t="str">
        <f>REPLACE(INDEX(GroupVertices[Group],MATCH(Edges[[#This Row],[Vertex 2]],GroupVertices[Vertex],0)),1,1,"")</f>
        <v>22</v>
      </c>
      <c r="AH796" s="49"/>
      <c r="AI796" s="50"/>
      <c r="AJ796" s="49"/>
      <c r="AK796" s="50"/>
      <c r="AL796" s="49"/>
      <c r="AM796" s="50"/>
      <c r="AN796" s="49"/>
      <c r="AO796" s="50"/>
      <c r="AP796" s="49"/>
    </row>
    <row r="797" spans="1:42" ht="15">
      <c r="A797" s="65" t="s">
        <v>840</v>
      </c>
      <c r="B797" s="65" t="s">
        <v>840</v>
      </c>
      <c r="C797" s="66" t="s">
        <v>4613</v>
      </c>
      <c r="D797" s="67">
        <v>10</v>
      </c>
      <c r="E797" s="68"/>
      <c r="F797" s="69">
        <v>15</v>
      </c>
      <c r="G797" s="66"/>
      <c r="H797" s="70"/>
      <c r="I797" s="71"/>
      <c r="J797" s="71"/>
      <c r="K797" s="35" t="s">
        <v>65</v>
      </c>
      <c r="L797" s="79">
        <v>797</v>
      </c>
      <c r="M797" s="79"/>
      <c r="N797" s="73"/>
      <c r="O797" s="81" t="s">
        <v>846</v>
      </c>
      <c r="P797" s="81"/>
      <c r="Q797" s="81"/>
      <c r="R797" s="81"/>
      <c r="S797" s="81"/>
      <c r="T797" s="81"/>
      <c r="U797" s="81"/>
      <c r="V797" s="81" t="s">
        <v>2312</v>
      </c>
      <c r="W797" s="86" t="str">
        <f>HYPERLINK("https://www.youtube.com/watch?v=vpEAos0blyw")</f>
        <v>https://www.youtube.com/watch?v=vpEAos0blyw</v>
      </c>
      <c r="X797" s="81"/>
      <c r="Y797" s="81"/>
      <c r="Z797" s="88">
        <v>42705.98818287037</v>
      </c>
      <c r="AA797" s="81"/>
      <c r="AB797" s="81"/>
      <c r="AC797" s="81"/>
      <c r="AD797" s="81"/>
      <c r="AE797">
        <v>3</v>
      </c>
      <c r="AF797" s="80" t="str">
        <f>REPLACE(INDEX(GroupVertices[Group],MATCH(Edges[[#This Row],[Vertex 1]],GroupVertices[Vertex],0)),1,1,"")</f>
        <v>4</v>
      </c>
      <c r="AG797" s="80" t="str">
        <f>REPLACE(INDEX(GroupVertices[Group],MATCH(Edges[[#This Row],[Vertex 2]],GroupVertices[Vertex],0)),1,1,"")</f>
        <v>4</v>
      </c>
      <c r="AH797" s="49"/>
      <c r="AI797" s="50"/>
      <c r="AJ797" s="49"/>
      <c r="AK797" s="50"/>
      <c r="AL797" s="49"/>
      <c r="AM797" s="50"/>
      <c r="AN797" s="49"/>
      <c r="AO797" s="50"/>
      <c r="AP797" s="49"/>
    </row>
    <row r="798" spans="1:42" ht="15">
      <c r="A798" s="65" t="s">
        <v>840</v>
      </c>
      <c r="B798" s="65" t="s">
        <v>840</v>
      </c>
      <c r="C798" s="66" t="s">
        <v>4613</v>
      </c>
      <c r="D798" s="67">
        <v>10</v>
      </c>
      <c r="E798" s="68"/>
      <c r="F798" s="69">
        <v>15</v>
      </c>
      <c r="G798" s="66"/>
      <c r="H798" s="70"/>
      <c r="I798" s="71"/>
      <c r="J798" s="71"/>
      <c r="K798" s="35" t="s">
        <v>65</v>
      </c>
      <c r="L798" s="79">
        <v>798</v>
      </c>
      <c r="M798" s="79"/>
      <c r="N798" s="73"/>
      <c r="O798" s="81" t="s">
        <v>846</v>
      </c>
      <c r="P798" s="81"/>
      <c r="Q798" s="81"/>
      <c r="R798" s="81"/>
      <c r="S798" s="81"/>
      <c r="T798" s="81"/>
      <c r="U798" s="81"/>
      <c r="V798" s="81" t="s">
        <v>2319</v>
      </c>
      <c r="W798" s="86" t="str">
        <f>HYPERLINK("https://www.youtube.com/watch?v=lruYVSGcxHs")</f>
        <v>https://www.youtube.com/watch?v=lruYVSGcxHs</v>
      </c>
      <c r="X798" s="81"/>
      <c r="Y798" s="81"/>
      <c r="Z798" s="88">
        <v>42710.99108796296</v>
      </c>
      <c r="AA798" s="81"/>
      <c r="AB798" s="81"/>
      <c r="AC798" s="81"/>
      <c r="AD798" s="81"/>
      <c r="AE798">
        <v>3</v>
      </c>
      <c r="AF798" s="80" t="str">
        <f>REPLACE(INDEX(GroupVertices[Group],MATCH(Edges[[#This Row],[Vertex 1]],GroupVertices[Vertex],0)),1,1,"")</f>
        <v>4</v>
      </c>
      <c r="AG798" s="80" t="str">
        <f>REPLACE(INDEX(GroupVertices[Group],MATCH(Edges[[#This Row],[Vertex 2]],GroupVertices[Vertex],0)),1,1,"")</f>
        <v>4</v>
      </c>
      <c r="AH798" s="49"/>
      <c r="AI798" s="50"/>
      <c r="AJ798" s="49"/>
      <c r="AK798" s="50"/>
      <c r="AL798" s="49"/>
      <c r="AM798" s="50"/>
      <c r="AN798" s="49"/>
      <c r="AO798" s="50"/>
      <c r="AP798" s="49"/>
    </row>
    <row r="799" spans="1:42" ht="15">
      <c r="A799" s="65" t="s">
        <v>840</v>
      </c>
      <c r="B799" s="65" t="s">
        <v>840</v>
      </c>
      <c r="C799" s="66" t="s">
        <v>4613</v>
      </c>
      <c r="D799" s="67">
        <v>10</v>
      </c>
      <c r="E799" s="68"/>
      <c r="F799" s="69">
        <v>15</v>
      </c>
      <c r="G799" s="66"/>
      <c r="H799" s="70"/>
      <c r="I799" s="71"/>
      <c r="J799" s="71"/>
      <c r="K799" s="35" t="s">
        <v>65</v>
      </c>
      <c r="L799" s="79">
        <v>799</v>
      </c>
      <c r="M799" s="79"/>
      <c r="N799" s="73"/>
      <c r="O799" s="81" t="s">
        <v>846</v>
      </c>
      <c r="P799" s="81"/>
      <c r="Q799" s="81"/>
      <c r="R799" s="81"/>
      <c r="S799" s="81"/>
      <c r="T799" s="81"/>
      <c r="U799" s="81"/>
      <c r="V799" s="81" t="s">
        <v>2332</v>
      </c>
      <c r="W799" s="86" t="str">
        <f>HYPERLINK("https://www.youtube.com/watch?v=uGHwpg-fJvc")</f>
        <v>https://www.youtube.com/watch?v=uGHwpg-fJvc</v>
      </c>
      <c r="X799" s="81"/>
      <c r="Y799" s="81"/>
      <c r="Z799" s="88">
        <v>42747.91793981481</v>
      </c>
      <c r="AA799" s="81"/>
      <c r="AB799" s="81"/>
      <c r="AC799" s="81"/>
      <c r="AD799" s="81"/>
      <c r="AE799">
        <v>3</v>
      </c>
      <c r="AF799" s="80" t="str">
        <f>REPLACE(INDEX(GroupVertices[Group],MATCH(Edges[[#This Row],[Vertex 1]],GroupVertices[Vertex],0)),1,1,"")</f>
        <v>4</v>
      </c>
      <c r="AG799" s="80" t="str">
        <f>REPLACE(INDEX(GroupVertices[Group],MATCH(Edges[[#This Row],[Vertex 2]],GroupVertices[Vertex],0)),1,1,"")</f>
        <v>4</v>
      </c>
      <c r="AH799" s="49"/>
      <c r="AI799" s="50"/>
      <c r="AJ799" s="49"/>
      <c r="AK799" s="50"/>
      <c r="AL799" s="49"/>
      <c r="AM799" s="50"/>
      <c r="AN799" s="49"/>
      <c r="AO799" s="50"/>
      <c r="AP799" s="49"/>
    </row>
    <row r="800" spans="1:42" ht="15">
      <c r="A800" s="65" t="s">
        <v>841</v>
      </c>
      <c r="B800" s="65" t="s">
        <v>841</v>
      </c>
      <c r="C800" s="66" t="s">
        <v>4613</v>
      </c>
      <c r="D800" s="67">
        <v>10</v>
      </c>
      <c r="E800" s="68"/>
      <c r="F800" s="69">
        <v>15</v>
      </c>
      <c r="G800" s="66"/>
      <c r="H800" s="70"/>
      <c r="I800" s="71"/>
      <c r="J800" s="71"/>
      <c r="K800" s="35" t="s">
        <v>65</v>
      </c>
      <c r="L800" s="79">
        <v>800</v>
      </c>
      <c r="M800" s="79"/>
      <c r="N800" s="73"/>
      <c r="O800" s="81" t="s">
        <v>846</v>
      </c>
      <c r="P800" s="81"/>
      <c r="Q800" s="81"/>
      <c r="R800" s="81"/>
      <c r="S800" s="81"/>
      <c r="T800" s="81"/>
      <c r="U800" s="81"/>
      <c r="V800" s="81" t="s">
        <v>2313</v>
      </c>
      <c r="W800" s="86" t="str">
        <f>HYPERLINK("https://www.youtube.com/watch?v=mNWdLV2Cv0U")</f>
        <v>https://www.youtube.com/watch?v=mNWdLV2Cv0U</v>
      </c>
      <c r="X800" s="81"/>
      <c r="Y800" s="81"/>
      <c r="Z800" s="88">
        <v>44330.72212962963</v>
      </c>
      <c r="AA800" s="81"/>
      <c r="AB800" s="81"/>
      <c r="AC800" s="81"/>
      <c r="AD800" s="81"/>
      <c r="AE800">
        <v>12</v>
      </c>
      <c r="AF800" s="80" t="str">
        <f>REPLACE(INDEX(GroupVertices[Group],MATCH(Edges[[#This Row],[Vertex 1]],GroupVertices[Vertex],0)),1,1,"")</f>
        <v>5</v>
      </c>
      <c r="AG800" s="80" t="str">
        <f>REPLACE(INDEX(GroupVertices[Group],MATCH(Edges[[#This Row],[Vertex 2]],GroupVertices[Vertex],0)),1,1,"")</f>
        <v>5</v>
      </c>
      <c r="AH800" s="49"/>
      <c r="AI800" s="50"/>
      <c r="AJ800" s="49"/>
      <c r="AK800" s="50"/>
      <c r="AL800" s="49"/>
      <c r="AM800" s="50"/>
      <c r="AN800" s="49"/>
      <c r="AO800" s="50"/>
      <c r="AP800" s="49"/>
    </row>
    <row r="801" spans="1:42" ht="15">
      <c r="A801" s="65" t="s">
        <v>841</v>
      </c>
      <c r="B801" s="65" t="s">
        <v>841</v>
      </c>
      <c r="C801" s="66" t="s">
        <v>4613</v>
      </c>
      <c r="D801" s="67">
        <v>10</v>
      </c>
      <c r="E801" s="68"/>
      <c r="F801" s="69">
        <v>15</v>
      </c>
      <c r="G801" s="66"/>
      <c r="H801" s="70"/>
      <c r="I801" s="71"/>
      <c r="J801" s="71"/>
      <c r="K801" s="35" t="s">
        <v>65</v>
      </c>
      <c r="L801" s="79">
        <v>801</v>
      </c>
      <c r="M801" s="79"/>
      <c r="N801" s="73"/>
      <c r="O801" s="81" t="s">
        <v>846</v>
      </c>
      <c r="P801" s="81"/>
      <c r="Q801" s="81"/>
      <c r="R801" s="81"/>
      <c r="S801" s="81"/>
      <c r="T801" s="81"/>
      <c r="U801" s="81"/>
      <c r="V801" s="81" t="s">
        <v>2314</v>
      </c>
      <c r="W801" s="86" t="str">
        <f>HYPERLINK("https://www.youtube.com/watch?v=qr6waNqVjrw")</f>
        <v>https://www.youtube.com/watch?v=qr6waNqVjrw</v>
      </c>
      <c r="X801" s="81"/>
      <c r="Y801" s="81"/>
      <c r="Z801" s="88">
        <v>44327.75</v>
      </c>
      <c r="AA801" s="81"/>
      <c r="AB801" s="81"/>
      <c r="AC801" s="81"/>
      <c r="AD801" s="81"/>
      <c r="AE801">
        <v>12</v>
      </c>
      <c r="AF801" s="80" t="str">
        <f>REPLACE(INDEX(GroupVertices[Group],MATCH(Edges[[#This Row],[Vertex 1]],GroupVertices[Vertex],0)),1,1,"")</f>
        <v>5</v>
      </c>
      <c r="AG801" s="80" t="str">
        <f>REPLACE(INDEX(GroupVertices[Group],MATCH(Edges[[#This Row],[Vertex 2]],GroupVertices[Vertex],0)),1,1,"")</f>
        <v>5</v>
      </c>
      <c r="AH801" s="49"/>
      <c r="AI801" s="50"/>
      <c r="AJ801" s="49"/>
      <c r="AK801" s="50"/>
      <c r="AL801" s="49"/>
      <c r="AM801" s="50"/>
      <c r="AN801" s="49"/>
      <c r="AO801" s="50"/>
      <c r="AP801" s="49"/>
    </row>
    <row r="802" spans="1:42" ht="15">
      <c r="A802" s="65" t="s">
        <v>841</v>
      </c>
      <c r="B802" s="65" t="s">
        <v>841</v>
      </c>
      <c r="C802" s="66" t="s">
        <v>4613</v>
      </c>
      <c r="D802" s="67">
        <v>10</v>
      </c>
      <c r="E802" s="68"/>
      <c r="F802" s="69">
        <v>15</v>
      </c>
      <c r="G802" s="66"/>
      <c r="H802" s="70"/>
      <c r="I802" s="71"/>
      <c r="J802" s="71"/>
      <c r="K802" s="35" t="s">
        <v>65</v>
      </c>
      <c r="L802" s="79">
        <v>802</v>
      </c>
      <c r="M802" s="79"/>
      <c r="N802" s="73"/>
      <c r="O802" s="81" t="s">
        <v>846</v>
      </c>
      <c r="P802" s="81"/>
      <c r="Q802" s="81"/>
      <c r="R802" s="81"/>
      <c r="S802" s="81"/>
      <c r="T802" s="81"/>
      <c r="U802" s="81"/>
      <c r="V802" s="81" t="s">
        <v>2315</v>
      </c>
      <c r="W802" s="86" t="str">
        <f>HYPERLINK("https://www.youtube.com/watch?v=qoyPQNU9ypc")</f>
        <v>https://www.youtube.com/watch?v=qoyPQNU9ypc</v>
      </c>
      <c r="X802" s="81"/>
      <c r="Y802" s="81"/>
      <c r="Z802" s="88">
        <v>43752.666354166664</v>
      </c>
      <c r="AA802" s="81"/>
      <c r="AB802" s="81"/>
      <c r="AC802" s="81"/>
      <c r="AD802" s="81"/>
      <c r="AE802">
        <v>12</v>
      </c>
      <c r="AF802" s="80" t="str">
        <f>REPLACE(INDEX(GroupVertices[Group],MATCH(Edges[[#This Row],[Vertex 1]],GroupVertices[Vertex],0)),1,1,"")</f>
        <v>5</v>
      </c>
      <c r="AG802" s="80" t="str">
        <f>REPLACE(INDEX(GroupVertices[Group],MATCH(Edges[[#This Row],[Vertex 2]],GroupVertices[Vertex],0)),1,1,"")</f>
        <v>5</v>
      </c>
      <c r="AH802" s="49"/>
      <c r="AI802" s="50"/>
      <c r="AJ802" s="49"/>
      <c r="AK802" s="50"/>
      <c r="AL802" s="49"/>
      <c r="AM802" s="50"/>
      <c r="AN802" s="49"/>
      <c r="AO802" s="50"/>
      <c r="AP802" s="49"/>
    </row>
    <row r="803" spans="1:42" ht="15">
      <c r="A803" s="65" t="s">
        <v>841</v>
      </c>
      <c r="B803" s="65" t="s">
        <v>841</v>
      </c>
      <c r="C803" s="66" t="s">
        <v>4613</v>
      </c>
      <c r="D803" s="67">
        <v>10</v>
      </c>
      <c r="E803" s="68"/>
      <c r="F803" s="69">
        <v>15</v>
      </c>
      <c r="G803" s="66"/>
      <c r="H803" s="70"/>
      <c r="I803" s="71"/>
      <c r="J803" s="71"/>
      <c r="K803" s="35" t="s">
        <v>65</v>
      </c>
      <c r="L803" s="79">
        <v>803</v>
      </c>
      <c r="M803" s="79"/>
      <c r="N803" s="73"/>
      <c r="O803" s="81" t="s">
        <v>846</v>
      </c>
      <c r="P803" s="81"/>
      <c r="Q803" s="81"/>
      <c r="R803" s="81"/>
      <c r="S803" s="81"/>
      <c r="T803" s="81"/>
      <c r="U803" s="81"/>
      <c r="V803" s="81" t="s">
        <v>2345</v>
      </c>
      <c r="W803" s="86" t="str">
        <f>HYPERLINK("https://www.youtube.com/watch?v=gwgqd1742kw")</f>
        <v>https://www.youtube.com/watch?v=gwgqd1742kw</v>
      </c>
      <c r="X803" s="81"/>
      <c r="Y803" s="81"/>
      <c r="Z803" s="88">
        <v>42550.5555787037</v>
      </c>
      <c r="AA803" s="81"/>
      <c r="AB803" s="81"/>
      <c r="AC803" s="81"/>
      <c r="AD803" s="81"/>
      <c r="AE803">
        <v>12</v>
      </c>
      <c r="AF803" s="80" t="str">
        <f>REPLACE(INDEX(GroupVertices[Group],MATCH(Edges[[#This Row],[Vertex 1]],GroupVertices[Vertex],0)),1,1,"")</f>
        <v>5</v>
      </c>
      <c r="AG803" s="80" t="str">
        <f>REPLACE(INDEX(GroupVertices[Group],MATCH(Edges[[#This Row],[Vertex 2]],GroupVertices[Vertex],0)),1,1,"")</f>
        <v>5</v>
      </c>
      <c r="AH803" s="49"/>
      <c r="AI803" s="50"/>
      <c r="AJ803" s="49"/>
      <c r="AK803" s="50"/>
      <c r="AL803" s="49"/>
      <c r="AM803" s="50"/>
      <c r="AN803" s="49"/>
      <c r="AO803" s="50"/>
      <c r="AP803" s="49"/>
    </row>
    <row r="804" spans="1:42" ht="15">
      <c r="A804" s="65" t="s">
        <v>841</v>
      </c>
      <c r="B804" s="65" t="s">
        <v>841</v>
      </c>
      <c r="C804" s="66" t="s">
        <v>4613</v>
      </c>
      <c r="D804" s="67">
        <v>10</v>
      </c>
      <c r="E804" s="68"/>
      <c r="F804" s="69">
        <v>15</v>
      </c>
      <c r="G804" s="66"/>
      <c r="H804" s="70"/>
      <c r="I804" s="71"/>
      <c r="J804" s="71"/>
      <c r="K804" s="35" t="s">
        <v>65</v>
      </c>
      <c r="L804" s="79">
        <v>804</v>
      </c>
      <c r="M804" s="79"/>
      <c r="N804" s="73"/>
      <c r="O804" s="81" t="s">
        <v>846</v>
      </c>
      <c r="P804" s="81"/>
      <c r="Q804" s="81"/>
      <c r="R804" s="81"/>
      <c r="S804" s="81"/>
      <c r="T804" s="81"/>
      <c r="U804" s="81"/>
      <c r="V804" s="81" t="s">
        <v>2316</v>
      </c>
      <c r="W804" s="86" t="str">
        <f>HYPERLINK("https://www.youtube.com/watch?v=PmNVhCoki_E")</f>
        <v>https://www.youtube.com/watch?v=PmNVhCoki_E</v>
      </c>
      <c r="X804" s="81"/>
      <c r="Y804" s="81"/>
      <c r="Z804" s="88">
        <v>41970.63814814815</v>
      </c>
      <c r="AA804" s="81"/>
      <c r="AB804" s="81"/>
      <c r="AC804" s="81"/>
      <c r="AD804" s="81"/>
      <c r="AE804">
        <v>12</v>
      </c>
      <c r="AF804" s="80" t="str">
        <f>REPLACE(INDEX(GroupVertices[Group],MATCH(Edges[[#This Row],[Vertex 1]],GroupVertices[Vertex],0)),1,1,"")</f>
        <v>5</v>
      </c>
      <c r="AG804" s="80" t="str">
        <f>REPLACE(INDEX(GroupVertices[Group],MATCH(Edges[[#This Row],[Vertex 2]],GroupVertices[Vertex],0)),1,1,"")</f>
        <v>5</v>
      </c>
      <c r="AH804" s="49"/>
      <c r="AI804" s="50"/>
      <c r="AJ804" s="49"/>
      <c r="AK804" s="50"/>
      <c r="AL804" s="49"/>
      <c r="AM804" s="50"/>
      <c r="AN804" s="49"/>
      <c r="AO804" s="50"/>
      <c r="AP804" s="49"/>
    </row>
    <row r="805" spans="1:42" ht="15">
      <c r="A805" s="65" t="s">
        <v>841</v>
      </c>
      <c r="B805" s="65" t="s">
        <v>841</v>
      </c>
      <c r="C805" s="66" t="s">
        <v>4613</v>
      </c>
      <c r="D805" s="67">
        <v>10</v>
      </c>
      <c r="E805" s="68"/>
      <c r="F805" s="69">
        <v>15</v>
      </c>
      <c r="G805" s="66"/>
      <c r="H805" s="70"/>
      <c r="I805" s="71"/>
      <c r="J805" s="71"/>
      <c r="K805" s="35" t="s">
        <v>65</v>
      </c>
      <c r="L805" s="79">
        <v>805</v>
      </c>
      <c r="M805" s="79"/>
      <c r="N805" s="73"/>
      <c r="O805" s="81" t="s">
        <v>846</v>
      </c>
      <c r="P805" s="81"/>
      <c r="Q805" s="81"/>
      <c r="R805" s="81"/>
      <c r="S805" s="81"/>
      <c r="T805" s="81"/>
      <c r="U805" s="81"/>
      <c r="V805" s="81" t="s">
        <v>2346</v>
      </c>
      <c r="W805" s="86" t="str">
        <f>HYPERLINK("https://www.youtube.com/watch?v=uGZbbC0Smi4")</f>
        <v>https://www.youtube.com/watch?v=uGZbbC0Smi4</v>
      </c>
      <c r="X805" s="81"/>
      <c r="Y805" s="81"/>
      <c r="Z805" s="88">
        <v>41831.47450231481</v>
      </c>
      <c r="AA805" s="81"/>
      <c r="AB805" s="81"/>
      <c r="AC805" s="81"/>
      <c r="AD805" s="81"/>
      <c r="AE805">
        <v>12</v>
      </c>
      <c r="AF805" s="80" t="str">
        <f>REPLACE(INDEX(GroupVertices[Group],MATCH(Edges[[#This Row],[Vertex 1]],GroupVertices[Vertex],0)),1,1,"")</f>
        <v>5</v>
      </c>
      <c r="AG805" s="80" t="str">
        <f>REPLACE(INDEX(GroupVertices[Group],MATCH(Edges[[#This Row],[Vertex 2]],GroupVertices[Vertex],0)),1,1,"")</f>
        <v>5</v>
      </c>
      <c r="AH805" s="49"/>
      <c r="AI805" s="50"/>
      <c r="AJ805" s="49"/>
      <c r="AK805" s="50"/>
      <c r="AL805" s="49"/>
      <c r="AM805" s="50"/>
      <c r="AN805" s="49"/>
      <c r="AO805" s="50"/>
      <c r="AP805" s="49"/>
    </row>
    <row r="806" spans="1:42" ht="15">
      <c r="A806" s="65" t="s">
        <v>841</v>
      </c>
      <c r="B806" s="65" t="s">
        <v>841</v>
      </c>
      <c r="C806" s="66" t="s">
        <v>4613</v>
      </c>
      <c r="D806" s="67">
        <v>10</v>
      </c>
      <c r="E806" s="68"/>
      <c r="F806" s="69">
        <v>15</v>
      </c>
      <c r="G806" s="66"/>
      <c r="H806" s="70"/>
      <c r="I806" s="71"/>
      <c r="J806" s="71"/>
      <c r="K806" s="35" t="s">
        <v>65</v>
      </c>
      <c r="L806" s="79">
        <v>806</v>
      </c>
      <c r="M806" s="79"/>
      <c r="N806" s="73"/>
      <c r="O806" s="81" t="s">
        <v>846</v>
      </c>
      <c r="P806" s="81"/>
      <c r="Q806" s="81"/>
      <c r="R806" s="81"/>
      <c r="S806" s="81"/>
      <c r="T806" s="81"/>
      <c r="U806" s="81"/>
      <c r="V806" s="81" t="s">
        <v>2325</v>
      </c>
      <c r="W806" s="86" t="str">
        <f>HYPERLINK("https://www.youtube.com/watch?v=1NoK5x9eG_k")</f>
        <v>https://www.youtube.com/watch?v=1NoK5x9eG_k</v>
      </c>
      <c r="X806" s="81"/>
      <c r="Y806" s="81"/>
      <c r="Z806" s="88">
        <v>44082.65954861111</v>
      </c>
      <c r="AA806" s="81"/>
      <c r="AB806" s="81"/>
      <c r="AC806" s="81"/>
      <c r="AD806" s="81"/>
      <c r="AE806">
        <v>12</v>
      </c>
      <c r="AF806" s="80" t="str">
        <f>REPLACE(INDEX(GroupVertices[Group],MATCH(Edges[[#This Row],[Vertex 1]],GroupVertices[Vertex],0)),1,1,"")</f>
        <v>5</v>
      </c>
      <c r="AG806" s="80" t="str">
        <f>REPLACE(INDEX(GroupVertices[Group],MATCH(Edges[[#This Row],[Vertex 2]],GroupVertices[Vertex],0)),1,1,"")</f>
        <v>5</v>
      </c>
      <c r="AH806" s="49"/>
      <c r="AI806" s="50"/>
      <c r="AJ806" s="49"/>
      <c r="AK806" s="50"/>
      <c r="AL806" s="49"/>
      <c r="AM806" s="50"/>
      <c r="AN806" s="49"/>
      <c r="AO806" s="50"/>
      <c r="AP806" s="49"/>
    </row>
    <row r="807" spans="1:42" ht="15">
      <c r="A807" s="65" t="s">
        <v>841</v>
      </c>
      <c r="B807" s="65" t="s">
        <v>841</v>
      </c>
      <c r="C807" s="66" t="s">
        <v>4613</v>
      </c>
      <c r="D807" s="67">
        <v>10</v>
      </c>
      <c r="E807" s="68"/>
      <c r="F807" s="69">
        <v>15</v>
      </c>
      <c r="G807" s="66"/>
      <c r="H807" s="70"/>
      <c r="I807" s="71"/>
      <c r="J807" s="71"/>
      <c r="K807" s="35" t="s">
        <v>65</v>
      </c>
      <c r="L807" s="79">
        <v>807</v>
      </c>
      <c r="M807" s="79"/>
      <c r="N807" s="73"/>
      <c r="O807" s="81" t="s">
        <v>846</v>
      </c>
      <c r="P807" s="81"/>
      <c r="Q807" s="81"/>
      <c r="R807" s="81"/>
      <c r="S807" s="81"/>
      <c r="T807" s="81"/>
      <c r="U807" s="81"/>
      <c r="V807" s="81" t="s">
        <v>2347</v>
      </c>
      <c r="W807" s="86" t="str">
        <f>HYPERLINK("https://www.youtube.com/watch?v=Na5VOjJAjCI")</f>
        <v>https://www.youtube.com/watch?v=Na5VOjJAjCI</v>
      </c>
      <c r="X807" s="81"/>
      <c r="Y807" s="81"/>
      <c r="Z807" s="88">
        <v>42152.66296296296</v>
      </c>
      <c r="AA807" s="81"/>
      <c r="AB807" s="81"/>
      <c r="AC807" s="81"/>
      <c r="AD807" s="81"/>
      <c r="AE807">
        <v>12</v>
      </c>
      <c r="AF807" s="80" t="str">
        <f>REPLACE(INDEX(GroupVertices[Group],MATCH(Edges[[#This Row],[Vertex 1]],GroupVertices[Vertex],0)),1,1,"")</f>
        <v>5</v>
      </c>
      <c r="AG807" s="80" t="str">
        <f>REPLACE(INDEX(GroupVertices[Group],MATCH(Edges[[#This Row],[Vertex 2]],GroupVertices[Vertex],0)),1,1,"")</f>
        <v>5</v>
      </c>
      <c r="AH807" s="49"/>
      <c r="AI807" s="50"/>
      <c r="AJ807" s="49"/>
      <c r="AK807" s="50"/>
      <c r="AL807" s="49"/>
      <c r="AM807" s="50"/>
      <c r="AN807" s="49"/>
      <c r="AO807" s="50"/>
      <c r="AP807" s="49"/>
    </row>
    <row r="808" spans="1:42" ht="15">
      <c r="A808" s="65" t="s">
        <v>841</v>
      </c>
      <c r="B808" s="65" t="s">
        <v>841</v>
      </c>
      <c r="C808" s="66" t="s">
        <v>4613</v>
      </c>
      <c r="D808" s="67">
        <v>10</v>
      </c>
      <c r="E808" s="68"/>
      <c r="F808" s="69">
        <v>15</v>
      </c>
      <c r="G808" s="66"/>
      <c r="H808" s="70"/>
      <c r="I808" s="71"/>
      <c r="J808" s="71"/>
      <c r="K808" s="35" t="s">
        <v>65</v>
      </c>
      <c r="L808" s="79">
        <v>808</v>
      </c>
      <c r="M808" s="79"/>
      <c r="N808" s="73"/>
      <c r="O808" s="81" t="s">
        <v>846</v>
      </c>
      <c r="P808" s="81"/>
      <c r="Q808" s="81"/>
      <c r="R808" s="81"/>
      <c r="S808" s="81"/>
      <c r="T808" s="81"/>
      <c r="U808" s="81"/>
      <c r="V808" s="81" t="s">
        <v>2333</v>
      </c>
      <c r="W808" s="86" t="str">
        <f>HYPERLINK("https://www.youtube.com/watch?v=u6lYsNsor9c")</f>
        <v>https://www.youtube.com/watch?v=u6lYsNsor9c</v>
      </c>
      <c r="X808" s="81"/>
      <c r="Y808" s="81"/>
      <c r="Z808" s="88">
        <v>42969.691979166666</v>
      </c>
      <c r="AA808" s="81"/>
      <c r="AB808" s="81"/>
      <c r="AC808" s="81"/>
      <c r="AD808" s="81"/>
      <c r="AE808">
        <v>12</v>
      </c>
      <c r="AF808" s="80" t="str">
        <f>REPLACE(INDEX(GroupVertices[Group],MATCH(Edges[[#This Row],[Vertex 1]],GroupVertices[Vertex],0)),1,1,"")</f>
        <v>5</v>
      </c>
      <c r="AG808" s="80" t="str">
        <f>REPLACE(INDEX(GroupVertices[Group],MATCH(Edges[[#This Row],[Vertex 2]],GroupVertices[Vertex],0)),1,1,"")</f>
        <v>5</v>
      </c>
      <c r="AH808" s="49"/>
      <c r="AI808" s="50"/>
      <c r="AJ808" s="49"/>
      <c r="AK808" s="50"/>
      <c r="AL808" s="49"/>
      <c r="AM808" s="50"/>
      <c r="AN808" s="49"/>
      <c r="AO808" s="50"/>
      <c r="AP808" s="49"/>
    </row>
    <row r="809" spans="1:42" ht="15">
      <c r="A809" s="65" t="s">
        <v>841</v>
      </c>
      <c r="B809" s="65" t="s">
        <v>841</v>
      </c>
      <c r="C809" s="66" t="s">
        <v>4613</v>
      </c>
      <c r="D809" s="67">
        <v>10</v>
      </c>
      <c r="E809" s="68"/>
      <c r="F809" s="69">
        <v>15</v>
      </c>
      <c r="G809" s="66"/>
      <c r="H809" s="70"/>
      <c r="I809" s="71"/>
      <c r="J809" s="71"/>
      <c r="K809" s="35" t="s">
        <v>65</v>
      </c>
      <c r="L809" s="79">
        <v>809</v>
      </c>
      <c r="M809" s="79"/>
      <c r="N809" s="73"/>
      <c r="O809" s="81" t="s">
        <v>846</v>
      </c>
      <c r="P809" s="81"/>
      <c r="Q809" s="81"/>
      <c r="R809" s="81"/>
      <c r="S809" s="81"/>
      <c r="T809" s="81"/>
      <c r="U809" s="81"/>
      <c r="V809" s="81" t="s">
        <v>2328</v>
      </c>
      <c r="W809" s="86" t="str">
        <f>HYPERLINK("https://www.youtube.com/watch?v=VCfyylZdmG0")</f>
        <v>https://www.youtube.com/watch?v=VCfyylZdmG0</v>
      </c>
      <c r="X809" s="81"/>
      <c r="Y809" s="81"/>
      <c r="Z809" s="88">
        <v>40015.62032407407</v>
      </c>
      <c r="AA809" s="81"/>
      <c r="AB809" s="81"/>
      <c r="AC809" s="81"/>
      <c r="AD809" s="81"/>
      <c r="AE809">
        <v>12</v>
      </c>
      <c r="AF809" s="80" t="str">
        <f>REPLACE(INDEX(GroupVertices[Group],MATCH(Edges[[#This Row],[Vertex 1]],GroupVertices[Vertex],0)),1,1,"")</f>
        <v>5</v>
      </c>
      <c r="AG809" s="80" t="str">
        <f>REPLACE(INDEX(GroupVertices[Group],MATCH(Edges[[#This Row],[Vertex 2]],GroupVertices[Vertex],0)),1,1,"")</f>
        <v>5</v>
      </c>
      <c r="AH809" s="49"/>
      <c r="AI809" s="50"/>
      <c r="AJ809" s="49"/>
      <c r="AK809" s="50"/>
      <c r="AL809" s="49"/>
      <c r="AM809" s="50"/>
      <c r="AN809" s="49"/>
      <c r="AO809" s="50"/>
      <c r="AP809" s="49"/>
    </row>
    <row r="810" spans="1:42" ht="15">
      <c r="A810" s="65" t="s">
        <v>841</v>
      </c>
      <c r="B810" s="65" t="s">
        <v>841</v>
      </c>
      <c r="C810" s="66" t="s">
        <v>4613</v>
      </c>
      <c r="D810" s="67">
        <v>10</v>
      </c>
      <c r="E810" s="68"/>
      <c r="F810" s="69">
        <v>15</v>
      </c>
      <c r="G810" s="66"/>
      <c r="H810" s="70"/>
      <c r="I810" s="71"/>
      <c r="J810" s="71"/>
      <c r="K810" s="35" t="s">
        <v>65</v>
      </c>
      <c r="L810" s="79">
        <v>810</v>
      </c>
      <c r="M810" s="79"/>
      <c r="N810" s="73"/>
      <c r="O810" s="81" t="s">
        <v>846</v>
      </c>
      <c r="P810" s="81"/>
      <c r="Q810" s="81"/>
      <c r="R810" s="81"/>
      <c r="S810" s="81"/>
      <c r="T810" s="81"/>
      <c r="U810" s="81"/>
      <c r="V810" s="81" t="s">
        <v>2330</v>
      </c>
      <c r="W810" s="86" t="str">
        <f>HYPERLINK("https://www.youtube.com/watch?v=AvwX1m4LR4w")</f>
        <v>https://www.youtube.com/watch?v=AvwX1m4LR4w</v>
      </c>
      <c r="X810" s="81"/>
      <c r="Y810" s="81"/>
      <c r="Z810" s="88">
        <v>40660.68711805555</v>
      </c>
      <c r="AA810" s="81"/>
      <c r="AB810" s="81"/>
      <c r="AC810" s="81"/>
      <c r="AD810" s="81"/>
      <c r="AE810">
        <v>12</v>
      </c>
      <c r="AF810" s="80" t="str">
        <f>REPLACE(INDEX(GroupVertices[Group],MATCH(Edges[[#This Row],[Vertex 1]],GroupVertices[Vertex],0)),1,1,"")</f>
        <v>5</v>
      </c>
      <c r="AG810" s="80" t="str">
        <f>REPLACE(INDEX(GroupVertices[Group],MATCH(Edges[[#This Row],[Vertex 2]],GroupVertices[Vertex],0)),1,1,"")</f>
        <v>5</v>
      </c>
      <c r="AH810" s="49"/>
      <c r="AI810" s="50"/>
      <c r="AJ810" s="49"/>
      <c r="AK810" s="50"/>
      <c r="AL810" s="49"/>
      <c r="AM810" s="50"/>
      <c r="AN810" s="49"/>
      <c r="AO810" s="50"/>
      <c r="AP810" s="49"/>
    </row>
    <row r="811" spans="1:42" ht="15">
      <c r="A811" s="65" t="s">
        <v>841</v>
      </c>
      <c r="B811" s="65" t="s">
        <v>841</v>
      </c>
      <c r="C811" s="66" t="s">
        <v>4613</v>
      </c>
      <c r="D811" s="67">
        <v>10</v>
      </c>
      <c r="E811" s="68"/>
      <c r="F811" s="69">
        <v>15</v>
      </c>
      <c r="G811" s="66"/>
      <c r="H811" s="70"/>
      <c r="I811" s="71"/>
      <c r="J811" s="71"/>
      <c r="K811" s="35" t="s">
        <v>65</v>
      </c>
      <c r="L811" s="79">
        <v>811</v>
      </c>
      <c r="M811" s="79"/>
      <c r="N811" s="73"/>
      <c r="O811" s="81" t="s">
        <v>846</v>
      </c>
      <c r="P811" s="81"/>
      <c r="Q811" s="81"/>
      <c r="R811" s="81"/>
      <c r="S811" s="81"/>
      <c r="T811" s="81"/>
      <c r="U811" s="81"/>
      <c r="V811" s="81" t="s">
        <v>2334</v>
      </c>
      <c r="W811" s="86" t="str">
        <f>HYPERLINK("https://www.youtube.com/watch?v=MWk8XJWEiO4")</f>
        <v>https://www.youtube.com/watch?v=MWk8XJWEiO4</v>
      </c>
      <c r="X811" s="81"/>
      <c r="Y811" s="81"/>
      <c r="Z811" s="88">
        <v>43026.661087962966</v>
      </c>
      <c r="AA811" s="81"/>
      <c r="AB811" s="81"/>
      <c r="AC811" s="81"/>
      <c r="AD811" s="81"/>
      <c r="AE811">
        <v>12</v>
      </c>
      <c r="AF811" s="80" t="str">
        <f>REPLACE(INDEX(GroupVertices[Group],MATCH(Edges[[#This Row],[Vertex 1]],GroupVertices[Vertex],0)),1,1,"")</f>
        <v>5</v>
      </c>
      <c r="AG811" s="80" t="str">
        <f>REPLACE(INDEX(GroupVertices[Group],MATCH(Edges[[#This Row],[Vertex 2]],GroupVertices[Vertex],0)),1,1,"")</f>
        <v>5</v>
      </c>
      <c r="AH811" s="49"/>
      <c r="AI811" s="50"/>
      <c r="AJ811" s="49"/>
      <c r="AK811" s="50"/>
      <c r="AL811" s="49"/>
      <c r="AM811" s="50"/>
      <c r="AN811" s="49"/>
      <c r="AO811" s="50"/>
      <c r="AP811" s="49"/>
    </row>
    <row r="812" spans="1:42" ht="15">
      <c r="A812" s="65" t="s">
        <v>842</v>
      </c>
      <c r="B812" s="65" t="s">
        <v>842</v>
      </c>
      <c r="C812" s="66" t="s">
        <v>4613</v>
      </c>
      <c r="D812" s="67">
        <v>10</v>
      </c>
      <c r="E812" s="68"/>
      <c r="F812" s="69">
        <v>15</v>
      </c>
      <c r="G812" s="66"/>
      <c r="H812" s="70"/>
      <c r="I812" s="71"/>
      <c r="J812" s="71"/>
      <c r="K812" s="35" t="s">
        <v>65</v>
      </c>
      <c r="L812" s="79">
        <v>812</v>
      </c>
      <c r="M812" s="79"/>
      <c r="N812" s="73"/>
      <c r="O812" s="81" t="s">
        <v>846</v>
      </c>
      <c r="P812" s="81"/>
      <c r="Q812" s="81"/>
      <c r="R812" s="81"/>
      <c r="S812" s="81"/>
      <c r="T812" s="81"/>
      <c r="U812" s="81"/>
      <c r="V812" s="81" t="s">
        <v>2348</v>
      </c>
      <c r="W812" s="86" t="str">
        <f>HYPERLINK("https://www.youtube.com/watch?v=XnLXIPqXV3A")</f>
        <v>https://www.youtube.com/watch?v=XnLXIPqXV3A</v>
      </c>
      <c r="X812" s="81"/>
      <c r="Y812" s="81"/>
      <c r="Z812" s="88">
        <v>43249.867418981485</v>
      </c>
      <c r="AA812" s="81"/>
      <c r="AB812" s="81"/>
      <c r="AC812" s="81"/>
      <c r="AD812" s="81"/>
      <c r="AE812">
        <v>2</v>
      </c>
      <c r="AF812" s="80" t="str">
        <f>REPLACE(INDEX(GroupVertices[Group],MATCH(Edges[[#This Row],[Vertex 1]],GroupVertices[Vertex],0)),1,1,"")</f>
        <v>2</v>
      </c>
      <c r="AG812" s="80" t="str">
        <f>REPLACE(INDEX(GroupVertices[Group],MATCH(Edges[[#This Row],[Vertex 2]],GroupVertices[Vertex],0)),1,1,"")</f>
        <v>2</v>
      </c>
      <c r="AH812" s="49"/>
      <c r="AI812" s="50"/>
      <c r="AJ812" s="49"/>
      <c r="AK812" s="50"/>
      <c r="AL812" s="49"/>
      <c r="AM812" s="50"/>
      <c r="AN812" s="49"/>
      <c r="AO812" s="50"/>
      <c r="AP812" s="49"/>
    </row>
    <row r="813" spans="1:42" ht="15">
      <c r="A813" s="65" t="s">
        <v>842</v>
      </c>
      <c r="B813" s="65" t="s">
        <v>842</v>
      </c>
      <c r="C813" s="66" t="s">
        <v>4613</v>
      </c>
      <c r="D813" s="67">
        <v>10</v>
      </c>
      <c r="E813" s="68"/>
      <c r="F813" s="69">
        <v>15</v>
      </c>
      <c r="G813" s="66"/>
      <c r="H813" s="70"/>
      <c r="I813" s="71"/>
      <c r="J813" s="71"/>
      <c r="K813" s="35" t="s">
        <v>65</v>
      </c>
      <c r="L813" s="79">
        <v>813</v>
      </c>
      <c r="M813" s="79"/>
      <c r="N813" s="73"/>
      <c r="O813" s="81" t="s">
        <v>846</v>
      </c>
      <c r="P813" s="81"/>
      <c r="Q813" s="81"/>
      <c r="R813" s="81"/>
      <c r="S813" s="81"/>
      <c r="T813" s="81"/>
      <c r="U813" s="81"/>
      <c r="V813" s="81" t="s">
        <v>2335</v>
      </c>
      <c r="W813" s="86" t="str">
        <f>HYPERLINK("https://www.youtube.com/watch?v=fK1_SH3X2ek")</f>
        <v>https://www.youtube.com/watch?v=fK1_SH3X2ek</v>
      </c>
      <c r="X813" s="81"/>
      <c r="Y813" s="81"/>
      <c r="Z813" s="88">
        <v>42836.823287037034</v>
      </c>
      <c r="AA813" s="81"/>
      <c r="AB813" s="81"/>
      <c r="AC813" s="81"/>
      <c r="AD813" s="81"/>
      <c r="AE813">
        <v>2</v>
      </c>
      <c r="AF813" s="80" t="str">
        <f>REPLACE(INDEX(GroupVertices[Group],MATCH(Edges[[#This Row],[Vertex 1]],GroupVertices[Vertex],0)),1,1,"")</f>
        <v>2</v>
      </c>
      <c r="AG813" s="80" t="str">
        <f>REPLACE(INDEX(GroupVertices[Group],MATCH(Edges[[#This Row],[Vertex 2]],GroupVertices[Vertex],0)),1,1,"")</f>
        <v>2</v>
      </c>
      <c r="AH813" s="49"/>
      <c r="AI813" s="50"/>
      <c r="AJ813" s="49"/>
      <c r="AK813" s="50"/>
      <c r="AL813" s="49"/>
      <c r="AM813" s="50"/>
      <c r="AN813" s="49"/>
      <c r="AO813" s="50"/>
      <c r="AP813"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13"/>
    <dataValidation allowBlank="1" showErrorMessage="1" sqref="N2:N8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13"/>
    <dataValidation allowBlank="1" showInputMessage="1" promptTitle="Edge Color" prompt="To select an optional edge color, right-click and select Select Color on the right-click menu." sqref="C3:C813"/>
    <dataValidation allowBlank="1" showInputMessage="1" promptTitle="Edge Width" prompt="Enter an optional edge width between 1 and 10." errorTitle="Invalid Edge Width" error="The optional edge width must be a whole number between 1 and 10." sqref="D3:D813"/>
    <dataValidation allowBlank="1" showInputMessage="1" promptTitle="Edge Opacity" prompt="Enter an optional edge opacity between 0 (transparent) and 100 (opaque)." errorTitle="Invalid Edge Opacity" error="The optional edge opacity must be a whole number between 0 and 10." sqref="F3:F8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13">
      <formula1>ValidEdgeVisibilities</formula1>
    </dataValidation>
    <dataValidation allowBlank="1" showInputMessage="1" showErrorMessage="1" promptTitle="Vertex 1 Name" prompt="Enter the name of the edge's first vertex." sqref="A3:A813"/>
    <dataValidation allowBlank="1" showInputMessage="1" showErrorMessage="1" promptTitle="Vertex 2 Name" prompt="Enter the name of the edge's second vertex." sqref="B3:B813"/>
    <dataValidation allowBlank="1" showInputMessage="1" showErrorMessage="1" promptTitle="Edge Label" prompt="Enter an optional edge label." errorTitle="Invalid Edge Visibility" error="You have entered an unrecognized edge visibility.  Try selecting from the drop-down list instead." sqref="H3:H8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1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1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F4227-1208-478B-AFAF-DA50CDAF0BCD}">
  <dimension ref="A1:C3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3386</v>
      </c>
      <c r="B2" s="115" t="s">
        <v>3387</v>
      </c>
      <c r="C2" s="54" t="s">
        <v>3388</v>
      </c>
    </row>
    <row r="3" spans="1:3" ht="15">
      <c r="A3" s="114" t="s">
        <v>2667</v>
      </c>
      <c r="B3" s="114" t="s">
        <v>2667</v>
      </c>
      <c r="C3" s="35">
        <v>152</v>
      </c>
    </row>
    <row r="4" spans="1:3" ht="15">
      <c r="A4" s="114" t="s">
        <v>2668</v>
      </c>
      <c r="B4" s="114" t="s">
        <v>2668</v>
      </c>
      <c r="C4" s="35">
        <v>122</v>
      </c>
    </row>
    <row r="5" spans="1:3" ht="15">
      <c r="A5" s="114" t="s">
        <v>2668</v>
      </c>
      <c r="B5" s="114" t="s">
        <v>2670</v>
      </c>
      <c r="C5" s="35">
        <v>1</v>
      </c>
    </row>
    <row r="6" spans="1:3" ht="15">
      <c r="A6" s="114" t="s">
        <v>2669</v>
      </c>
      <c r="B6" s="114" t="s">
        <v>2668</v>
      </c>
      <c r="C6" s="35">
        <v>2</v>
      </c>
    </row>
    <row r="7" spans="1:3" ht="15">
      <c r="A7" s="114" t="s">
        <v>2669</v>
      </c>
      <c r="B7" s="114" t="s">
        <v>2669</v>
      </c>
      <c r="C7" s="35">
        <v>84</v>
      </c>
    </row>
    <row r="8" spans="1:3" ht="15">
      <c r="A8" s="114" t="s">
        <v>2669</v>
      </c>
      <c r="B8" s="114" t="s">
        <v>2670</v>
      </c>
      <c r="C8" s="35">
        <v>1</v>
      </c>
    </row>
    <row r="9" spans="1:3" ht="15">
      <c r="A9" s="114" t="s">
        <v>2670</v>
      </c>
      <c r="B9" s="114" t="s">
        <v>2668</v>
      </c>
      <c r="C9" s="35">
        <v>1</v>
      </c>
    </row>
    <row r="10" spans="1:3" ht="15">
      <c r="A10" s="114" t="s">
        <v>2670</v>
      </c>
      <c r="B10" s="114" t="s">
        <v>2670</v>
      </c>
      <c r="C10" s="35">
        <v>95</v>
      </c>
    </row>
    <row r="11" spans="1:3" ht="15">
      <c r="A11" s="114" t="s">
        <v>2671</v>
      </c>
      <c r="B11" s="114" t="s">
        <v>2671</v>
      </c>
      <c r="C11" s="35">
        <v>67</v>
      </c>
    </row>
    <row r="12" spans="1:3" ht="15">
      <c r="A12" s="114" t="s">
        <v>2672</v>
      </c>
      <c r="B12" s="114" t="s">
        <v>2672</v>
      </c>
      <c r="C12" s="35">
        <v>37</v>
      </c>
    </row>
    <row r="13" spans="1:3" ht="15">
      <c r="A13" s="114" t="s">
        <v>2673</v>
      </c>
      <c r="B13" s="114" t="s">
        <v>2673</v>
      </c>
      <c r="C13" s="35">
        <v>48</v>
      </c>
    </row>
    <row r="14" spans="1:3" ht="15">
      <c r="A14" s="114" t="s">
        <v>2674</v>
      </c>
      <c r="B14" s="114" t="s">
        <v>2668</v>
      </c>
      <c r="C14" s="35">
        <v>1</v>
      </c>
    </row>
    <row r="15" spans="1:3" ht="15">
      <c r="A15" s="114" t="s">
        <v>2674</v>
      </c>
      <c r="B15" s="114" t="s">
        <v>2674</v>
      </c>
      <c r="C15" s="35">
        <v>45</v>
      </c>
    </row>
    <row r="16" spans="1:3" ht="15">
      <c r="A16" s="114" t="s">
        <v>2675</v>
      </c>
      <c r="B16" s="114" t="s">
        <v>2675</v>
      </c>
      <c r="C16" s="35">
        <v>31</v>
      </c>
    </row>
    <row r="17" spans="1:3" ht="15">
      <c r="A17" s="114" t="s">
        <v>2676</v>
      </c>
      <c r="B17" s="114" t="s">
        <v>2676</v>
      </c>
      <c r="C17" s="35">
        <v>24</v>
      </c>
    </row>
    <row r="18" spans="1:3" ht="15">
      <c r="A18" s="114" t="s">
        <v>2677</v>
      </c>
      <c r="B18" s="114" t="s">
        <v>2677</v>
      </c>
      <c r="C18" s="35">
        <v>21</v>
      </c>
    </row>
    <row r="19" spans="1:3" ht="15">
      <c r="A19" s="114" t="s">
        <v>2678</v>
      </c>
      <c r="B19" s="114" t="s">
        <v>2667</v>
      </c>
      <c r="C19" s="35">
        <v>1</v>
      </c>
    </row>
    <row r="20" spans="1:3" ht="15">
      <c r="A20" s="114" t="s">
        <v>2678</v>
      </c>
      <c r="B20" s="114" t="s">
        <v>2678</v>
      </c>
      <c r="C20" s="35">
        <v>9</v>
      </c>
    </row>
    <row r="21" spans="1:3" ht="15">
      <c r="A21" s="114" t="s">
        <v>2679</v>
      </c>
      <c r="B21" s="114" t="s">
        <v>2679</v>
      </c>
      <c r="C21" s="35">
        <v>8</v>
      </c>
    </row>
    <row r="22" spans="1:3" ht="15">
      <c r="A22" s="114" t="s">
        <v>2680</v>
      </c>
      <c r="B22" s="114" t="s">
        <v>2667</v>
      </c>
      <c r="C22" s="35">
        <v>1</v>
      </c>
    </row>
    <row r="23" spans="1:3" ht="15">
      <c r="A23" s="114" t="s">
        <v>2680</v>
      </c>
      <c r="B23" s="114" t="s">
        <v>2680</v>
      </c>
      <c r="C23" s="35">
        <v>6</v>
      </c>
    </row>
    <row r="24" spans="1:3" ht="15">
      <c r="A24" s="114" t="s">
        <v>2681</v>
      </c>
      <c r="B24" s="114" t="s">
        <v>2681</v>
      </c>
      <c r="C24" s="35">
        <v>14</v>
      </c>
    </row>
    <row r="25" spans="1:3" ht="15">
      <c r="A25" s="114" t="s">
        <v>2682</v>
      </c>
      <c r="B25" s="114" t="s">
        <v>2682</v>
      </c>
      <c r="C25" s="35">
        <v>12</v>
      </c>
    </row>
    <row r="26" spans="1:3" ht="15">
      <c r="A26" s="114" t="s">
        <v>2683</v>
      </c>
      <c r="B26" s="114" t="s">
        <v>2667</v>
      </c>
      <c r="C26" s="35">
        <v>1</v>
      </c>
    </row>
    <row r="27" spans="1:3" ht="15">
      <c r="A27" s="114" t="s">
        <v>2683</v>
      </c>
      <c r="B27" s="114" t="s">
        <v>2683</v>
      </c>
      <c r="C27" s="35">
        <v>3</v>
      </c>
    </row>
    <row r="28" spans="1:3" ht="15">
      <c r="A28" s="114" t="s">
        <v>2684</v>
      </c>
      <c r="B28" s="114" t="s">
        <v>2667</v>
      </c>
      <c r="C28" s="35">
        <v>1</v>
      </c>
    </row>
    <row r="29" spans="1:3" ht="15">
      <c r="A29" s="114" t="s">
        <v>2684</v>
      </c>
      <c r="B29" s="114" t="s">
        <v>2684</v>
      </c>
      <c r="C29" s="35">
        <v>3</v>
      </c>
    </row>
    <row r="30" spans="1:3" ht="15">
      <c r="A30" s="114" t="s">
        <v>2685</v>
      </c>
      <c r="B30" s="114" t="s">
        <v>2667</v>
      </c>
      <c r="C30" s="35">
        <v>1</v>
      </c>
    </row>
    <row r="31" spans="1:3" ht="15">
      <c r="A31" s="114" t="s">
        <v>2685</v>
      </c>
      <c r="B31" s="114" t="s">
        <v>2685</v>
      </c>
      <c r="C31" s="35">
        <v>3</v>
      </c>
    </row>
    <row r="32" spans="1:3" ht="15">
      <c r="A32" s="114" t="s">
        <v>2686</v>
      </c>
      <c r="B32" s="114" t="s">
        <v>2686</v>
      </c>
      <c r="C32" s="35">
        <v>6</v>
      </c>
    </row>
    <row r="33" spans="1:3" ht="15">
      <c r="A33" s="114" t="s">
        <v>2687</v>
      </c>
      <c r="B33" s="114" t="s">
        <v>2687</v>
      </c>
      <c r="C33" s="35">
        <v>3</v>
      </c>
    </row>
    <row r="34" spans="1:3" ht="15">
      <c r="A34" s="114" t="s">
        <v>2688</v>
      </c>
      <c r="B34" s="114" t="s">
        <v>2688</v>
      </c>
      <c r="C34" s="35">
        <v>3</v>
      </c>
    </row>
    <row r="35" spans="1:3" ht="15">
      <c r="A35" s="114" t="s">
        <v>2689</v>
      </c>
      <c r="B35" s="114" t="s">
        <v>2689</v>
      </c>
      <c r="C35" s="35">
        <v>2</v>
      </c>
    </row>
    <row r="36" spans="1:3" ht="15">
      <c r="A36" s="114" t="s">
        <v>2690</v>
      </c>
      <c r="B36" s="114" t="s">
        <v>2690</v>
      </c>
      <c r="C36" s="35">
        <v>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85CD8-2F0F-4521-92F8-BA2DAC3BB244}">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3407</v>
      </c>
      <c r="B1" s="13" t="s">
        <v>17</v>
      </c>
    </row>
    <row r="2" spans="1:2" ht="15">
      <c r="A2" s="80" t="s">
        <v>3408</v>
      </c>
      <c r="B2" s="80" t="s">
        <v>3414</v>
      </c>
    </row>
    <row r="3" spans="1:2" ht="15">
      <c r="A3" s="81" t="s">
        <v>3409</v>
      </c>
      <c r="B3" s="80" t="s">
        <v>3415</v>
      </c>
    </row>
    <row r="4" spans="1:2" ht="15">
      <c r="A4" s="81" t="s">
        <v>3410</v>
      </c>
      <c r="B4" s="80" t="s">
        <v>3416</v>
      </c>
    </row>
    <row r="5" spans="1:2" ht="15">
      <c r="A5" s="81" t="s">
        <v>3411</v>
      </c>
      <c r="B5" s="80" t="s">
        <v>3417</v>
      </c>
    </row>
    <row r="6" spans="1:2" ht="15">
      <c r="A6" s="81" t="s">
        <v>3412</v>
      </c>
      <c r="B6" s="80" t="s">
        <v>3418</v>
      </c>
    </row>
    <row r="7" spans="1:2" ht="15">
      <c r="A7" s="81" t="s">
        <v>3413</v>
      </c>
      <c r="B7" s="80"/>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DE100-B768-4355-BC06-B367FFB656F5}">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3419</v>
      </c>
      <c r="B1" s="13" t="s">
        <v>34</v>
      </c>
    </row>
    <row r="2" spans="1:2" ht="15">
      <c r="A2" s="105" t="s">
        <v>842</v>
      </c>
      <c r="B2" s="80">
        <v>48261.3</v>
      </c>
    </row>
    <row r="3" spans="1:2" ht="15">
      <c r="A3" s="108" t="s">
        <v>828</v>
      </c>
      <c r="B3" s="80">
        <v>32485.066667</v>
      </c>
    </row>
    <row r="4" spans="1:2" ht="15">
      <c r="A4" s="108" t="s">
        <v>840</v>
      </c>
      <c r="B4" s="80">
        <v>31507.333333</v>
      </c>
    </row>
    <row r="5" spans="1:2" ht="15">
      <c r="A5" s="108" t="s">
        <v>553</v>
      </c>
      <c r="B5" s="80">
        <v>23314.166667</v>
      </c>
    </row>
    <row r="6" spans="1:2" ht="15">
      <c r="A6" s="108" t="s">
        <v>786</v>
      </c>
      <c r="B6" s="80">
        <v>20946.066667</v>
      </c>
    </row>
    <row r="7" spans="1:2" ht="15">
      <c r="A7" s="108" t="s">
        <v>739</v>
      </c>
      <c r="B7" s="80">
        <v>18355.166667</v>
      </c>
    </row>
    <row r="8" spans="1:2" ht="15">
      <c r="A8" s="108" t="s">
        <v>823</v>
      </c>
      <c r="B8" s="80">
        <v>13771</v>
      </c>
    </row>
    <row r="9" spans="1:2" ht="15">
      <c r="A9" s="108" t="s">
        <v>345</v>
      </c>
      <c r="B9" s="80">
        <v>13092</v>
      </c>
    </row>
    <row r="10" spans="1:2" ht="15">
      <c r="A10" s="108" t="s">
        <v>757</v>
      </c>
      <c r="B10" s="80">
        <v>11558.266667</v>
      </c>
    </row>
    <row r="11" spans="1:2" ht="15">
      <c r="A11" s="108" t="s">
        <v>711</v>
      </c>
      <c r="B11" s="80">
        <v>7085.933333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13B4C-72C4-49A1-A447-7B1A425367F7}">
  <dimension ref="A1:V53"/>
  <sheetViews>
    <sheetView workbookViewId="0" topLeftCell="A1"/>
  </sheetViews>
  <sheetFormatPr defaultColWidth="9.140625" defaultRowHeight="15"/>
  <cols>
    <col min="1" max="1" width="41.7109375" style="0" customWidth="1"/>
    <col min="2" max="2" width="20.28125" style="0" bestFit="1" customWidth="1"/>
    <col min="3" max="3" width="31.7109375" style="0" customWidth="1"/>
    <col min="4" max="4" width="11.28125" style="0" bestFit="1" customWidth="1"/>
    <col min="5" max="5" width="31.7109375" style="0" customWidth="1"/>
    <col min="6" max="6" width="11.28125" style="0" bestFit="1" customWidth="1"/>
    <col min="7" max="7" width="31.7109375" style="0" customWidth="1"/>
    <col min="8" max="8" width="11.28125" style="0" bestFit="1" customWidth="1"/>
    <col min="9" max="9" width="31.7109375" style="0" customWidth="1"/>
    <col min="10" max="10" width="11.28125" style="0" bestFit="1" customWidth="1"/>
    <col min="11" max="11" width="31.7109375" style="0" customWidth="1"/>
    <col min="12" max="12" width="11.28125" style="0" bestFit="1" customWidth="1"/>
    <col min="13" max="13" width="31.7109375" style="0" customWidth="1"/>
    <col min="14" max="14" width="11.28125" style="0" bestFit="1" customWidth="1"/>
    <col min="15" max="15" width="31.7109375" style="0" customWidth="1"/>
    <col min="16" max="16" width="11.28125" style="0" bestFit="1" customWidth="1"/>
    <col min="17" max="17" width="31.7109375" style="0" customWidth="1"/>
    <col min="18" max="18" width="11.28125" style="0" bestFit="1" customWidth="1"/>
    <col min="19" max="19" width="31.7109375" style="0" customWidth="1"/>
    <col min="20" max="20" width="11.28125" style="0" bestFit="1" customWidth="1"/>
    <col min="21" max="21" width="32.7109375" style="0" customWidth="1"/>
    <col min="22" max="22" width="12.28125" style="0" bestFit="1" customWidth="1"/>
  </cols>
  <sheetData>
    <row r="1" spans="1:22" ht="15" customHeight="1">
      <c r="A1" s="13" t="s">
        <v>3420</v>
      </c>
      <c r="B1" s="13" t="s">
        <v>3431</v>
      </c>
      <c r="C1" s="13" t="s">
        <v>3432</v>
      </c>
      <c r="D1" s="13" t="s">
        <v>3436</v>
      </c>
      <c r="E1" s="13" t="s">
        <v>3435</v>
      </c>
      <c r="F1" s="13" t="s">
        <v>3441</v>
      </c>
      <c r="G1" s="13" t="s">
        <v>3440</v>
      </c>
      <c r="H1" s="13" t="s">
        <v>3447</v>
      </c>
      <c r="I1" s="13" t="s">
        <v>3446</v>
      </c>
      <c r="J1" s="13" t="s">
        <v>3455</v>
      </c>
      <c r="K1" s="80" t="s">
        <v>3454</v>
      </c>
      <c r="L1" s="80" t="s">
        <v>3457</v>
      </c>
      <c r="M1" s="13" t="s">
        <v>3456</v>
      </c>
      <c r="N1" s="13" t="s">
        <v>3461</v>
      </c>
      <c r="O1" s="13" t="s">
        <v>3460</v>
      </c>
      <c r="P1" s="13" t="s">
        <v>3464</v>
      </c>
      <c r="Q1" s="13" t="s">
        <v>3463</v>
      </c>
      <c r="R1" s="13" t="s">
        <v>3469</v>
      </c>
      <c r="S1" s="13" t="s">
        <v>3468</v>
      </c>
      <c r="T1" s="13" t="s">
        <v>3472</v>
      </c>
      <c r="U1" s="80" t="s">
        <v>3471</v>
      </c>
      <c r="V1" s="80" t="s">
        <v>3473</v>
      </c>
    </row>
    <row r="2" spans="1:22" ht="15">
      <c r="A2" s="85" t="s">
        <v>3421</v>
      </c>
      <c r="B2" s="80">
        <v>8</v>
      </c>
      <c r="C2" s="85" t="s">
        <v>3433</v>
      </c>
      <c r="D2" s="80">
        <v>1</v>
      </c>
      <c r="E2" s="85" t="s">
        <v>3421</v>
      </c>
      <c r="F2" s="80">
        <v>8</v>
      </c>
      <c r="G2" s="85" t="s">
        <v>3422</v>
      </c>
      <c r="H2" s="80">
        <v>2</v>
      </c>
      <c r="I2" s="85" t="s">
        <v>3448</v>
      </c>
      <c r="J2" s="80">
        <v>2</v>
      </c>
      <c r="K2" s="80"/>
      <c r="L2" s="80"/>
      <c r="M2" s="85" t="s">
        <v>3458</v>
      </c>
      <c r="N2" s="80">
        <v>1</v>
      </c>
      <c r="O2" s="85" t="s">
        <v>3428</v>
      </c>
      <c r="P2" s="80">
        <v>2</v>
      </c>
      <c r="Q2" s="85" t="s">
        <v>3465</v>
      </c>
      <c r="R2" s="80">
        <v>2</v>
      </c>
      <c r="S2" s="85" t="s">
        <v>3470</v>
      </c>
      <c r="T2" s="80">
        <v>2</v>
      </c>
      <c r="U2" s="80"/>
      <c r="V2" s="80"/>
    </row>
    <row r="3" spans="1:22" ht="15">
      <c r="A3" s="86" t="s">
        <v>3422</v>
      </c>
      <c r="B3" s="80">
        <v>5</v>
      </c>
      <c r="C3" s="85" t="s">
        <v>3434</v>
      </c>
      <c r="D3" s="80">
        <v>1</v>
      </c>
      <c r="E3" s="85" t="s">
        <v>3422</v>
      </c>
      <c r="F3" s="80">
        <v>1</v>
      </c>
      <c r="G3" s="85" t="s">
        <v>3442</v>
      </c>
      <c r="H3" s="80">
        <v>2</v>
      </c>
      <c r="I3" s="85" t="s">
        <v>3449</v>
      </c>
      <c r="J3" s="80">
        <v>2</v>
      </c>
      <c r="K3" s="80"/>
      <c r="L3" s="80"/>
      <c r="M3" s="85" t="s">
        <v>3459</v>
      </c>
      <c r="N3" s="80">
        <v>1</v>
      </c>
      <c r="O3" s="85" t="s">
        <v>3429</v>
      </c>
      <c r="P3" s="80">
        <v>2</v>
      </c>
      <c r="Q3" s="85" t="s">
        <v>3466</v>
      </c>
      <c r="R3" s="80">
        <v>1</v>
      </c>
      <c r="S3" s="80"/>
      <c r="T3" s="80"/>
      <c r="U3" s="80"/>
      <c r="V3" s="80"/>
    </row>
    <row r="4" spans="1:22" ht="15">
      <c r="A4" s="86" t="s">
        <v>3423</v>
      </c>
      <c r="B4" s="80">
        <v>2</v>
      </c>
      <c r="C4" s="80"/>
      <c r="D4" s="80"/>
      <c r="E4" s="85" t="s">
        <v>3437</v>
      </c>
      <c r="F4" s="80">
        <v>1</v>
      </c>
      <c r="G4" s="85" t="s">
        <v>3443</v>
      </c>
      <c r="H4" s="80">
        <v>1</v>
      </c>
      <c r="I4" s="85" t="s">
        <v>3450</v>
      </c>
      <c r="J4" s="80">
        <v>1</v>
      </c>
      <c r="K4" s="80"/>
      <c r="L4" s="80"/>
      <c r="M4" s="80"/>
      <c r="N4" s="80"/>
      <c r="O4" s="85" t="s">
        <v>3462</v>
      </c>
      <c r="P4" s="80">
        <v>1</v>
      </c>
      <c r="Q4" s="85" t="s">
        <v>3467</v>
      </c>
      <c r="R4" s="80">
        <v>1</v>
      </c>
      <c r="S4" s="80"/>
      <c r="T4" s="80"/>
      <c r="U4" s="80"/>
      <c r="V4" s="80"/>
    </row>
    <row r="5" spans="1:22" ht="15">
      <c r="A5" s="86" t="s">
        <v>3424</v>
      </c>
      <c r="B5" s="80">
        <v>2</v>
      </c>
      <c r="C5" s="80"/>
      <c r="D5" s="80"/>
      <c r="E5" s="85" t="s">
        <v>3438</v>
      </c>
      <c r="F5" s="80">
        <v>1</v>
      </c>
      <c r="G5" s="85" t="s">
        <v>3444</v>
      </c>
      <c r="H5" s="80">
        <v>1</v>
      </c>
      <c r="I5" s="85" t="s">
        <v>3451</v>
      </c>
      <c r="J5" s="80">
        <v>1</v>
      </c>
      <c r="K5" s="80"/>
      <c r="L5" s="80"/>
      <c r="M5" s="80"/>
      <c r="N5" s="80"/>
      <c r="O5" s="80"/>
      <c r="P5" s="80"/>
      <c r="Q5" s="80"/>
      <c r="R5" s="80"/>
      <c r="S5" s="80"/>
      <c r="T5" s="80"/>
      <c r="U5" s="80"/>
      <c r="V5" s="80"/>
    </row>
    <row r="6" spans="1:22" ht="15">
      <c r="A6" s="86" t="s">
        <v>3425</v>
      </c>
      <c r="B6" s="80">
        <v>2</v>
      </c>
      <c r="C6" s="80"/>
      <c r="D6" s="80"/>
      <c r="E6" s="85" t="s">
        <v>3439</v>
      </c>
      <c r="F6" s="80">
        <v>1</v>
      </c>
      <c r="G6" s="85" t="s">
        <v>3445</v>
      </c>
      <c r="H6" s="80">
        <v>1</v>
      </c>
      <c r="I6" s="85" t="s">
        <v>3452</v>
      </c>
      <c r="J6" s="80">
        <v>1</v>
      </c>
      <c r="K6" s="80"/>
      <c r="L6" s="80"/>
      <c r="M6" s="80"/>
      <c r="N6" s="80"/>
      <c r="O6" s="80"/>
      <c r="P6" s="80"/>
      <c r="Q6" s="80"/>
      <c r="R6" s="80"/>
      <c r="S6" s="80"/>
      <c r="T6" s="80"/>
      <c r="U6" s="80"/>
      <c r="V6" s="80"/>
    </row>
    <row r="7" spans="1:22" ht="15">
      <c r="A7" s="86" t="s">
        <v>3426</v>
      </c>
      <c r="B7" s="80">
        <v>2</v>
      </c>
      <c r="C7" s="80"/>
      <c r="D7" s="80"/>
      <c r="E7" s="80"/>
      <c r="F7" s="80"/>
      <c r="G7" s="80"/>
      <c r="H7" s="80"/>
      <c r="I7" s="85" t="s">
        <v>3422</v>
      </c>
      <c r="J7" s="80">
        <v>1</v>
      </c>
      <c r="K7" s="80"/>
      <c r="L7" s="80"/>
      <c r="M7" s="80"/>
      <c r="N7" s="80"/>
      <c r="O7" s="80"/>
      <c r="P7" s="80"/>
      <c r="Q7" s="80"/>
      <c r="R7" s="80"/>
      <c r="S7" s="80"/>
      <c r="T7" s="80"/>
      <c r="U7" s="80"/>
      <c r="V7" s="80"/>
    </row>
    <row r="8" spans="1:22" ht="15">
      <c r="A8" s="86" t="s">
        <v>3427</v>
      </c>
      <c r="B8" s="80">
        <v>2</v>
      </c>
      <c r="C8" s="80"/>
      <c r="D8" s="80"/>
      <c r="E8" s="80"/>
      <c r="F8" s="80"/>
      <c r="G8" s="80"/>
      <c r="H8" s="80"/>
      <c r="I8" s="85" t="s">
        <v>3453</v>
      </c>
      <c r="J8" s="80">
        <v>1</v>
      </c>
      <c r="K8" s="80"/>
      <c r="L8" s="80"/>
      <c r="M8" s="80"/>
      <c r="N8" s="80"/>
      <c r="O8" s="80"/>
      <c r="P8" s="80"/>
      <c r="Q8" s="80"/>
      <c r="R8" s="80"/>
      <c r="S8" s="80"/>
      <c r="T8" s="80"/>
      <c r="U8" s="80"/>
      <c r="V8" s="80"/>
    </row>
    <row r="9" spans="1:22" ht="15">
      <c r="A9" s="86" t="s">
        <v>3428</v>
      </c>
      <c r="B9" s="80">
        <v>2</v>
      </c>
      <c r="C9" s="80"/>
      <c r="D9" s="80"/>
      <c r="E9" s="80"/>
      <c r="F9" s="80"/>
      <c r="G9" s="80"/>
      <c r="H9" s="80"/>
      <c r="I9" s="80"/>
      <c r="J9" s="80"/>
      <c r="K9" s="80"/>
      <c r="L9" s="80"/>
      <c r="M9" s="80"/>
      <c r="N9" s="80"/>
      <c r="O9" s="80"/>
      <c r="P9" s="80"/>
      <c r="Q9" s="80"/>
      <c r="R9" s="80"/>
      <c r="S9" s="80"/>
      <c r="T9" s="80"/>
      <c r="U9" s="80"/>
      <c r="V9" s="80"/>
    </row>
    <row r="10" spans="1:22" ht="15">
      <c r="A10" s="86" t="s">
        <v>3429</v>
      </c>
      <c r="B10" s="80">
        <v>2</v>
      </c>
      <c r="C10" s="80"/>
      <c r="D10" s="80"/>
      <c r="E10" s="80"/>
      <c r="F10" s="80"/>
      <c r="G10" s="80"/>
      <c r="H10" s="80"/>
      <c r="I10" s="80"/>
      <c r="J10" s="80"/>
      <c r="K10" s="80"/>
      <c r="L10" s="80"/>
      <c r="M10" s="80"/>
      <c r="N10" s="80"/>
      <c r="O10" s="80"/>
      <c r="P10" s="80"/>
      <c r="Q10" s="80"/>
      <c r="R10" s="80"/>
      <c r="S10" s="80"/>
      <c r="T10" s="80"/>
      <c r="U10" s="80"/>
      <c r="V10" s="80"/>
    </row>
    <row r="11" spans="1:22" ht="15">
      <c r="A11" s="86" t="s">
        <v>3430</v>
      </c>
      <c r="B11" s="80">
        <v>2</v>
      </c>
      <c r="C11" s="80"/>
      <c r="D11" s="80"/>
      <c r="E11" s="80"/>
      <c r="F11" s="80"/>
      <c r="G11" s="80"/>
      <c r="H11" s="80"/>
      <c r="I11" s="80"/>
      <c r="J11" s="80"/>
      <c r="K11" s="80"/>
      <c r="L11" s="80"/>
      <c r="M11" s="80"/>
      <c r="N11" s="80"/>
      <c r="O11" s="80"/>
      <c r="P11" s="80"/>
      <c r="Q11" s="80"/>
      <c r="R11" s="80"/>
      <c r="S11" s="80"/>
      <c r="T11" s="80"/>
      <c r="U11" s="80"/>
      <c r="V11" s="80"/>
    </row>
    <row r="14" spans="1:22" ht="15" customHeight="1">
      <c r="A14" s="13" t="s">
        <v>3484</v>
      </c>
      <c r="B14" s="13" t="s">
        <v>3431</v>
      </c>
      <c r="C14" s="13" t="s">
        <v>3492</v>
      </c>
      <c r="D14" s="13" t="s">
        <v>3436</v>
      </c>
      <c r="E14" s="13" t="s">
        <v>3493</v>
      </c>
      <c r="F14" s="13" t="s">
        <v>3441</v>
      </c>
      <c r="G14" s="13" t="s">
        <v>3494</v>
      </c>
      <c r="H14" s="13" t="s">
        <v>3447</v>
      </c>
      <c r="I14" s="13" t="s">
        <v>3495</v>
      </c>
      <c r="J14" s="13" t="s">
        <v>3455</v>
      </c>
      <c r="K14" s="80" t="s">
        <v>3496</v>
      </c>
      <c r="L14" s="80" t="s">
        <v>3457</v>
      </c>
      <c r="M14" s="13" t="s">
        <v>3497</v>
      </c>
      <c r="N14" s="13" t="s">
        <v>3461</v>
      </c>
      <c r="O14" s="13" t="s">
        <v>3498</v>
      </c>
      <c r="P14" s="13" t="s">
        <v>3464</v>
      </c>
      <c r="Q14" s="13" t="s">
        <v>3500</v>
      </c>
      <c r="R14" s="13" t="s">
        <v>3469</v>
      </c>
      <c r="S14" s="13" t="s">
        <v>3501</v>
      </c>
      <c r="T14" s="13" t="s">
        <v>3472</v>
      </c>
      <c r="U14" s="80" t="s">
        <v>3502</v>
      </c>
      <c r="V14" s="80" t="s">
        <v>3473</v>
      </c>
    </row>
    <row r="15" spans="1:22" ht="15">
      <c r="A15" s="80" t="s">
        <v>2379</v>
      </c>
      <c r="B15" s="80">
        <v>17</v>
      </c>
      <c r="C15" s="80" t="s">
        <v>2379</v>
      </c>
      <c r="D15" s="80">
        <v>2</v>
      </c>
      <c r="E15" s="80" t="s">
        <v>3485</v>
      </c>
      <c r="F15" s="80">
        <v>8</v>
      </c>
      <c r="G15" s="80" t="s">
        <v>2381</v>
      </c>
      <c r="H15" s="80">
        <v>2</v>
      </c>
      <c r="I15" s="80" t="s">
        <v>2379</v>
      </c>
      <c r="J15" s="80">
        <v>6</v>
      </c>
      <c r="K15" s="80"/>
      <c r="L15" s="80"/>
      <c r="M15" s="80" t="s">
        <v>2379</v>
      </c>
      <c r="N15" s="80">
        <v>2</v>
      </c>
      <c r="O15" s="80" t="s">
        <v>3488</v>
      </c>
      <c r="P15" s="80">
        <v>2</v>
      </c>
      <c r="Q15" s="80" t="s">
        <v>2379</v>
      </c>
      <c r="R15" s="80">
        <v>2</v>
      </c>
      <c r="S15" s="80" t="s">
        <v>3488</v>
      </c>
      <c r="T15" s="80">
        <v>2</v>
      </c>
      <c r="U15" s="80"/>
      <c r="V15" s="80"/>
    </row>
    <row r="16" spans="1:22" ht="15">
      <c r="A16" s="81" t="s">
        <v>3485</v>
      </c>
      <c r="B16" s="80">
        <v>8</v>
      </c>
      <c r="C16" s="80"/>
      <c r="D16" s="80"/>
      <c r="E16" s="80" t="s">
        <v>2388</v>
      </c>
      <c r="F16" s="80">
        <v>2</v>
      </c>
      <c r="G16" s="80" t="s">
        <v>3487</v>
      </c>
      <c r="H16" s="80">
        <v>2</v>
      </c>
      <c r="I16" s="80" t="s">
        <v>3488</v>
      </c>
      <c r="J16" s="80">
        <v>2</v>
      </c>
      <c r="K16" s="80"/>
      <c r="L16" s="80"/>
      <c r="M16" s="80"/>
      <c r="N16" s="80"/>
      <c r="O16" s="80" t="s">
        <v>3487</v>
      </c>
      <c r="P16" s="80">
        <v>2</v>
      </c>
      <c r="Q16" s="80" t="s">
        <v>3491</v>
      </c>
      <c r="R16" s="80">
        <v>2</v>
      </c>
      <c r="S16" s="80"/>
      <c r="T16" s="80"/>
      <c r="U16" s="80"/>
      <c r="V16" s="80"/>
    </row>
    <row r="17" spans="1:22" ht="15">
      <c r="A17" s="81" t="s">
        <v>3486</v>
      </c>
      <c r="B17" s="80">
        <v>6</v>
      </c>
      <c r="C17" s="80"/>
      <c r="D17" s="80"/>
      <c r="E17" s="80" t="s">
        <v>2381</v>
      </c>
      <c r="F17" s="80">
        <v>1</v>
      </c>
      <c r="G17" s="80" t="s">
        <v>2379</v>
      </c>
      <c r="H17" s="80">
        <v>2</v>
      </c>
      <c r="I17" s="80" t="s">
        <v>2381</v>
      </c>
      <c r="J17" s="80">
        <v>1</v>
      </c>
      <c r="K17" s="80"/>
      <c r="L17" s="80"/>
      <c r="M17" s="80"/>
      <c r="N17" s="80"/>
      <c r="O17" s="80" t="s">
        <v>3499</v>
      </c>
      <c r="P17" s="80">
        <v>1</v>
      </c>
      <c r="Q17" s="80"/>
      <c r="R17" s="80"/>
      <c r="S17" s="80"/>
      <c r="T17" s="80"/>
      <c r="U17" s="80"/>
      <c r="V17" s="80"/>
    </row>
    <row r="18" spans="1:22" ht="15">
      <c r="A18" s="81" t="s">
        <v>3487</v>
      </c>
      <c r="B18" s="80">
        <v>6</v>
      </c>
      <c r="C18" s="80"/>
      <c r="D18" s="80"/>
      <c r="E18" s="80" t="s">
        <v>2379</v>
      </c>
      <c r="F18" s="80">
        <v>1</v>
      </c>
      <c r="G18" s="80" t="s">
        <v>2380</v>
      </c>
      <c r="H18" s="80">
        <v>1</v>
      </c>
      <c r="I18" s="80"/>
      <c r="J18" s="80"/>
      <c r="K18" s="80"/>
      <c r="L18" s="80"/>
      <c r="M18" s="80"/>
      <c r="N18" s="80"/>
      <c r="O18" s="80"/>
      <c r="P18" s="80"/>
      <c r="Q18" s="80"/>
      <c r="R18" s="80"/>
      <c r="S18" s="80"/>
      <c r="T18" s="80"/>
      <c r="U18" s="80"/>
      <c r="V18" s="80"/>
    </row>
    <row r="19" spans="1:22" ht="15">
      <c r="A19" s="81" t="s">
        <v>3488</v>
      </c>
      <c r="B19" s="80">
        <v>6</v>
      </c>
      <c r="C19" s="80"/>
      <c r="D19" s="80"/>
      <c r="E19" s="80"/>
      <c r="F19" s="80"/>
      <c r="G19" s="80"/>
      <c r="H19" s="80"/>
      <c r="I19" s="80"/>
      <c r="J19" s="80"/>
      <c r="K19" s="80"/>
      <c r="L19" s="80"/>
      <c r="M19" s="80"/>
      <c r="N19" s="80"/>
      <c r="O19" s="80"/>
      <c r="P19" s="80"/>
      <c r="Q19" s="80"/>
      <c r="R19" s="80"/>
      <c r="S19" s="80"/>
      <c r="T19" s="80"/>
      <c r="U19" s="80"/>
      <c r="V19" s="80"/>
    </row>
    <row r="20" spans="1:22" ht="15">
      <c r="A20" s="81" t="s">
        <v>2381</v>
      </c>
      <c r="B20" s="80">
        <v>5</v>
      </c>
      <c r="C20" s="80"/>
      <c r="D20" s="80"/>
      <c r="E20" s="80"/>
      <c r="F20" s="80"/>
      <c r="G20" s="80"/>
      <c r="H20" s="80"/>
      <c r="I20" s="80"/>
      <c r="J20" s="80"/>
      <c r="K20" s="80"/>
      <c r="L20" s="80"/>
      <c r="M20" s="80"/>
      <c r="N20" s="80"/>
      <c r="O20" s="80"/>
      <c r="P20" s="80"/>
      <c r="Q20" s="80"/>
      <c r="R20" s="80"/>
      <c r="S20" s="80"/>
      <c r="T20" s="80"/>
      <c r="U20" s="80"/>
      <c r="V20" s="80"/>
    </row>
    <row r="21" spans="1:22" ht="15">
      <c r="A21" s="81" t="s">
        <v>2388</v>
      </c>
      <c r="B21" s="80">
        <v>2</v>
      </c>
      <c r="C21" s="80"/>
      <c r="D21" s="80"/>
      <c r="E21" s="80"/>
      <c r="F21" s="80"/>
      <c r="G21" s="80"/>
      <c r="H21" s="80"/>
      <c r="I21" s="80"/>
      <c r="J21" s="80"/>
      <c r="K21" s="80"/>
      <c r="L21" s="80"/>
      <c r="M21" s="80"/>
      <c r="N21" s="80"/>
      <c r="O21" s="80"/>
      <c r="P21" s="80"/>
      <c r="Q21" s="80"/>
      <c r="R21" s="80"/>
      <c r="S21" s="80"/>
      <c r="T21" s="80"/>
      <c r="U21" s="80"/>
      <c r="V21" s="80"/>
    </row>
    <row r="22" spans="1:22" ht="15">
      <c r="A22" s="81" t="s">
        <v>3489</v>
      </c>
      <c r="B22" s="80">
        <v>2</v>
      </c>
      <c r="C22" s="80"/>
      <c r="D22" s="80"/>
      <c r="E22" s="80"/>
      <c r="F22" s="80"/>
      <c r="G22" s="80"/>
      <c r="H22" s="80"/>
      <c r="I22" s="80"/>
      <c r="J22" s="80"/>
      <c r="K22" s="80"/>
      <c r="L22" s="80"/>
      <c r="M22" s="80"/>
      <c r="N22" s="80"/>
      <c r="O22" s="80"/>
      <c r="P22" s="80"/>
      <c r="Q22" s="80"/>
      <c r="R22" s="80"/>
      <c r="S22" s="80"/>
      <c r="T22" s="80"/>
      <c r="U22" s="80"/>
      <c r="V22" s="80"/>
    </row>
    <row r="23" spans="1:22" ht="15">
      <c r="A23" s="81" t="s">
        <v>3490</v>
      </c>
      <c r="B23" s="80">
        <v>2</v>
      </c>
      <c r="C23" s="80"/>
      <c r="D23" s="80"/>
      <c r="E23" s="80"/>
      <c r="F23" s="80"/>
      <c r="G23" s="80"/>
      <c r="H23" s="80"/>
      <c r="I23" s="80"/>
      <c r="J23" s="80"/>
      <c r="K23" s="80"/>
      <c r="L23" s="80"/>
      <c r="M23" s="80"/>
      <c r="N23" s="80"/>
      <c r="O23" s="80"/>
      <c r="P23" s="80"/>
      <c r="Q23" s="80"/>
      <c r="R23" s="80"/>
      <c r="S23" s="80"/>
      <c r="T23" s="80"/>
      <c r="U23" s="80"/>
      <c r="V23" s="80"/>
    </row>
    <row r="24" spans="1:22" ht="15">
      <c r="A24" s="81" t="s">
        <v>3491</v>
      </c>
      <c r="B24" s="80">
        <v>2</v>
      </c>
      <c r="C24" s="80"/>
      <c r="D24" s="80"/>
      <c r="E24" s="80"/>
      <c r="F24" s="80"/>
      <c r="G24" s="80"/>
      <c r="H24" s="80"/>
      <c r="I24" s="80"/>
      <c r="J24" s="80"/>
      <c r="K24" s="80"/>
      <c r="L24" s="80"/>
      <c r="M24" s="80"/>
      <c r="N24" s="80"/>
      <c r="O24" s="80"/>
      <c r="P24" s="80"/>
      <c r="Q24" s="80"/>
      <c r="R24" s="80"/>
      <c r="S24" s="80"/>
      <c r="T24" s="80"/>
      <c r="U24" s="80"/>
      <c r="V24" s="80"/>
    </row>
    <row r="27" spans="1:22" ht="15" customHeight="1">
      <c r="A27" s="80" t="s">
        <v>3510</v>
      </c>
      <c r="B27" s="80" t="s">
        <v>3431</v>
      </c>
      <c r="C27" s="80" t="s">
        <v>3511</v>
      </c>
      <c r="D27" s="80" t="s">
        <v>3436</v>
      </c>
      <c r="E27" s="80" t="s">
        <v>3512</v>
      </c>
      <c r="F27" s="80" t="s">
        <v>3441</v>
      </c>
      <c r="G27" s="80" t="s">
        <v>3513</v>
      </c>
      <c r="H27" s="80" t="s">
        <v>3447</v>
      </c>
      <c r="I27" s="80" t="s">
        <v>3514</v>
      </c>
      <c r="J27" s="80" t="s">
        <v>3455</v>
      </c>
      <c r="K27" s="80" t="s">
        <v>3515</v>
      </c>
      <c r="L27" s="80" t="s">
        <v>3457</v>
      </c>
      <c r="M27" s="80" t="s">
        <v>3516</v>
      </c>
      <c r="N27" s="80" t="s">
        <v>3461</v>
      </c>
      <c r="O27" s="80" t="s">
        <v>3517</v>
      </c>
      <c r="P27" s="80" t="s">
        <v>3464</v>
      </c>
      <c r="Q27" s="80" t="s">
        <v>3518</v>
      </c>
      <c r="R27" s="80" t="s">
        <v>3469</v>
      </c>
      <c r="S27" s="80" t="s">
        <v>3519</v>
      </c>
      <c r="T27" s="80" t="s">
        <v>3472</v>
      </c>
      <c r="U27" s="80" t="s">
        <v>3520</v>
      </c>
      <c r="V27" s="80" t="s">
        <v>3473</v>
      </c>
    </row>
    <row r="28" spans="1:22" ht="15">
      <c r="A28" s="80"/>
      <c r="B28" s="80"/>
      <c r="C28" s="80"/>
      <c r="D28" s="80"/>
      <c r="E28" s="80"/>
      <c r="F28" s="80"/>
      <c r="G28" s="80"/>
      <c r="H28" s="80"/>
      <c r="I28" s="80"/>
      <c r="J28" s="80"/>
      <c r="K28" s="80"/>
      <c r="L28" s="80"/>
      <c r="M28" s="80"/>
      <c r="N28" s="80"/>
      <c r="O28" s="80"/>
      <c r="P28" s="80"/>
      <c r="Q28" s="80"/>
      <c r="R28" s="80"/>
      <c r="S28" s="80"/>
      <c r="T28" s="80"/>
      <c r="U28" s="80"/>
      <c r="V28" s="80"/>
    </row>
    <row r="30" spans="1:22" ht="15" customHeight="1">
      <c r="A30" s="13" t="s">
        <v>3522</v>
      </c>
      <c r="B30" s="13" t="s">
        <v>3431</v>
      </c>
      <c r="C30" s="13" t="s">
        <v>3523</v>
      </c>
      <c r="D30" s="13" t="s">
        <v>3436</v>
      </c>
      <c r="E30" s="13" t="s">
        <v>3524</v>
      </c>
      <c r="F30" s="13" t="s">
        <v>3441</v>
      </c>
      <c r="G30" s="13" t="s">
        <v>3525</v>
      </c>
      <c r="H30" s="13" t="s">
        <v>3447</v>
      </c>
      <c r="I30" s="13" t="s">
        <v>3526</v>
      </c>
      <c r="J30" s="13" t="s">
        <v>3455</v>
      </c>
      <c r="K30" s="13" t="s">
        <v>3527</v>
      </c>
      <c r="L30" s="13" t="s">
        <v>3457</v>
      </c>
      <c r="M30" s="13" t="s">
        <v>3528</v>
      </c>
      <c r="N30" s="13" t="s">
        <v>3461</v>
      </c>
      <c r="O30" s="13" t="s">
        <v>3529</v>
      </c>
      <c r="P30" s="13" t="s">
        <v>3464</v>
      </c>
      <c r="Q30" s="13" t="s">
        <v>3530</v>
      </c>
      <c r="R30" s="13" t="s">
        <v>3469</v>
      </c>
      <c r="S30" s="13" t="s">
        <v>3531</v>
      </c>
      <c r="T30" s="13" t="s">
        <v>3472</v>
      </c>
      <c r="U30" s="13" t="s">
        <v>3532</v>
      </c>
      <c r="V30" s="13" t="s">
        <v>3473</v>
      </c>
    </row>
    <row r="31" spans="1:22" ht="15">
      <c r="A31" s="83" t="s">
        <v>2716</v>
      </c>
      <c r="B31" s="83">
        <v>72</v>
      </c>
      <c r="C31" s="83" t="s">
        <v>2728</v>
      </c>
      <c r="D31" s="83">
        <v>13</v>
      </c>
      <c r="E31" s="83" t="s">
        <v>2727</v>
      </c>
      <c r="F31" s="83">
        <v>12</v>
      </c>
      <c r="G31" s="83" t="s">
        <v>2721</v>
      </c>
      <c r="H31" s="83">
        <v>12</v>
      </c>
      <c r="I31" s="83" t="s">
        <v>2756</v>
      </c>
      <c r="J31" s="83">
        <v>6</v>
      </c>
      <c r="K31" s="83" t="s">
        <v>2740</v>
      </c>
      <c r="L31" s="83">
        <v>7</v>
      </c>
      <c r="M31" s="83" t="s">
        <v>2716</v>
      </c>
      <c r="N31" s="83">
        <v>17</v>
      </c>
      <c r="O31" s="83" t="s">
        <v>2716</v>
      </c>
      <c r="P31" s="83">
        <v>36</v>
      </c>
      <c r="Q31" s="83" t="s">
        <v>2718</v>
      </c>
      <c r="R31" s="83">
        <v>4</v>
      </c>
      <c r="S31" s="83" t="s">
        <v>2736</v>
      </c>
      <c r="T31" s="83">
        <v>11</v>
      </c>
      <c r="U31" s="83" t="s">
        <v>2770</v>
      </c>
      <c r="V31" s="83">
        <v>6</v>
      </c>
    </row>
    <row r="32" spans="1:22" ht="15">
      <c r="A32" s="84" t="s">
        <v>1421</v>
      </c>
      <c r="B32" s="83">
        <v>42</v>
      </c>
      <c r="C32" s="83" t="s">
        <v>1421</v>
      </c>
      <c r="D32" s="83">
        <v>13</v>
      </c>
      <c r="E32" s="83" t="s">
        <v>2720</v>
      </c>
      <c r="F32" s="83">
        <v>12</v>
      </c>
      <c r="G32" s="83" t="s">
        <v>1421</v>
      </c>
      <c r="H32" s="83">
        <v>11</v>
      </c>
      <c r="I32" s="83" t="s">
        <v>2827</v>
      </c>
      <c r="J32" s="83">
        <v>6</v>
      </c>
      <c r="K32" s="83" t="s">
        <v>2717</v>
      </c>
      <c r="L32" s="83">
        <v>6</v>
      </c>
      <c r="M32" s="83" t="s">
        <v>2759</v>
      </c>
      <c r="N32" s="83">
        <v>4</v>
      </c>
      <c r="O32" s="83" t="s">
        <v>2784</v>
      </c>
      <c r="P32" s="83">
        <v>5</v>
      </c>
      <c r="Q32" s="83" t="s">
        <v>2802</v>
      </c>
      <c r="R32" s="83">
        <v>3</v>
      </c>
      <c r="S32" s="83" t="s">
        <v>2919</v>
      </c>
      <c r="T32" s="83">
        <v>4</v>
      </c>
      <c r="U32" s="83" t="s">
        <v>2720</v>
      </c>
      <c r="V32" s="83">
        <v>5</v>
      </c>
    </row>
    <row r="33" spans="1:22" ht="15">
      <c r="A33" s="84" t="s">
        <v>2717</v>
      </c>
      <c r="B33" s="83">
        <v>41</v>
      </c>
      <c r="C33" s="83" t="s">
        <v>2739</v>
      </c>
      <c r="D33" s="83">
        <v>9</v>
      </c>
      <c r="E33" s="83" t="s">
        <v>2717</v>
      </c>
      <c r="F33" s="83">
        <v>12</v>
      </c>
      <c r="G33" s="83" t="s">
        <v>2717</v>
      </c>
      <c r="H33" s="83">
        <v>9</v>
      </c>
      <c r="I33" s="83" t="s">
        <v>2828</v>
      </c>
      <c r="J33" s="83">
        <v>6</v>
      </c>
      <c r="K33" s="83" t="s">
        <v>2721</v>
      </c>
      <c r="L33" s="83">
        <v>6</v>
      </c>
      <c r="M33" s="83" t="s">
        <v>2758</v>
      </c>
      <c r="N33" s="83">
        <v>4</v>
      </c>
      <c r="O33" s="83" t="s">
        <v>2783</v>
      </c>
      <c r="P33" s="83">
        <v>5</v>
      </c>
      <c r="Q33" s="83" t="s">
        <v>2803</v>
      </c>
      <c r="R33" s="83">
        <v>3</v>
      </c>
      <c r="S33" s="83" t="s">
        <v>2747</v>
      </c>
      <c r="T33" s="83">
        <v>4</v>
      </c>
      <c r="U33" s="83" t="s">
        <v>2719</v>
      </c>
      <c r="V33" s="83">
        <v>5</v>
      </c>
    </row>
    <row r="34" spans="1:22" ht="15">
      <c r="A34" s="84" t="s">
        <v>2718</v>
      </c>
      <c r="B34" s="83">
        <v>33</v>
      </c>
      <c r="C34" s="83" t="s">
        <v>2749</v>
      </c>
      <c r="D34" s="83">
        <v>8</v>
      </c>
      <c r="E34" s="83" t="s">
        <v>2734</v>
      </c>
      <c r="F34" s="83">
        <v>12</v>
      </c>
      <c r="G34" s="83" t="s">
        <v>2729</v>
      </c>
      <c r="H34" s="83">
        <v>9</v>
      </c>
      <c r="I34" s="83" t="s">
        <v>2796</v>
      </c>
      <c r="J34" s="83">
        <v>5</v>
      </c>
      <c r="K34" s="83" t="s">
        <v>2738</v>
      </c>
      <c r="L34" s="83">
        <v>5</v>
      </c>
      <c r="M34" s="83" t="s">
        <v>2742</v>
      </c>
      <c r="N34" s="83">
        <v>4</v>
      </c>
      <c r="O34" s="83" t="s">
        <v>2742</v>
      </c>
      <c r="P34" s="83">
        <v>5</v>
      </c>
      <c r="Q34" s="83" t="s">
        <v>2871</v>
      </c>
      <c r="R34" s="83">
        <v>3</v>
      </c>
      <c r="S34" s="83" t="s">
        <v>2826</v>
      </c>
      <c r="T34" s="83">
        <v>3</v>
      </c>
      <c r="U34" s="83" t="s">
        <v>2741</v>
      </c>
      <c r="V34" s="83">
        <v>5</v>
      </c>
    </row>
    <row r="35" spans="1:22" ht="15">
      <c r="A35" s="84" t="s">
        <v>2719</v>
      </c>
      <c r="B35" s="83">
        <v>30</v>
      </c>
      <c r="C35" s="83" t="s">
        <v>2767</v>
      </c>
      <c r="D35" s="83">
        <v>7</v>
      </c>
      <c r="E35" s="83" t="s">
        <v>2755</v>
      </c>
      <c r="F35" s="83">
        <v>10</v>
      </c>
      <c r="G35" s="83" t="s">
        <v>2722</v>
      </c>
      <c r="H35" s="83">
        <v>8</v>
      </c>
      <c r="I35" s="83" t="s">
        <v>2731</v>
      </c>
      <c r="J35" s="83">
        <v>5</v>
      </c>
      <c r="K35" s="83" t="s">
        <v>2720</v>
      </c>
      <c r="L35" s="83">
        <v>5</v>
      </c>
      <c r="M35" s="83" t="s">
        <v>2918</v>
      </c>
      <c r="N35" s="83">
        <v>3</v>
      </c>
      <c r="O35" s="83" t="s">
        <v>2747</v>
      </c>
      <c r="P35" s="83">
        <v>5</v>
      </c>
      <c r="Q35" s="83" t="s">
        <v>3047</v>
      </c>
      <c r="R35" s="83">
        <v>3</v>
      </c>
      <c r="S35" s="83" t="s">
        <v>3356</v>
      </c>
      <c r="T35" s="83">
        <v>2</v>
      </c>
      <c r="U35" s="83" t="s">
        <v>2824</v>
      </c>
      <c r="V35" s="83">
        <v>4</v>
      </c>
    </row>
    <row r="36" spans="1:22" ht="15">
      <c r="A36" s="84" t="s">
        <v>2720</v>
      </c>
      <c r="B36" s="83">
        <v>28</v>
      </c>
      <c r="C36" s="83" t="s">
        <v>2744</v>
      </c>
      <c r="D36" s="83">
        <v>7</v>
      </c>
      <c r="E36" s="83" t="s">
        <v>2719</v>
      </c>
      <c r="F36" s="83">
        <v>9</v>
      </c>
      <c r="G36" s="83" t="s">
        <v>2723</v>
      </c>
      <c r="H36" s="83">
        <v>6</v>
      </c>
      <c r="I36" s="83" t="s">
        <v>2730</v>
      </c>
      <c r="J36" s="83">
        <v>5</v>
      </c>
      <c r="K36" s="83" t="s">
        <v>2847</v>
      </c>
      <c r="L36" s="83">
        <v>5</v>
      </c>
      <c r="M36" s="83" t="s">
        <v>3348</v>
      </c>
      <c r="N36" s="83">
        <v>2</v>
      </c>
      <c r="O36" s="83" t="s">
        <v>2800</v>
      </c>
      <c r="P36" s="83">
        <v>4</v>
      </c>
      <c r="Q36" s="83" t="s">
        <v>2770</v>
      </c>
      <c r="R36" s="83">
        <v>3</v>
      </c>
      <c r="S36" s="83" t="s">
        <v>2894</v>
      </c>
      <c r="T36" s="83">
        <v>2</v>
      </c>
      <c r="U36" s="83" t="s">
        <v>2907</v>
      </c>
      <c r="V36" s="83">
        <v>4</v>
      </c>
    </row>
    <row r="37" spans="1:22" ht="15">
      <c r="A37" s="84" t="s">
        <v>2721</v>
      </c>
      <c r="B37" s="83">
        <v>27</v>
      </c>
      <c r="C37" s="83" t="s">
        <v>2751</v>
      </c>
      <c r="D37" s="83">
        <v>7</v>
      </c>
      <c r="E37" s="83" t="s">
        <v>2777</v>
      </c>
      <c r="F37" s="83">
        <v>8</v>
      </c>
      <c r="G37" s="83" t="s">
        <v>2855</v>
      </c>
      <c r="H37" s="83">
        <v>5</v>
      </c>
      <c r="I37" s="83" t="s">
        <v>2853</v>
      </c>
      <c r="J37" s="83">
        <v>5</v>
      </c>
      <c r="K37" s="83" t="s">
        <v>2718</v>
      </c>
      <c r="L37" s="83">
        <v>5</v>
      </c>
      <c r="M37" s="83" t="s">
        <v>2732</v>
      </c>
      <c r="N37" s="83">
        <v>2</v>
      </c>
      <c r="O37" s="83" t="s">
        <v>2911</v>
      </c>
      <c r="P37" s="83">
        <v>4</v>
      </c>
      <c r="Q37" s="83" t="s">
        <v>3048</v>
      </c>
      <c r="R37" s="83">
        <v>3</v>
      </c>
      <c r="S37" s="83" t="s">
        <v>2763</v>
      </c>
      <c r="T37" s="83">
        <v>2</v>
      </c>
      <c r="U37" s="83" t="s">
        <v>2848</v>
      </c>
      <c r="V37" s="83">
        <v>4</v>
      </c>
    </row>
    <row r="38" spans="1:22" ht="15">
      <c r="A38" s="84" t="s">
        <v>2722</v>
      </c>
      <c r="B38" s="83">
        <v>23</v>
      </c>
      <c r="C38" s="83" t="s">
        <v>2716</v>
      </c>
      <c r="D38" s="83">
        <v>7</v>
      </c>
      <c r="E38" s="83" t="s">
        <v>2718</v>
      </c>
      <c r="F38" s="83">
        <v>6</v>
      </c>
      <c r="G38" s="83" t="s">
        <v>2735</v>
      </c>
      <c r="H38" s="83">
        <v>5</v>
      </c>
      <c r="I38" s="83" t="s">
        <v>2854</v>
      </c>
      <c r="J38" s="83">
        <v>5</v>
      </c>
      <c r="K38" s="83" t="s">
        <v>2769</v>
      </c>
      <c r="L38" s="83">
        <v>5</v>
      </c>
      <c r="M38" s="83" t="s">
        <v>3349</v>
      </c>
      <c r="N38" s="83">
        <v>2</v>
      </c>
      <c r="O38" s="83" t="s">
        <v>2910</v>
      </c>
      <c r="P38" s="83">
        <v>4</v>
      </c>
      <c r="Q38" s="83" t="s">
        <v>3049</v>
      </c>
      <c r="R38" s="83">
        <v>3</v>
      </c>
      <c r="S38" s="83" t="s">
        <v>3355</v>
      </c>
      <c r="T38" s="83">
        <v>2</v>
      </c>
      <c r="U38" s="83" t="s">
        <v>2908</v>
      </c>
      <c r="V38" s="83">
        <v>4</v>
      </c>
    </row>
    <row r="39" spans="1:22" ht="15">
      <c r="A39" s="84" t="s">
        <v>2723</v>
      </c>
      <c r="B39" s="83">
        <v>21</v>
      </c>
      <c r="C39" s="83" t="s">
        <v>2644</v>
      </c>
      <c r="D39" s="83">
        <v>7</v>
      </c>
      <c r="E39" s="83" t="s">
        <v>2760</v>
      </c>
      <c r="F39" s="83">
        <v>5</v>
      </c>
      <c r="G39" s="83" t="s">
        <v>2793</v>
      </c>
      <c r="H39" s="83">
        <v>5</v>
      </c>
      <c r="I39" s="83" t="s">
        <v>2762</v>
      </c>
      <c r="J39" s="83">
        <v>4</v>
      </c>
      <c r="K39" s="83" t="s">
        <v>2788</v>
      </c>
      <c r="L39" s="83">
        <v>4</v>
      </c>
      <c r="M39" s="83" t="s">
        <v>3350</v>
      </c>
      <c r="N39" s="83">
        <v>2</v>
      </c>
      <c r="O39" s="83" t="s">
        <v>2909</v>
      </c>
      <c r="P39" s="83">
        <v>4</v>
      </c>
      <c r="Q39" s="83" t="s">
        <v>3104</v>
      </c>
      <c r="R39" s="83">
        <v>2</v>
      </c>
      <c r="S39" s="83" t="s">
        <v>2758</v>
      </c>
      <c r="T39" s="83">
        <v>2</v>
      </c>
      <c r="U39" s="83" t="s">
        <v>1421</v>
      </c>
      <c r="V39" s="83">
        <v>3</v>
      </c>
    </row>
    <row r="40" spans="1:22" ht="15">
      <c r="A40" s="84" t="s">
        <v>2724</v>
      </c>
      <c r="B40" s="83">
        <v>21</v>
      </c>
      <c r="C40" s="83" t="s">
        <v>2748</v>
      </c>
      <c r="D40" s="83">
        <v>6</v>
      </c>
      <c r="E40" s="83" t="s">
        <v>2752</v>
      </c>
      <c r="F40" s="83">
        <v>5</v>
      </c>
      <c r="G40" s="83" t="s">
        <v>2724</v>
      </c>
      <c r="H40" s="83">
        <v>5</v>
      </c>
      <c r="I40" s="83" t="s">
        <v>2725</v>
      </c>
      <c r="J40" s="83">
        <v>4</v>
      </c>
      <c r="K40" s="83" t="s">
        <v>2821</v>
      </c>
      <c r="L40" s="83">
        <v>4</v>
      </c>
      <c r="M40" s="83" t="s">
        <v>2852</v>
      </c>
      <c r="N40" s="83">
        <v>2</v>
      </c>
      <c r="O40" s="83" t="s">
        <v>2851</v>
      </c>
      <c r="P40" s="83">
        <v>3</v>
      </c>
      <c r="Q40" s="83" t="s">
        <v>2953</v>
      </c>
      <c r="R40" s="83">
        <v>2</v>
      </c>
      <c r="S40" s="83" t="s">
        <v>2916</v>
      </c>
      <c r="T40" s="83">
        <v>2</v>
      </c>
      <c r="U40" s="83" t="s">
        <v>3030</v>
      </c>
      <c r="V40" s="83">
        <v>3</v>
      </c>
    </row>
    <row r="43" spans="1:22" ht="15" customHeight="1">
      <c r="A43" s="13" t="s">
        <v>3550</v>
      </c>
      <c r="B43" s="13" t="s">
        <v>3431</v>
      </c>
      <c r="C43" s="13" t="s">
        <v>3561</v>
      </c>
      <c r="D43" s="13" t="s">
        <v>3436</v>
      </c>
      <c r="E43" s="13" t="s">
        <v>3570</v>
      </c>
      <c r="F43" s="13" t="s">
        <v>3441</v>
      </c>
      <c r="G43" s="13" t="s">
        <v>3578</v>
      </c>
      <c r="H43" s="13" t="s">
        <v>3447</v>
      </c>
      <c r="I43" s="13" t="s">
        <v>3589</v>
      </c>
      <c r="J43" s="13" t="s">
        <v>3455</v>
      </c>
      <c r="K43" s="13" t="s">
        <v>3598</v>
      </c>
      <c r="L43" s="13" t="s">
        <v>3457</v>
      </c>
      <c r="M43" s="80" t="s">
        <v>3608</v>
      </c>
      <c r="N43" s="80" t="s">
        <v>3461</v>
      </c>
      <c r="O43" s="13" t="s">
        <v>3609</v>
      </c>
      <c r="P43" s="13" t="s">
        <v>3464</v>
      </c>
      <c r="Q43" s="13" t="s">
        <v>3620</v>
      </c>
      <c r="R43" s="13" t="s">
        <v>3469</v>
      </c>
      <c r="S43" s="13" t="s">
        <v>3631</v>
      </c>
      <c r="T43" s="13" t="s">
        <v>3472</v>
      </c>
      <c r="U43" s="13" t="s">
        <v>3634</v>
      </c>
      <c r="V43" s="13" t="s">
        <v>3473</v>
      </c>
    </row>
    <row r="44" spans="1:22" ht="15">
      <c r="A44" s="83" t="s">
        <v>3551</v>
      </c>
      <c r="B44" s="83">
        <v>11</v>
      </c>
      <c r="C44" s="83" t="s">
        <v>3551</v>
      </c>
      <c r="D44" s="83">
        <v>8</v>
      </c>
      <c r="E44" s="83" t="s">
        <v>3552</v>
      </c>
      <c r="F44" s="83">
        <v>8</v>
      </c>
      <c r="G44" s="83" t="s">
        <v>3579</v>
      </c>
      <c r="H44" s="83">
        <v>5</v>
      </c>
      <c r="I44" s="83" t="s">
        <v>3560</v>
      </c>
      <c r="J44" s="83">
        <v>6</v>
      </c>
      <c r="K44" s="83" t="s">
        <v>3556</v>
      </c>
      <c r="L44" s="83">
        <v>4</v>
      </c>
      <c r="M44" s="83"/>
      <c r="N44" s="83"/>
      <c r="O44" s="83" t="s">
        <v>3610</v>
      </c>
      <c r="P44" s="83">
        <v>3</v>
      </c>
      <c r="Q44" s="83" t="s">
        <v>3621</v>
      </c>
      <c r="R44" s="83">
        <v>3</v>
      </c>
      <c r="S44" s="83" t="s">
        <v>3632</v>
      </c>
      <c r="T44" s="83">
        <v>2</v>
      </c>
      <c r="U44" s="83" t="s">
        <v>3635</v>
      </c>
      <c r="V44" s="83">
        <v>2</v>
      </c>
    </row>
    <row r="45" spans="1:22" ht="15">
      <c r="A45" s="84" t="s">
        <v>3552</v>
      </c>
      <c r="B45" s="83">
        <v>8</v>
      </c>
      <c r="C45" s="83" t="s">
        <v>3562</v>
      </c>
      <c r="D45" s="83">
        <v>4</v>
      </c>
      <c r="E45" s="83" t="s">
        <v>3553</v>
      </c>
      <c r="F45" s="83">
        <v>8</v>
      </c>
      <c r="G45" s="83" t="s">
        <v>3580</v>
      </c>
      <c r="H45" s="83">
        <v>4</v>
      </c>
      <c r="I45" s="83" t="s">
        <v>3557</v>
      </c>
      <c r="J45" s="83">
        <v>5</v>
      </c>
      <c r="K45" s="83" t="s">
        <v>3599</v>
      </c>
      <c r="L45" s="83">
        <v>3</v>
      </c>
      <c r="M45" s="83"/>
      <c r="N45" s="83"/>
      <c r="O45" s="83" t="s">
        <v>3611</v>
      </c>
      <c r="P45" s="83">
        <v>2</v>
      </c>
      <c r="Q45" s="83" t="s">
        <v>3622</v>
      </c>
      <c r="R45" s="83">
        <v>2</v>
      </c>
      <c r="S45" s="83" t="s">
        <v>3633</v>
      </c>
      <c r="T45" s="83">
        <v>2</v>
      </c>
      <c r="U45" s="83" t="s">
        <v>3636</v>
      </c>
      <c r="V45" s="83">
        <v>2</v>
      </c>
    </row>
    <row r="46" spans="1:22" ht="15">
      <c r="A46" s="84" t="s">
        <v>3553</v>
      </c>
      <c r="B46" s="83">
        <v>8</v>
      </c>
      <c r="C46" s="83" t="s">
        <v>3563</v>
      </c>
      <c r="D46" s="83">
        <v>3</v>
      </c>
      <c r="E46" s="83" t="s">
        <v>3554</v>
      </c>
      <c r="F46" s="83">
        <v>8</v>
      </c>
      <c r="G46" s="83" t="s">
        <v>3581</v>
      </c>
      <c r="H46" s="83">
        <v>3</v>
      </c>
      <c r="I46" s="83" t="s">
        <v>3590</v>
      </c>
      <c r="J46" s="83">
        <v>5</v>
      </c>
      <c r="K46" s="83" t="s">
        <v>3600</v>
      </c>
      <c r="L46" s="83">
        <v>2</v>
      </c>
      <c r="M46" s="83"/>
      <c r="N46" s="83"/>
      <c r="O46" s="83" t="s">
        <v>3612</v>
      </c>
      <c r="P46" s="83">
        <v>2</v>
      </c>
      <c r="Q46" s="83" t="s">
        <v>3623</v>
      </c>
      <c r="R46" s="83">
        <v>2</v>
      </c>
      <c r="S46" s="83"/>
      <c r="T46" s="83"/>
      <c r="U46" s="83" t="s">
        <v>3637</v>
      </c>
      <c r="V46" s="83">
        <v>2</v>
      </c>
    </row>
    <row r="47" spans="1:22" ht="15">
      <c r="A47" s="84" t="s">
        <v>3554</v>
      </c>
      <c r="B47" s="83">
        <v>8</v>
      </c>
      <c r="C47" s="83" t="s">
        <v>3564</v>
      </c>
      <c r="D47" s="83">
        <v>3</v>
      </c>
      <c r="E47" s="83" t="s">
        <v>3571</v>
      </c>
      <c r="F47" s="83">
        <v>4</v>
      </c>
      <c r="G47" s="83" t="s">
        <v>3582</v>
      </c>
      <c r="H47" s="83">
        <v>2</v>
      </c>
      <c r="I47" s="83" t="s">
        <v>3591</v>
      </c>
      <c r="J47" s="83">
        <v>2</v>
      </c>
      <c r="K47" s="83" t="s">
        <v>3601</v>
      </c>
      <c r="L47" s="83">
        <v>2</v>
      </c>
      <c r="M47" s="83"/>
      <c r="N47" s="83"/>
      <c r="O47" s="83" t="s">
        <v>3613</v>
      </c>
      <c r="P47" s="83">
        <v>2</v>
      </c>
      <c r="Q47" s="83" t="s">
        <v>3624</v>
      </c>
      <c r="R47" s="83">
        <v>2</v>
      </c>
      <c r="S47" s="83"/>
      <c r="T47" s="83"/>
      <c r="U47" s="83" t="s">
        <v>3638</v>
      </c>
      <c r="V47" s="83">
        <v>2</v>
      </c>
    </row>
    <row r="48" spans="1:22" ht="15">
      <c r="A48" s="84" t="s">
        <v>3555</v>
      </c>
      <c r="B48" s="83">
        <v>8</v>
      </c>
      <c r="C48" s="83" t="s">
        <v>3565</v>
      </c>
      <c r="D48" s="83">
        <v>3</v>
      </c>
      <c r="E48" s="83" t="s">
        <v>3572</v>
      </c>
      <c r="F48" s="83">
        <v>4</v>
      </c>
      <c r="G48" s="83" t="s">
        <v>3583</v>
      </c>
      <c r="H48" s="83">
        <v>2</v>
      </c>
      <c r="I48" s="83" t="s">
        <v>3592</v>
      </c>
      <c r="J48" s="83">
        <v>2</v>
      </c>
      <c r="K48" s="83" t="s">
        <v>3602</v>
      </c>
      <c r="L48" s="83">
        <v>2</v>
      </c>
      <c r="M48" s="83"/>
      <c r="N48" s="83"/>
      <c r="O48" s="83" t="s">
        <v>3614</v>
      </c>
      <c r="P48" s="83">
        <v>2</v>
      </c>
      <c r="Q48" s="83" t="s">
        <v>3625</v>
      </c>
      <c r="R48" s="83">
        <v>2</v>
      </c>
      <c r="S48" s="83"/>
      <c r="T48" s="83"/>
      <c r="U48" s="83" t="s">
        <v>3639</v>
      </c>
      <c r="V48" s="83">
        <v>2</v>
      </c>
    </row>
    <row r="49" spans="1:22" ht="15">
      <c r="A49" s="84" t="s">
        <v>3556</v>
      </c>
      <c r="B49" s="83">
        <v>8</v>
      </c>
      <c r="C49" s="83" t="s">
        <v>3566</v>
      </c>
      <c r="D49" s="83">
        <v>2</v>
      </c>
      <c r="E49" s="83" t="s">
        <v>3573</v>
      </c>
      <c r="F49" s="83">
        <v>4</v>
      </c>
      <c r="G49" s="83" t="s">
        <v>3584</v>
      </c>
      <c r="H49" s="83">
        <v>2</v>
      </c>
      <c r="I49" s="83" t="s">
        <v>3593</v>
      </c>
      <c r="J49" s="83">
        <v>2</v>
      </c>
      <c r="K49" s="83" t="s">
        <v>3603</v>
      </c>
      <c r="L49" s="83">
        <v>2</v>
      </c>
      <c r="M49" s="83"/>
      <c r="N49" s="83"/>
      <c r="O49" s="83" t="s">
        <v>3615</v>
      </c>
      <c r="P49" s="83">
        <v>2</v>
      </c>
      <c r="Q49" s="83" t="s">
        <v>3626</v>
      </c>
      <c r="R49" s="83">
        <v>2</v>
      </c>
      <c r="S49" s="83"/>
      <c r="T49" s="83"/>
      <c r="U49" s="83" t="s">
        <v>3640</v>
      </c>
      <c r="V49" s="83">
        <v>2</v>
      </c>
    </row>
    <row r="50" spans="1:22" ht="15">
      <c r="A50" s="84" t="s">
        <v>3557</v>
      </c>
      <c r="B50" s="83">
        <v>7</v>
      </c>
      <c r="C50" s="83" t="s">
        <v>3567</v>
      </c>
      <c r="D50" s="83">
        <v>2</v>
      </c>
      <c r="E50" s="83" t="s">
        <v>3574</v>
      </c>
      <c r="F50" s="83">
        <v>3</v>
      </c>
      <c r="G50" s="83" t="s">
        <v>3585</v>
      </c>
      <c r="H50" s="83">
        <v>2</v>
      </c>
      <c r="I50" s="83" t="s">
        <v>3594</v>
      </c>
      <c r="J50" s="83">
        <v>2</v>
      </c>
      <c r="K50" s="83" t="s">
        <v>3604</v>
      </c>
      <c r="L50" s="83">
        <v>2</v>
      </c>
      <c r="M50" s="83"/>
      <c r="N50" s="83"/>
      <c r="O50" s="83" t="s">
        <v>3616</v>
      </c>
      <c r="P50" s="83">
        <v>2</v>
      </c>
      <c r="Q50" s="83" t="s">
        <v>3627</v>
      </c>
      <c r="R50" s="83">
        <v>2</v>
      </c>
      <c r="S50" s="83"/>
      <c r="T50" s="83"/>
      <c r="U50" s="83" t="s">
        <v>3641</v>
      </c>
      <c r="V50" s="83">
        <v>2</v>
      </c>
    </row>
    <row r="51" spans="1:22" ht="15">
      <c r="A51" s="84" t="s">
        <v>3558</v>
      </c>
      <c r="B51" s="83">
        <v>6</v>
      </c>
      <c r="C51" s="83" t="s">
        <v>3568</v>
      </c>
      <c r="D51" s="83">
        <v>2</v>
      </c>
      <c r="E51" s="83" t="s">
        <v>3575</v>
      </c>
      <c r="F51" s="83">
        <v>3</v>
      </c>
      <c r="G51" s="83" t="s">
        <v>3586</v>
      </c>
      <c r="H51" s="83">
        <v>2</v>
      </c>
      <c r="I51" s="83" t="s">
        <v>3595</v>
      </c>
      <c r="J51" s="83">
        <v>2</v>
      </c>
      <c r="K51" s="83" t="s">
        <v>3605</v>
      </c>
      <c r="L51" s="83">
        <v>2</v>
      </c>
      <c r="M51" s="83"/>
      <c r="N51" s="83"/>
      <c r="O51" s="83" t="s">
        <v>3617</v>
      </c>
      <c r="P51" s="83">
        <v>2</v>
      </c>
      <c r="Q51" s="83" t="s">
        <v>3628</v>
      </c>
      <c r="R51" s="83">
        <v>2</v>
      </c>
      <c r="S51" s="83"/>
      <c r="T51" s="83"/>
      <c r="U51" s="83" t="s">
        <v>3642</v>
      </c>
      <c r="V51" s="83">
        <v>2</v>
      </c>
    </row>
    <row r="52" spans="1:22" ht="15">
      <c r="A52" s="84" t="s">
        <v>3559</v>
      </c>
      <c r="B52" s="83">
        <v>6</v>
      </c>
      <c r="C52" s="83" t="s">
        <v>3569</v>
      </c>
      <c r="D52" s="83">
        <v>2</v>
      </c>
      <c r="E52" s="83" t="s">
        <v>3576</v>
      </c>
      <c r="F52" s="83">
        <v>3</v>
      </c>
      <c r="G52" s="83" t="s">
        <v>3587</v>
      </c>
      <c r="H52" s="83">
        <v>2</v>
      </c>
      <c r="I52" s="83" t="s">
        <v>3596</v>
      </c>
      <c r="J52" s="83">
        <v>2</v>
      </c>
      <c r="K52" s="83" t="s">
        <v>3606</v>
      </c>
      <c r="L52" s="83">
        <v>2</v>
      </c>
      <c r="M52" s="83"/>
      <c r="N52" s="83"/>
      <c r="O52" s="83" t="s">
        <v>3618</v>
      </c>
      <c r="P52" s="83">
        <v>2</v>
      </c>
      <c r="Q52" s="83" t="s">
        <v>3629</v>
      </c>
      <c r="R52" s="83">
        <v>2</v>
      </c>
      <c r="S52" s="83"/>
      <c r="T52" s="83"/>
      <c r="U52" s="83" t="s">
        <v>3643</v>
      </c>
      <c r="V52" s="83">
        <v>2</v>
      </c>
    </row>
    <row r="53" spans="1:22" ht="15">
      <c r="A53" s="84" t="s">
        <v>3560</v>
      </c>
      <c r="B53" s="83">
        <v>6</v>
      </c>
      <c r="C53" s="83"/>
      <c r="D53" s="83"/>
      <c r="E53" s="83" t="s">
        <v>3577</v>
      </c>
      <c r="F53" s="83">
        <v>3</v>
      </c>
      <c r="G53" s="83" t="s">
        <v>3588</v>
      </c>
      <c r="H53" s="83">
        <v>2</v>
      </c>
      <c r="I53" s="83" t="s">
        <v>3597</v>
      </c>
      <c r="J53" s="83">
        <v>2</v>
      </c>
      <c r="K53" s="83" t="s">
        <v>3607</v>
      </c>
      <c r="L53" s="83">
        <v>2</v>
      </c>
      <c r="M53" s="83"/>
      <c r="N53" s="83"/>
      <c r="O53" s="83" t="s">
        <v>3619</v>
      </c>
      <c r="P53" s="83">
        <v>2</v>
      </c>
      <c r="Q53" s="83" t="s">
        <v>3630</v>
      </c>
      <c r="R53" s="83">
        <v>2</v>
      </c>
      <c r="S53" s="83"/>
      <c r="T53" s="83"/>
      <c r="U53" s="83"/>
      <c r="V53" s="83"/>
    </row>
  </sheetData>
  <hyperlinks>
    <hyperlink ref="A2" r:id="rId1" display="https://gurudeseyesubai.org/hidden-causes-of-disease-3/"/>
    <hyperlink ref="A3" r:id="rId2" display="http://gmail.com/"/>
    <hyperlink ref="A4" r:id="rId3" display="https://play.google.com/store/apps/details?id=com.wow.studyiq"/>
    <hyperlink ref="A5" r:id="rId4" display="https://bit.ly/2xxuT9B"/>
    <hyperlink ref="A6" r:id="rId5" display="https://t.me/DrVipanGoyal"/>
    <hyperlink ref="A7" r:id="rId6" display="https://bit.ly/2ODgNaf"/>
    <hyperlink ref="A8" r:id="rId7" display="https://www.facebook.com/vipangoyal13"/>
    <hyperlink ref="A9" r:id="rId8" display="https://youtu.be/sWTtD-aE-q8"/>
    <hyperlink ref="A10" r:id="rId9" display="https://www.facebook.com/kclpharmacy/"/>
    <hyperlink ref="A11" r:id="rId10" display="https://bit.ly/32j1Zq1"/>
    <hyperlink ref="C2" r:id="rId11" display="http://www.youtube.com/results?search_query=%23LastMinuteSquad"/>
    <hyperlink ref="C3" r:id="rId12" display="https://www.youtube.com/watch?v=H6DrSG_KQjo&amp;amp;t=3m34s"/>
    <hyperlink ref="E2" r:id="rId13" display="https://gurudeseyesubai.org/hidden-causes-of-disease-3/"/>
    <hyperlink ref="E3" r:id="rId14" display="http://gmail.com/"/>
    <hyperlink ref="E4" r:id="rId15" display="https://www.youtube.com/watch?v=fK1_SH3X2ek&amp;amp;t=2m13s"/>
    <hyperlink ref="E5" r:id="rId16" display="http://paho.org/"/>
    <hyperlink ref="E6" r:id="rId17" display="http://www.paho.org/nmh"/>
    <hyperlink ref="G2" r:id="rId18" display="http://gmail.com/"/>
    <hyperlink ref="G3" r:id="rId19" display="https://m.facebook.com/Dr-Ehimare-486420321924941"/>
    <hyperlink ref="G4" r:id="rId20" display="http://solido2.co.za/"/>
    <hyperlink ref="G5" r:id="rId21" display="https://www.youtube.com/watch?v=LBkXQ_mBO3Q&amp;amp;t=0m50s"/>
    <hyperlink ref="G6" r:id="rId22" display="https://www.youtube.com/watch?v=LBkXQ_mBO3Q&amp;amp;t=1m05s"/>
    <hyperlink ref="I2" r:id="rId23" display="https://youtu.be/ar2UyGn27RU"/>
    <hyperlink ref="I3" r:id="rId24" display="https://www.youtube.com/watch?v=8nOuAUfXjzQ"/>
    <hyperlink ref="I4" r:id="rId25" display="https://www.youtube.com/watch?v=vpEAos0blyw&amp;amp;t=0m16s"/>
    <hyperlink ref="I5" r:id="rId26" display="https://www.youtube.com/watch?v=vpEAos0blyw&amp;amp;t=5m24s"/>
    <hyperlink ref="I6" r:id="rId27" display="https://www.youtube.com/watch?v=vpEAos0blyw&amp;amp;t=5m18s"/>
    <hyperlink ref="I7" r:id="rId28" display="http://gmail.com/"/>
    <hyperlink ref="I8" r:id="rId29" display="https://www.youtube.com/watch?v=vpEAos0blyw&amp;amp;t=12m33s"/>
    <hyperlink ref="M2" r:id="rId30" display="https://www.youtube.com/watch?v=HeOcduRiqyw&amp;amp;t=12m40s"/>
    <hyperlink ref="M3" r:id="rId31" display="https://www.youtube.com/watch?v=ggOqMncgemw&amp;amp;t=13m25s"/>
    <hyperlink ref="O2" r:id="rId32" display="https://youtu.be/sWTtD-aE-q8"/>
    <hyperlink ref="O3" r:id="rId33" display="https://www.facebook.com/kclpharmacy/"/>
    <hyperlink ref="O4" r:id="rId34" display="http://www.kclpharmacy.com/"/>
    <hyperlink ref="Q2" r:id="rId35" display="http://liulife.org/"/>
    <hyperlink ref="Q3" r:id="rId36" display="https://www.youtube.com/watch?v=iy-47a68P60&amp;amp;t=2m41s"/>
    <hyperlink ref="Q4" r:id="rId37" display="https://www.youtube.com/watch?v=iy-47a68P60&amp;amp;t=3m33s"/>
    <hyperlink ref="S2" r:id="rId38" display="https://youtu.be/cRB0pNL5Lmk"/>
  </hyperlinks>
  <printOptions/>
  <pageMargins left="0.7" right="0.7" top="0.75" bottom="0.75" header="0.3" footer="0.3"/>
  <pageSetup orientation="portrait" paperSize="9"/>
  <tableParts>
    <tablePart r:id="rId39"/>
    <tablePart r:id="rId40"/>
    <tablePart r:id="rId43"/>
    <tablePart r:id="rId42"/>
    <tablePart r:id="rId4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FB3E64-E35F-475C-BDD0-1721302BCB70}">
  <dimension ref="A25:B101"/>
  <sheetViews>
    <sheetView tabSelected="1" workbookViewId="0" topLeftCell="A1"/>
  </sheetViews>
  <sheetFormatPr defaultColWidth="9.140625" defaultRowHeight="15"/>
  <cols>
    <col min="1" max="1" width="13.140625" style="0" bestFit="1" customWidth="1"/>
    <col min="2" max="2" width="20.57421875" style="0" bestFit="1" customWidth="1"/>
  </cols>
  <sheetData>
    <row r="25" spans="1:2" ht="15">
      <c r="A25" s="117" t="s">
        <v>4591</v>
      </c>
      <c r="B25" t="s">
        <v>4590</v>
      </c>
    </row>
    <row r="26" spans="1:2" ht="15">
      <c r="A26" s="118" t="s">
        <v>4593</v>
      </c>
      <c r="B26" s="3">
        <v>1</v>
      </c>
    </row>
    <row r="27" spans="1:2" ht="15">
      <c r="A27" s="119" t="s">
        <v>4594</v>
      </c>
      <c r="B27" s="3">
        <v>1</v>
      </c>
    </row>
    <row r="28" spans="1:2" ht="15">
      <c r="A28" s="118" t="s">
        <v>4595</v>
      </c>
      <c r="B28" s="3">
        <v>4</v>
      </c>
    </row>
    <row r="29" spans="1:2" ht="15">
      <c r="A29" s="119" t="s">
        <v>4596</v>
      </c>
      <c r="B29" s="3">
        <v>2</v>
      </c>
    </row>
    <row r="30" spans="1:2" ht="15">
      <c r="A30" s="119" t="s">
        <v>4597</v>
      </c>
      <c r="B30" s="3">
        <v>2</v>
      </c>
    </row>
    <row r="31" spans="1:2" ht="15">
      <c r="A31" s="118" t="s">
        <v>4598</v>
      </c>
      <c r="B31" s="3">
        <v>1</v>
      </c>
    </row>
    <row r="32" spans="1:2" ht="15">
      <c r="A32" s="119" t="s">
        <v>4594</v>
      </c>
      <c r="B32" s="3">
        <v>1</v>
      </c>
    </row>
    <row r="33" spans="1:2" ht="15">
      <c r="A33" s="118" t="s">
        <v>4599</v>
      </c>
      <c r="B33" s="3">
        <v>2</v>
      </c>
    </row>
    <row r="34" spans="1:2" ht="15">
      <c r="A34" s="119" t="s">
        <v>4594</v>
      </c>
      <c r="B34" s="3">
        <v>1</v>
      </c>
    </row>
    <row r="35" spans="1:2" ht="15">
      <c r="A35" s="119" t="s">
        <v>4600</v>
      </c>
      <c r="B35" s="3">
        <v>1</v>
      </c>
    </row>
    <row r="36" spans="1:2" ht="15">
      <c r="A36" s="118" t="s">
        <v>4601</v>
      </c>
      <c r="B36" s="3">
        <v>13</v>
      </c>
    </row>
    <row r="37" spans="1:2" ht="15">
      <c r="A37" s="119" t="s">
        <v>4602</v>
      </c>
      <c r="B37" s="3">
        <v>6</v>
      </c>
    </row>
    <row r="38" spans="1:2" ht="15">
      <c r="A38" s="119" t="s">
        <v>4603</v>
      </c>
      <c r="B38" s="3">
        <v>1</v>
      </c>
    </row>
    <row r="39" spans="1:2" ht="15">
      <c r="A39" s="119" t="s">
        <v>4597</v>
      </c>
      <c r="B39" s="3">
        <v>4</v>
      </c>
    </row>
    <row r="40" spans="1:2" ht="15">
      <c r="A40" s="119" t="s">
        <v>4604</v>
      </c>
      <c r="B40" s="3">
        <v>1</v>
      </c>
    </row>
    <row r="41" spans="1:2" ht="15">
      <c r="A41" s="119" t="s">
        <v>4600</v>
      </c>
      <c r="B41" s="3">
        <v>1</v>
      </c>
    </row>
    <row r="42" spans="1:2" ht="15">
      <c r="A42" s="118" t="s">
        <v>4605</v>
      </c>
      <c r="B42" s="3">
        <v>18</v>
      </c>
    </row>
    <row r="43" spans="1:2" ht="15">
      <c r="A43" s="119" t="s">
        <v>4606</v>
      </c>
      <c r="B43" s="3">
        <v>1</v>
      </c>
    </row>
    <row r="44" spans="1:2" ht="15">
      <c r="A44" s="119" t="s">
        <v>4603</v>
      </c>
      <c r="B44" s="3">
        <v>1</v>
      </c>
    </row>
    <row r="45" spans="1:2" ht="15">
      <c r="A45" s="119" t="s">
        <v>4597</v>
      </c>
      <c r="B45" s="3">
        <v>11</v>
      </c>
    </row>
    <row r="46" spans="1:2" ht="15">
      <c r="A46" s="119" t="s">
        <v>4604</v>
      </c>
      <c r="B46" s="3">
        <v>2</v>
      </c>
    </row>
    <row r="47" spans="1:2" ht="15">
      <c r="A47" s="119" t="s">
        <v>4607</v>
      </c>
      <c r="B47" s="3">
        <v>3</v>
      </c>
    </row>
    <row r="48" spans="1:2" ht="15">
      <c r="A48" s="118" t="s">
        <v>4608</v>
      </c>
      <c r="B48" s="3">
        <v>33</v>
      </c>
    </row>
    <row r="49" spans="1:2" ht="15">
      <c r="A49" s="119" t="s">
        <v>4606</v>
      </c>
      <c r="B49" s="3">
        <v>2</v>
      </c>
    </row>
    <row r="50" spans="1:2" ht="15">
      <c r="A50" s="119" t="s">
        <v>4596</v>
      </c>
      <c r="B50" s="3">
        <v>3</v>
      </c>
    </row>
    <row r="51" spans="1:2" ht="15">
      <c r="A51" s="119" t="s">
        <v>4603</v>
      </c>
      <c r="B51" s="3">
        <v>4</v>
      </c>
    </row>
    <row r="52" spans="1:2" ht="15">
      <c r="A52" s="119" t="s">
        <v>4609</v>
      </c>
      <c r="B52" s="3">
        <v>1</v>
      </c>
    </row>
    <row r="53" spans="1:2" ht="15">
      <c r="A53" s="119" t="s">
        <v>4610</v>
      </c>
      <c r="B53" s="3">
        <v>14</v>
      </c>
    </row>
    <row r="54" spans="1:2" ht="15">
      <c r="A54" s="119" t="s">
        <v>4604</v>
      </c>
      <c r="B54" s="3">
        <v>5</v>
      </c>
    </row>
    <row r="55" spans="1:2" ht="15">
      <c r="A55" s="119" t="s">
        <v>4600</v>
      </c>
      <c r="B55" s="3">
        <v>2</v>
      </c>
    </row>
    <row r="56" spans="1:2" ht="15">
      <c r="A56" s="119" t="s">
        <v>4607</v>
      </c>
      <c r="B56" s="3">
        <v>2</v>
      </c>
    </row>
    <row r="57" spans="1:2" ht="15">
      <c r="A57" s="118" t="s">
        <v>4611</v>
      </c>
      <c r="B57" s="3">
        <v>41</v>
      </c>
    </row>
    <row r="58" spans="1:2" ht="15">
      <c r="A58" s="119" t="s">
        <v>4606</v>
      </c>
      <c r="B58" s="3">
        <v>5</v>
      </c>
    </row>
    <row r="59" spans="1:2" ht="15">
      <c r="A59" s="119" t="s">
        <v>4602</v>
      </c>
      <c r="B59" s="3">
        <v>7</v>
      </c>
    </row>
    <row r="60" spans="1:2" ht="15">
      <c r="A60" s="119" t="s">
        <v>4612</v>
      </c>
      <c r="B60" s="3">
        <v>1</v>
      </c>
    </row>
    <row r="61" spans="1:2" ht="15">
      <c r="A61" s="119" t="s">
        <v>4596</v>
      </c>
      <c r="B61" s="3">
        <v>5</v>
      </c>
    </row>
    <row r="62" spans="1:2" ht="15">
      <c r="A62" s="119" t="s">
        <v>4603</v>
      </c>
      <c r="B62" s="3">
        <v>7</v>
      </c>
    </row>
    <row r="63" spans="1:2" ht="15">
      <c r="A63" s="119" t="s">
        <v>4597</v>
      </c>
      <c r="B63" s="3">
        <v>4</v>
      </c>
    </row>
    <row r="64" spans="1:2" ht="15">
      <c r="A64" s="119" t="s">
        <v>4594</v>
      </c>
      <c r="B64" s="3">
        <v>1</v>
      </c>
    </row>
    <row r="65" spans="1:2" ht="15">
      <c r="A65" s="119" t="s">
        <v>4610</v>
      </c>
      <c r="B65" s="3">
        <v>3</v>
      </c>
    </row>
    <row r="66" spans="1:2" ht="15">
      <c r="A66" s="119" t="s">
        <v>4604</v>
      </c>
      <c r="B66" s="3">
        <v>3</v>
      </c>
    </row>
    <row r="67" spans="1:2" ht="15">
      <c r="A67" s="119" t="s">
        <v>4600</v>
      </c>
      <c r="B67" s="3">
        <v>3</v>
      </c>
    </row>
    <row r="68" spans="1:2" ht="15">
      <c r="A68" s="119" t="s">
        <v>4607</v>
      </c>
      <c r="B68" s="3">
        <v>2</v>
      </c>
    </row>
    <row r="69" spans="1:2" ht="15">
      <c r="A69" s="118" t="s">
        <v>3146</v>
      </c>
      <c r="B69" s="3">
        <v>144</v>
      </c>
    </row>
    <row r="70" spans="1:2" ht="15">
      <c r="A70" s="119" t="s">
        <v>4606</v>
      </c>
      <c r="B70" s="3">
        <v>5</v>
      </c>
    </row>
    <row r="71" spans="1:2" ht="15">
      <c r="A71" s="119" t="s">
        <v>4602</v>
      </c>
      <c r="B71" s="3">
        <v>11</v>
      </c>
    </row>
    <row r="72" spans="1:2" ht="15">
      <c r="A72" s="119" t="s">
        <v>4612</v>
      </c>
      <c r="B72" s="3">
        <v>5</v>
      </c>
    </row>
    <row r="73" spans="1:2" ht="15">
      <c r="A73" s="119" t="s">
        <v>4596</v>
      </c>
      <c r="B73" s="3">
        <v>24</v>
      </c>
    </row>
    <row r="74" spans="1:2" ht="15">
      <c r="A74" s="119" t="s">
        <v>4603</v>
      </c>
      <c r="B74" s="3">
        <v>39</v>
      </c>
    </row>
    <row r="75" spans="1:2" ht="15">
      <c r="A75" s="119" t="s">
        <v>4597</v>
      </c>
      <c r="B75" s="3">
        <v>6</v>
      </c>
    </row>
    <row r="76" spans="1:2" ht="15">
      <c r="A76" s="119" t="s">
        <v>4609</v>
      </c>
      <c r="B76" s="3">
        <v>2</v>
      </c>
    </row>
    <row r="77" spans="1:2" ht="15">
      <c r="A77" s="119" t="s">
        <v>4610</v>
      </c>
      <c r="B77" s="3">
        <v>7</v>
      </c>
    </row>
    <row r="78" spans="1:2" ht="15">
      <c r="A78" s="119" t="s">
        <v>4604</v>
      </c>
      <c r="B78" s="3">
        <v>7</v>
      </c>
    </row>
    <row r="79" spans="1:2" ht="15">
      <c r="A79" s="119" t="s">
        <v>4600</v>
      </c>
      <c r="B79" s="3">
        <v>26</v>
      </c>
    </row>
    <row r="80" spans="1:2" ht="15">
      <c r="A80" s="119" t="s">
        <v>4607</v>
      </c>
      <c r="B80" s="3">
        <v>12</v>
      </c>
    </row>
    <row r="81" spans="1:2" ht="15">
      <c r="A81" s="118" t="s">
        <v>3133</v>
      </c>
      <c r="B81" s="3">
        <v>374</v>
      </c>
    </row>
    <row r="82" spans="1:2" ht="15">
      <c r="A82" s="119" t="s">
        <v>4606</v>
      </c>
      <c r="B82" s="3">
        <v>9</v>
      </c>
    </row>
    <row r="83" spans="1:2" ht="15">
      <c r="A83" s="119" t="s">
        <v>4602</v>
      </c>
      <c r="B83" s="3">
        <v>21</v>
      </c>
    </row>
    <row r="84" spans="1:2" ht="15">
      <c r="A84" s="119" t="s">
        <v>4612</v>
      </c>
      <c r="B84" s="3">
        <v>29</v>
      </c>
    </row>
    <row r="85" spans="1:2" ht="15">
      <c r="A85" s="119" t="s">
        <v>4596</v>
      </c>
      <c r="B85" s="3">
        <v>84</v>
      </c>
    </row>
    <row r="86" spans="1:2" ht="15">
      <c r="A86" s="119" t="s">
        <v>4603</v>
      </c>
      <c r="B86" s="3">
        <v>33</v>
      </c>
    </row>
    <row r="87" spans="1:2" ht="15">
      <c r="A87" s="119" t="s">
        <v>4597</v>
      </c>
      <c r="B87" s="3">
        <v>30</v>
      </c>
    </row>
    <row r="88" spans="1:2" ht="15">
      <c r="A88" s="119" t="s">
        <v>4594</v>
      </c>
      <c r="B88" s="3">
        <v>22</v>
      </c>
    </row>
    <row r="89" spans="1:2" ht="15">
      <c r="A89" s="119" t="s">
        <v>4609</v>
      </c>
      <c r="B89" s="3">
        <v>18</v>
      </c>
    </row>
    <row r="90" spans="1:2" ht="15">
      <c r="A90" s="119" t="s">
        <v>4610</v>
      </c>
      <c r="B90" s="3">
        <v>42</v>
      </c>
    </row>
    <row r="91" spans="1:2" ht="15">
      <c r="A91" s="119" t="s">
        <v>4604</v>
      </c>
      <c r="B91" s="3">
        <v>39</v>
      </c>
    </row>
    <row r="92" spans="1:2" ht="15">
      <c r="A92" s="119" t="s">
        <v>4600</v>
      </c>
      <c r="B92" s="3">
        <v>26</v>
      </c>
    </row>
    <row r="93" spans="1:2" ht="15">
      <c r="A93" s="119" t="s">
        <v>4607</v>
      </c>
      <c r="B93" s="3">
        <v>21</v>
      </c>
    </row>
    <row r="94" spans="1:2" ht="15">
      <c r="A94" s="118" t="s">
        <v>2837</v>
      </c>
      <c r="B94" s="3">
        <v>180</v>
      </c>
    </row>
    <row r="95" spans="1:2" ht="15">
      <c r="A95" s="119" t="s">
        <v>4606</v>
      </c>
      <c r="B95" s="3">
        <v>29</v>
      </c>
    </row>
    <row r="96" spans="1:2" ht="15">
      <c r="A96" s="119" t="s">
        <v>4602</v>
      </c>
      <c r="B96" s="3">
        <v>31</v>
      </c>
    </row>
    <row r="97" spans="1:2" ht="15">
      <c r="A97" s="119" t="s">
        <v>4612</v>
      </c>
      <c r="B97" s="3">
        <v>30</v>
      </c>
    </row>
    <row r="98" spans="1:2" ht="15">
      <c r="A98" s="119" t="s">
        <v>4596</v>
      </c>
      <c r="B98" s="3">
        <v>40</v>
      </c>
    </row>
    <row r="99" spans="1:2" ht="15">
      <c r="A99" s="119" t="s">
        <v>4603</v>
      </c>
      <c r="B99" s="3">
        <v>40</v>
      </c>
    </row>
    <row r="100" spans="1:2" ht="15">
      <c r="A100" s="119" t="s">
        <v>4597</v>
      </c>
      <c r="B100" s="3">
        <v>10</v>
      </c>
    </row>
    <row r="101" spans="1:2" ht="15">
      <c r="A101" s="118" t="s">
        <v>4592</v>
      </c>
      <c r="B101" s="3">
        <v>811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63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7.28125" style="2" bestFit="1" customWidth="1"/>
    <col min="31" max="31" width="13.421875" style="3" bestFit="1" customWidth="1"/>
    <col min="32" max="32" width="12.8515625" style="3" bestFit="1" customWidth="1"/>
    <col min="33" max="33" width="16.421875" style="3" bestFit="1" customWidth="1"/>
    <col min="34" max="34" width="14.28125" style="3" bestFit="1" customWidth="1"/>
    <col min="35" max="35" width="10.00390625" style="0" bestFit="1" customWidth="1"/>
    <col min="36" max="36" width="14.57421875" style="0" bestFit="1" customWidth="1"/>
    <col min="37" max="37" width="12.7109375" style="0" bestFit="1" customWidth="1"/>
    <col min="38" max="38" width="8.57421875" style="0" bestFit="1" customWidth="1"/>
    <col min="39" max="39" width="12.00390625" style="0" bestFit="1" customWidth="1"/>
    <col min="40" max="40" width="12.57421875" style="0" bestFit="1" customWidth="1"/>
    <col min="41" max="41" width="19.7109375" style="0" bestFit="1" customWidth="1"/>
    <col min="42" max="42" width="8.57421875" style="0" bestFit="1" customWidth="1"/>
    <col min="43" max="43" width="10.421875" style="0" bestFit="1" customWidth="1"/>
    <col min="45" max="46" width="15.7109375" style="0" bestFit="1" customWidth="1"/>
    <col min="47" max="47" width="9.7109375" style="0" bestFit="1" customWidth="1"/>
    <col min="48" max="48" width="19.7109375" style="0" bestFit="1" customWidth="1"/>
    <col min="49" max="49" width="24.28125" style="0" bestFit="1" customWidth="1"/>
    <col min="50" max="50" width="19.7109375" style="0" bestFit="1" customWidth="1"/>
    <col min="51" max="51" width="24.28125" style="0" bestFit="1" customWidth="1"/>
    <col min="52" max="52" width="19.7109375" style="0" bestFit="1" customWidth="1"/>
    <col min="53" max="53" width="24.28125" style="0" bestFit="1" customWidth="1"/>
    <col min="54" max="54" width="18.57421875" style="0" bestFit="1" customWidth="1"/>
    <col min="55" max="55" width="22.28125" style="0" bestFit="1" customWidth="1"/>
    <col min="56" max="56" width="17.421875" style="0" bestFit="1" customWidth="1"/>
    <col min="57" max="58" width="19.28125" style="0" bestFit="1" customWidth="1"/>
    <col min="59" max="59" width="20.57421875" style="0" bestFit="1" customWidth="1"/>
    <col min="60" max="60" width="22.7109375" style="0" bestFit="1" customWidth="1"/>
    <col min="61" max="61" width="20.57421875" style="0" bestFit="1" customWidth="1"/>
    <col min="62" max="62" width="22.7109375" style="0" bestFit="1" customWidth="1"/>
    <col min="63" max="63" width="20.57421875" style="0" bestFit="1" customWidth="1"/>
    <col min="64" max="64" width="22.7109375" style="0" bestFit="1" customWidth="1"/>
    <col min="65" max="65" width="20.57421875" style="0" bestFit="1" customWidth="1"/>
    <col min="66" max="66" width="22.71093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68"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2391</v>
      </c>
      <c r="AE2" s="13" t="s">
        <v>2392</v>
      </c>
      <c r="AF2" s="13" t="s">
        <v>200</v>
      </c>
      <c r="AG2" s="13" t="s">
        <v>201</v>
      </c>
      <c r="AH2" s="13" t="s">
        <v>202</v>
      </c>
      <c r="AI2" s="13" t="s">
        <v>2393</v>
      </c>
      <c r="AJ2" s="13" t="s">
        <v>208</v>
      </c>
      <c r="AK2" s="13" t="s">
        <v>2394</v>
      </c>
      <c r="AL2" s="13" t="s">
        <v>2395</v>
      </c>
      <c r="AM2" s="13" t="s">
        <v>2396</v>
      </c>
      <c r="AN2" s="13" t="s">
        <v>2397</v>
      </c>
      <c r="AO2" s="13" t="s">
        <v>2398</v>
      </c>
      <c r="AP2" s="13" t="s">
        <v>2399</v>
      </c>
      <c r="AQ2" s="13" t="s">
        <v>2400</v>
      </c>
      <c r="AR2" s="13" t="s">
        <v>2401</v>
      </c>
      <c r="AS2" s="13" t="s">
        <v>2402</v>
      </c>
      <c r="AT2" s="13" t="s">
        <v>2403</v>
      </c>
      <c r="AU2" s="13" t="s">
        <v>2703</v>
      </c>
      <c r="AV2" s="113" t="s">
        <v>3375</v>
      </c>
      <c r="AW2" s="113" t="s">
        <v>3376</v>
      </c>
      <c r="AX2" s="113" t="s">
        <v>3377</v>
      </c>
      <c r="AY2" s="113" t="s">
        <v>3378</v>
      </c>
      <c r="AZ2" s="113" t="s">
        <v>3379</v>
      </c>
      <c r="BA2" s="113" t="s">
        <v>3380</v>
      </c>
      <c r="BB2" s="113" t="s">
        <v>3381</v>
      </c>
      <c r="BC2" s="113" t="s">
        <v>3382</v>
      </c>
      <c r="BD2" s="113" t="s">
        <v>3384</v>
      </c>
      <c r="BE2" s="113" t="s">
        <v>3657</v>
      </c>
      <c r="BF2" s="113" t="s">
        <v>3663</v>
      </c>
      <c r="BG2" s="113" t="s">
        <v>3664</v>
      </c>
      <c r="BH2" s="113" t="s">
        <v>3667</v>
      </c>
      <c r="BI2" s="113" t="s">
        <v>3668</v>
      </c>
      <c r="BJ2" s="113" t="s">
        <v>3669</v>
      </c>
      <c r="BK2" s="113" t="s">
        <v>3670</v>
      </c>
      <c r="BL2" s="113" t="s">
        <v>4119</v>
      </c>
      <c r="BM2" s="113" t="s">
        <v>4146</v>
      </c>
      <c r="BN2" s="113" t="s">
        <v>4577</v>
      </c>
      <c r="BO2" s="3"/>
      <c r="BP2" s="3"/>
    </row>
    <row r="3" spans="1:68" ht="15" customHeight="1">
      <c r="A3" s="65" t="s">
        <v>843</v>
      </c>
      <c r="B3" s="66"/>
      <c r="C3" s="66"/>
      <c r="D3" s="67">
        <v>150</v>
      </c>
      <c r="E3" s="69"/>
      <c r="F3" s="103" t="str">
        <f>HYPERLINK("https://yt3.ggpht.com/ytc/AAUvwnjukVU73NbSJlaGeYe5Vuam_fdfLco1RzkwRA=s88-c-k-c0x00ffffff-no-rj")</f>
        <v>https://yt3.ggpht.com/ytc/AAUvwnjukVU73NbSJlaGeYe5Vuam_fdfLco1RzkwRA=s88-c-k-c0x00ffffff-no-rj</v>
      </c>
      <c r="G3" s="66"/>
      <c r="H3" s="70" t="s">
        <v>2184</v>
      </c>
      <c r="I3" s="71"/>
      <c r="J3" s="71" t="s">
        <v>159</v>
      </c>
      <c r="K3" s="70" t="s">
        <v>2184</v>
      </c>
      <c r="L3" s="74">
        <v>1</v>
      </c>
      <c r="M3" s="75">
        <v>6143.5478515625</v>
      </c>
      <c r="N3" s="75">
        <v>2109.61572265625</v>
      </c>
      <c r="O3" s="76"/>
      <c r="P3" s="77"/>
      <c r="Q3" s="77"/>
      <c r="R3" s="49"/>
      <c r="S3" s="49">
        <v>0</v>
      </c>
      <c r="T3" s="49">
        <v>1</v>
      </c>
      <c r="U3" s="50">
        <v>0</v>
      </c>
      <c r="V3" s="50">
        <v>0.02</v>
      </c>
      <c r="W3" s="50">
        <v>0</v>
      </c>
      <c r="X3" s="50">
        <v>0.548606</v>
      </c>
      <c r="Y3" s="50">
        <v>0</v>
      </c>
      <c r="Z3" s="50">
        <v>0</v>
      </c>
      <c r="AA3" s="72">
        <v>3</v>
      </c>
      <c r="AB3" s="72"/>
      <c r="AC3" s="73"/>
      <c r="AD3" s="80" t="s">
        <v>2184</v>
      </c>
      <c r="AE3" s="80"/>
      <c r="AF3" s="80"/>
      <c r="AG3" s="80"/>
      <c r="AH3" s="80"/>
      <c r="AI3" s="80"/>
      <c r="AJ3" s="87">
        <v>42953.77460648148</v>
      </c>
      <c r="AK3" s="85" t="str">
        <f>HYPERLINK("https://yt3.ggpht.com/ytc/AAUvwnjukVU73NbSJlaGeYe5Vuam_fdfLco1RzkwRA=s88-c-k-c0x00ffffff-no-rj")</f>
        <v>https://yt3.ggpht.com/ytc/AAUvwnjukVU73NbSJlaGeYe5Vuam_fdfLco1RzkwRA=s88-c-k-c0x00ffffff-no-rj</v>
      </c>
      <c r="AL3" s="80">
        <v>0</v>
      </c>
      <c r="AM3" s="80">
        <v>0</v>
      </c>
      <c r="AN3" s="80">
        <v>0</v>
      </c>
      <c r="AO3" s="80" t="b">
        <v>0</v>
      </c>
      <c r="AP3" s="80">
        <v>0</v>
      </c>
      <c r="AQ3" s="80"/>
      <c r="AR3" s="80"/>
      <c r="AS3" s="80" t="s">
        <v>2664</v>
      </c>
      <c r="AT3" s="85" t="str">
        <f>HYPERLINK("https://www.youtube.com/channel/UC4zL7THUNhJldxCMKv2v4kQ")</f>
        <v>https://www.youtube.com/channel/UC4zL7THUNhJldxCMKv2v4kQ</v>
      </c>
      <c r="AU3" s="80" t="str">
        <f>REPLACE(INDEX(GroupVertices[Group],MATCH(Vertices[[#This Row],[Vertex]],GroupVertices[Vertex],0)),1,1,"")</f>
        <v>9</v>
      </c>
      <c r="AV3" s="49">
        <v>0</v>
      </c>
      <c r="AW3" s="50">
        <v>0</v>
      </c>
      <c r="AX3" s="49">
        <v>0</v>
      </c>
      <c r="AY3" s="50">
        <v>0</v>
      </c>
      <c r="AZ3" s="49">
        <v>0</v>
      </c>
      <c r="BA3" s="50">
        <v>0</v>
      </c>
      <c r="BB3" s="49">
        <v>11</v>
      </c>
      <c r="BC3" s="50">
        <v>100</v>
      </c>
      <c r="BD3" s="49">
        <v>11</v>
      </c>
      <c r="BE3" s="49"/>
      <c r="BF3" s="49"/>
      <c r="BG3" s="49"/>
      <c r="BH3" s="49"/>
      <c r="BI3" s="49"/>
      <c r="BJ3" s="49"/>
      <c r="BK3" s="111" t="s">
        <v>3671</v>
      </c>
      <c r="BL3" s="111" t="s">
        <v>3671</v>
      </c>
      <c r="BM3" s="111" t="s">
        <v>4147</v>
      </c>
      <c r="BN3" s="111" t="s">
        <v>4147</v>
      </c>
      <c r="BO3" s="3"/>
      <c r="BP3" s="3"/>
    </row>
    <row r="4" spans="1:71" ht="15">
      <c r="A4" s="65" t="s">
        <v>223</v>
      </c>
      <c r="B4" s="66"/>
      <c r="C4" s="66"/>
      <c r="D4" s="67">
        <v>1000</v>
      </c>
      <c r="E4" s="69"/>
      <c r="F4" s="103" t="str">
        <f>HYPERLINK("https://yt3.ggpht.com/ytc/AAUvwngeOe1W7ESIwFFcqNWiK0e6Bt4AMxRLFlhAfkr7uQ=s88-c-k-c0x00ffffff-no-rj")</f>
        <v>https://yt3.ggpht.com/ytc/AAUvwngeOe1W7ESIwFFcqNWiK0e6Bt4AMxRLFlhAfkr7uQ=s88-c-k-c0x00ffffff-no-rj</v>
      </c>
      <c r="G4" s="66"/>
      <c r="H4" s="70" t="s">
        <v>1582</v>
      </c>
      <c r="I4" s="71"/>
      <c r="J4" s="71" t="s">
        <v>75</v>
      </c>
      <c r="K4" s="70" t="s">
        <v>1582</v>
      </c>
      <c r="L4" s="74">
        <v>2381.4761904761904</v>
      </c>
      <c r="M4" s="75">
        <v>6159.4287109375</v>
      </c>
      <c r="N4" s="75">
        <v>2866.25244140625</v>
      </c>
      <c r="O4" s="76"/>
      <c r="P4" s="77"/>
      <c r="Q4" s="77"/>
      <c r="R4" s="89"/>
      <c r="S4" s="49">
        <v>25</v>
      </c>
      <c r="T4" s="49">
        <v>2</v>
      </c>
      <c r="U4" s="50">
        <v>598</v>
      </c>
      <c r="V4" s="50">
        <v>0.038462</v>
      </c>
      <c r="W4" s="50">
        <v>0</v>
      </c>
      <c r="X4" s="50">
        <v>11.723705</v>
      </c>
      <c r="Y4" s="50">
        <v>0</v>
      </c>
      <c r="Z4" s="50">
        <v>0.041666666666666664</v>
      </c>
      <c r="AA4" s="72">
        <v>4</v>
      </c>
      <c r="AB4" s="72"/>
      <c r="AC4" s="73"/>
      <c r="AD4" s="80" t="s">
        <v>1582</v>
      </c>
      <c r="AE4" s="80" t="s">
        <v>2422</v>
      </c>
      <c r="AF4" s="80"/>
      <c r="AG4" s="80"/>
      <c r="AH4" s="80"/>
      <c r="AI4" s="80" t="s">
        <v>2630</v>
      </c>
      <c r="AJ4" s="87">
        <v>43059.3884837963</v>
      </c>
      <c r="AK4" s="85" t="str">
        <f>HYPERLINK("https://yt3.ggpht.com/ytc/AAUvwngeOe1W7ESIwFFcqNWiK0e6Bt4AMxRLFlhAfkr7uQ=s88-c-k-c0x00ffffff-no-rj")</f>
        <v>https://yt3.ggpht.com/ytc/AAUvwngeOe1W7ESIwFFcqNWiK0e6Bt4AMxRLFlhAfkr7uQ=s88-c-k-c0x00ffffff-no-rj</v>
      </c>
      <c r="AL4" s="80">
        <v>15195829</v>
      </c>
      <c r="AM4" s="80">
        <v>0</v>
      </c>
      <c r="AN4" s="80">
        <v>199000</v>
      </c>
      <c r="AO4" s="80" t="b">
        <v>0</v>
      </c>
      <c r="AP4" s="80">
        <v>1086</v>
      </c>
      <c r="AQ4" s="80"/>
      <c r="AR4" s="80"/>
      <c r="AS4" s="80" t="s">
        <v>2664</v>
      </c>
      <c r="AT4" s="85" t="str">
        <f>HYPERLINK("https://www.youtube.com/channel/UCmmMbh6_u2aj20gWrGceXqg")</f>
        <v>https://www.youtube.com/channel/UCmmMbh6_u2aj20gWrGceXqg</v>
      </c>
      <c r="AU4" s="80" t="str">
        <f>REPLACE(INDEX(GroupVertices[Group],MATCH(Vertices[[#This Row],[Vertex]],GroupVertices[Vertex],0)),1,1,"")</f>
        <v>9</v>
      </c>
      <c r="AV4" s="49">
        <v>0</v>
      </c>
      <c r="AW4" s="50">
        <v>0</v>
      </c>
      <c r="AX4" s="49">
        <v>0</v>
      </c>
      <c r="AY4" s="50">
        <v>0</v>
      </c>
      <c r="AZ4" s="49">
        <v>0</v>
      </c>
      <c r="BA4" s="50">
        <v>0</v>
      </c>
      <c r="BB4" s="49">
        <v>16</v>
      </c>
      <c r="BC4" s="50">
        <v>100</v>
      </c>
      <c r="BD4" s="49">
        <v>16</v>
      </c>
      <c r="BE4" s="49" t="s">
        <v>3470</v>
      </c>
      <c r="BF4" s="49" t="s">
        <v>3470</v>
      </c>
      <c r="BG4" s="49" t="s">
        <v>3488</v>
      </c>
      <c r="BH4" s="49" t="s">
        <v>3488</v>
      </c>
      <c r="BI4" s="49"/>
      <c r="BJ4" s="49"/>
      <c r="BK4" s="111" t="s">
        <v>3672</v>
      </c>
      <c r="BL4" s="111" t="s">
        <v>3672</v>
      </c>
      <c r="BM4" s="111" t="s">
        <v>4148</v>
      </c>
      <c r="BN4" s="111" t="s">
        <v>4148</v>
      </c>
      <c r="BO4" s="2"/>
      <c r="BP4" s="3"/>
      <c r="BQ4" s="3"/>
      <c r="BR4" s="3"/>
      <c r="BS4" s="3"/>
    </row>
    <row r="5" spans="1:71" ht="15">
      <c r="A5" s="65" t="s">
        <v>213</v>
      </c>
      <c r="B5" s="66"/>
      <c r="C5" s="66"/>
      <c r="D5" s="67">
        <v>150</v>
      </c>
      <c r="E5" s="69"/>
      <c r="F5" s="103" t="str">
        <f>HYPERLINK("https://yt3.ggpht.com/ytc/AAUvwnhYyn2fS6-jDDls1fxGgh_xD4Kv2mPXoisjPU9gHg=s88-c-k-c0x00ffffff-no-rj")</f>
        <v>https://yt3.ggpht.com/ytc/AAUvwnhYyn2fS6-jDDls1fxGgh_xD4Kv2mPXoisjPU9gHg=s88-c-k-c0x00ffffff-no-rj</v>
      </c>
      <c r="G5" s="66"/>
      <c r="H5" s="70" t="s">
        <v>1572</v>
      </c>
      <c r="I5" s="71"/>
      <c r="J5" s="71" t="s">
        <v>159</v>
      </c>
      <c r="K5" s="70" t="s">
        <v>1572</v>
      </c>
      <c r="L5" s="74">
        <v>1</v>
      </c>
      <c r="M5" s="75">
        <v>6973.82470703125</v>
      </c>
      <c r="N5" s="75">
        <v>2887.37451171875</v>
      </c>
      <c r="O5" s="76"/>
      <c r="P5" s="77"/>
      <c r="Q5" s="77"/>
      <c r="R5" s="89"/>
      <c r="S5" s="49">
        <v>0</v>
      </c>
      <c r="T5" s="49">
        <v>1</v>
      </c>
      <c r="U5" s="50">
        <v>0</v>
      </c>
      <c r="V5" s="50">
        <v>0.02</v>
      </c>
      <c r="W5" s="50">
        <v>0</v>
      </c>
      <c r="X5" s="50">
        <v>0.548606</v>
      </c>
      <c r="Y5" s="50">
        <v>0</v>
      </c>
      <c r="Z5" s="50">
        <v>0</v>
      </c>
      <c r="AA5" s="72">
        <v>5</v>
      </c>
      <c r="AB5" s="72"/>
      <c r="AC5" s="73"/>
      <c r="AD5" s="80" t="s">
        <v>1572</v>
      </c>
      <c r="AE5" s="80"/>
      <c r="AF5" s="80"/>
      <c r="AG5" s="80"/>
      <c r="AH5" s="80"/>
      <c r="AI5" s="80"/>
      <c r="AJ5" s="87">
        <v>41971.262037037035</v>
      </c>
      <c r="AK5" s="85" t="str">
        <f>HYPERLINK("https://yt3.ggpht.com/ytc/AAUvwnhYyn2fS6-jDDls1fxGgh_xD4Kv2mPXoisjPU9gHg=s88-c-k-c0x00ffffff-no-rj")</f>
        <v>https://yt3.ggpht.com/ytc/AAUvwnhYyn2fS6-jDDls1fxGgh_xD4Kv2mPXoisjPU9gHg=s88-c-k-c0x00ffffff-no-rj</v>
      </c>
      <c r="AL5" s="80">
        <v>0</v>
      </c>
      <c r="AM5" s="80">
        <v>0</v>
      </c>
      <c r="AN5" s="80">
        <v>0</v>
      </c>
      <c r="AO5" s="80" t="b">
        <v>0</v>
      </c>
      <c r="AP5" s="80">
        <v>0</v>
      </c>
      <c r="AQ5" s="80"/>
      <c r="AR5" s="80"/>
      <c r="AS5" s="80" t="s">
        <v>2664</v>
      </c>
      <c r="AT5" s="85" t="str">
        <f>HYPERLINK("https://www.youtube.com/channel/UChdCBVkVOVEZC1LjXC1bQKA")</f>
        <v>https://www.youtube.com/channel/UChdCBVkVOVEZC1LjXC1bQKA</v>
      </c>
      <c r="AU5" s="80" t="str">
        <f>REPLACE(INDEX(GroupVertices[Group],MATCH(Vertices[[#This Row],[Vertex]],GroupVertices[Vertex],0)),1,1,"")</f>
        <v>9</v>
      </c>
      <c r="AV5" s="49">
        <v>1</v>
      </c>
      <c r="AW5" s="50">
        <v>14.285714285714286</v>
      </c>
      <c r="AX5" s="49">
        <v>0</v>
      </c>
      <c r="AY5" s="50">
        <v>0</v>
      </c>
      <c r="AZ5" s="49">
        <v>0</v>
      </c>
      <c r="BA5" s="50">
        <v>0</v>
      </c>
      <c r="BB5" s="49">
        <v>6</v>
      </c>
      <c r="BC5" s="50">
        <v>85.71428571428571</v>
      </c>
      <c r="BD5" s="49">
        <v>7</v>
      </c>
      <c r="BE5" s="49"/>
      <c r="BF5" s="49"/>
      <c r="BG5" s="49"/>
      <c r="BH5" s="49"/>
      <c r="BI5" s="49"/>
      <c r="BJ5" s="49"/>
      <c r="BK5" s="111" t="s">
        <v>3673</v>
      </c>
      <c r="BL5" s="111" t="s">
        <v>3673</v>
      </c>
      <c r="BM5" s="111" t="s">
        <v>4149</v>
      </c>
      <c r="BN5" s="111" t="s">
        <v>4149</v>
      </c>
      <c r="BO5" s="2"/>
      <c r="BP5" s="3"/>
      <c r="BQ5" s="3"/>
      <c r="BR5" s="3"/>
      <c r="BS5" s="3"/>
    </row>
    <row r="6" spans="1:71" ht="15">
      <c r="A6" s="65" t="s">
        <v>214</v>
      </c>
      <c r="B6" s="66"/>
      <c r="C6" s="66"/>
      <c r="D6" s="67">
        <v>150</v>
      </c>
      <c r="E6" s="69"/>
      <c r="F6" s="103" t="str">
        <f>HYPERLINK("https://yt3.ggpht.com/ytc/AAUvwnijk7uJO5tXqCeyxZB8xjft4wlPpgaPQ-AJpA=s88-c-k-c0x00ffffff-no-rj")</f>
        <v>https://yt3.ggpht.com/ytc/AAUvwnijk7uJO5tXqCeyxZB8xjft4wlPpgaPQ-AJpA=s88-c-k-c0x00ffffff-no-rj</v>
      </c>
      <c r="G6" s="66"/>
      <c r="H6" s="70" t="s">
        <v>1573</v>
      </c>
      <c r="I6" s="71"/>
      <c r="J6" s="71" t="s">
        <v>159</v>
      </c>
      <c r="K6" s="70" t="s">
        <v>1573</v>
      </c>
      <c r="L6" s="74">
        <v>1</v>
      </c>
      <c r="M6" s="75">
        <v>6186.03271484375</v>
      </c>
      <c r="N6" s="75">
        <v>3404.6982421875</v>
      </c>
      <c r="O6" s="76"/>
      <c r="P6" s="77"/>
      <c r="Q6" s="77"/>
      <c r="R6" s="89"/>
      <c r="S6" s="49">
        <v>0</v>
      </c>
      <c r="T6" s="49">
        <v>1</v>
      </c>
      <c r="U6" s="50">
        <v>0</v>
      </c>
      <c r="V6" s="50">
        <v>0.02</v>
      </c>
      <c r="W6" s="50">
        <v>0</v>
      </c>
      <c r="X6" s="50">
        <v>0.548606</v>
      </c>
      <c r="Y6" s="50">
        <v>0</v>
      </c>
      <c r="Z6" s="50">
        <v>0</v>
      </c>
      <c r="AA6" s="72">
        <v>6</v>
      </c>
      <c r="AB6" s="72"/>
      <c r="AC6" s="73"/>
      <c r="AD6" s="80" t="s">
        <v>1573</v>
      </c>
      <c r="AE6" s="80"/>
      <c r="AF6" s="80"/>
      <c r="AG6" s="80"/>
      <c r="AH6" s="80"/>
      <c r="AI6" s="80"/>
      <c r="AJ6" s="87">
        <v>43795.77914351852</v>
      </c>
      <c r="AK6" s="85" t="str">
        <f>HYPERLINK("https://yt3.ggpht.com/ytc/AAUvwnijk7uJO5tXqCeyxZB8xjft4wlPpgaPQ-AJpA=s88-c-k-c0x00ffffff-no-rj")</f>
        <v>https://yt3.ggpht.com/ytc/AAUvwnijk7uJO5tXqCeyxZB8xjft4wlPpgaPQ-AJpA=s88-c-k-c0x00ffffff-no-rj</v>
      </c>
      <c r="AL6" s="80">
        <v>0</v>
      </c>
      <c r="AM6" s="80">
        <v>0</v>
      </c>
      <c r="AN6" s="80">
        <v>2</v>
      </c>
      <c r="AO6" s="80" t="b">
        <v>0</v>
      </c>
      <c r="AP6" s="80">
        <v>0</v>
      </c>
      <c r="AQ6" s="80"/>
      <c r="AR6" s="80"/>
      <c r="AS6" s="80" t="s">
        <v>2664</v>
      </c>
      <c r="AT6" s="85" t="str">
        <f>HYPERLINK("https://www.youtube.com/channel/UCg8fNMPdpfyWTaK4RkbHIww")</f>
        <v>https://www.youtube.com/channel/UCg8fNMPdpfyWTaK4RkbHIww</v>
      </c>
      <c r="AU6" s="80" t="str">
        <f>REPLACE(INDEX(GroupVertices[Group],MATCH(Vertices[[#This Row],[Vertex]],GroupVertices[Vertex],0)),1,1,"")</f>
        <v>9</v>
      </c>
      <c r="AV6" s="49">
        <v>1</v>
      </c>
      <c r="AW6" s="50">
        <v>33.333333333333336</v>
      </c>
      <c r="AX6" s="49">
        <v>0</v>
      </c>
      <c r="AY6" s="50">
        <v>0</v>
      </c>
      <c r="AZ6" s="49">
        <v>0</v>
      </c>
      <c r="BA6" s="50">
        <v>0</v>
      </c>
      <c r="BB6" s="49">
        <v>2</v>
      </c>
      <c r="BC6" s="50">
        <v>66.66666666666667</v>
      </c>
      <c r="BD6" s="49">
        <v>3</v>
      </c>
      <c r="BE6" s="49"/>
      <c r="BF6" s="49"/>
      <c r="BG6" s="49"/>
      <c r="BH6" s="49"/>
      <c r="BI6" s="49"/>
      <c r="BJ6" s="49"/>
      <c r="BK6" s="111" t="s">
        <v>2736</v>
      </c>
      <c r="BL6" s="111" t="s">
        <v>2736</v>
      </c>
      <c r="BM6" s="111" t="s">
        <v>2390</v>
      </c>
      <c r="BN6" s="111" t="s">
        <v>2390</v>
      </c>
      <c r="BO6" s="2"/>
      <c r="BP6" s="3"/>
      <c r="BQ6" s="3"/>
      <c r="BR6" s="3"/>
      <c r="BS6" s="3"/>
    </row>
    <row r="7" spans="1:71" ht="15">
      <c r="A7" s="65" t="s">
        <v>215</v>
      </c>
      <c r="B7" s="66"/>
      <c r="C7" s="66"/>
      <c r="D7" s="67">
        <v>150</v>
      </c>
      <c r="E7" s="69"/>
      <c r="F7" s="103" t="str">
        <f>HYPERLINK("https://yt3.ggpht.com/ytc/AAUvwngbu4VTDB4IgpioEWjYdzzjda1XERowx-GjCA=s88-c-k-c0x00ffffff-no-rj")</f>
        <v>https://yt3.ggpht.com/ytc/AAUvwngbu4VTDB4IgpioEWjYdzzjda1XERowx-GjCA=s88-c-k-c0x00ffffff-no-rj</v>
      </c>
      <c r="G7" s="66"/>
      <c r="H7" s="70" t="s">
        <v>1574</v>
      </c>
      <c r="I7" s="71"/>
      <c r="J7" s="71" t="s">
        <v>159</v>
      </c>
      <c r="K7" s="70" t="s">
        <v>1574</v>
      </c>
      <c r="L7" s="74">
        <v>1</v>
      </c>
      <c r="M7" s="75">
        <v>6731.45361328125</v>
      </c>
      <c r="N7" s="75">
        <v>2308.59130859375</v>
      </c>
      <c r="O7" s="76"/>
      <c r="P7" s="77"/>
      <c r="Q7" s="77"/>
      <c r="R7" s="89"/>
      <c r="S7" s="49">
        <v>0</v>
      </c>
      <c r="T7" s="49">
        <v>1</v>
      </c>
      <c r="U7" s="50">
        <v>0</v>
      </c>
      <c r="V7" s="50">
        <v>0.02</v>
      </c>
      <c r="W7" s="50">
        <v>0</v>
      </c>
      <c r="X7" s="50">
        <v>0.548606</v>
      </c>
      <c r="Y7" s="50">
        <v>0</v>
      </c>
      <c r="Z7" s="50">
        <v>0</v>
      </c>
      <c r="AA7" s="72">
        <v>7</v>
      </c>
      <c r="AB7" s="72"/>
      <c r="AC7" s="73"/>
      <c r="AD7" s="80" t="s">
        <v>1574</v>
      </c>
      <c r="AE7" s="80"/>
      <c r="AF7" s="80"/>
      <c r="AG7" s="80"/>
      <c r="AH7" s="80"/>
      <c r="AI7" s="80"/>
      <c r="AJ7" s="87">
        <v>42345.459444444445</v>
      </c>
      <c r="AK7" s="85" t="str">
        <f>HYPERLINK("https://yt3.ggpht.com/ytc/AAUvwngbu4VTDB4IgpioEWjYdzzjda1XERowx-GjCA=s88-c-k-c0x00ffffff-no-rj")</f>
        <v>https://yt3.ggpht.com/ytc/AAUvwngbu4VTDB4IgpioEWjYdzzjda1XERowx-GjCA=s88-c-k-c0x00ffffff-no-rj</v>
      </c>
      <c r="AL7" s="80">
        <v>0</v>
      </c>
      <c r="AM7" s="80">
        <v>0</v>
      </c>
      <c r="AN7" s="80">
        <v>0</v>
      </c>
      <c r="AO7" s="80" t="b">
        <v>0</v>
      </c>
      <c r="AP7" s="80">
        <v>0</v>
      </c>
      <c r="AQ7" s="80"/>
      <c r="AR7" s="80"/>
      <c r="AS7" s="80" t="s">
        <v>2664</v>
      </c>
      <c r="AT7" s="85" t="str">
        <f>HYPERLINK("https://www.youtube.com/channel/UCECxyw41C61CP-yhmtzK02w")</f>
        <v>https://www.youtube.com/channel/UCECxyw41C61CP-yhmtzK02w</v>
      </c>
      <c r="AU7" s="80" t="str">
        <f>REPLACE(INDEX(GroupVertices[Group],MATCH(Vertices[[#This Row],[Vertex]],GroupVertices[Vertex],0)),1,1,"")</f>
        <v>9</v>
      </c>
      <c r="AV7" s="49">
        <v>0</v>
      </c>
      <c r="AW7" s="50">
        <v>0</v>
      </c>
      <c r="AX7" s="49">
        <v>0</v>
      </c>
      <c r="AY7" s="50">
        <v>0</v>
      </c>
      <c r="AZ7" s="49">
        <v>0</v>
      </c>
      <c r="BA7" s="50">
        <v>0</v>
      </c>
      <c r="BB7" s="49">
        <v>9</v>
      </c>
      <c r="BC7" s="50">
        <v>100</v>
      </c>
      <c r="BD7" s="49">
        <v>9</v>
      </c>
      <c r="BE7" s="49"/>
      <c r="BF7" s="49"/>
      <c r="BG7" s="49"/>
      <c r="BH7" s="49"/>
      <c r="BI7" s="49"/>
      <c r="BJ7" s="49"/>
      <c r="BK7" s="111" t="s">
        <v>3674</v>
      </c>
      <c r="BL7" s="111" t="s">
        <v>3674</v>
      </c>
      <c r="BM7" s="111" t="s">
        <v>4150</v>
      </c>
      <c r="BN7" s="111" t="s">
        <v>4150</v>
      </c>
      <c r="BO7" s="2"/>
      <c r="BP7" s="3"/>
      <c r="BQ7" s="3"/>
      <c r="BR7" s="3"/>
      <c r="BS7" s="3"/>
    </row>
    <row r="8" spans="1:71" ht="15">
      <c r="A8" s="65" t="s">
        <v>216</v>
      </c>
      <c r="B8" s="66"/>
      <c r="C8" s="66"/>
      <c r="D8" s="67">
        <v>150</v>
      </c>
      <c r="E8" s="69"/>
      <c r="F8" s="103" t="str">
        <f>HYPERLINK("https://yt3.ggpht.com/ytc/AAUvwniQm3RyugeXFs2AEuLg6Qt9lfDA7MJphF2HFp-v=s88-c-k-c0x00ffffff-no-rj")</f>
        <v>https://yt3.ggpht.com/ytc/AAUvwniQm3RyugeXFs2AEuLg6Qt9lfDA7MJphF2HFp-v=s88-c-k-c0x00ffffff-no-rj</v>
      </c>
      <c r="G8" s="66"/>
      <c r="H8" s="70" t="s">
        <v>1575</v>
      </c>
      <c r="I8" s="71"/>
      <c r="J8" s="71" t="s">
        <v>159</v>
      </c>
      <c r="K8" s="70" t="s">
        <v>1575</v>
      </c>
      <c r="L8" s="74">
        <v>1</v>
      </c>
      <c r="M8" s="75">
        <v>6645.89990234375</v>
      </c>
      <c r="N8" s="75">
        <v>2879.197265625</v>
      </c>
      <c r="O8" s="76"/>
      <c r="P8" s="77"/>
      <c r="Q8" s="77"/>
      <c r="R8" s="89"/>
      <c r="S8" s="49">
        <v>0</v>
      </c>
      <c r="T8" s="49">
        <v>1</v>
      </c>
      <c r="U8" s="50">
        <v>0</v>
      </c>
      <c r="V8" s="50">
        <v>0.02</v>
      </c>
      <c r="W8" s="50">
        <v>0</v>
      </c>
      <c r="X8" s="50">
        <v>0.548606</v>
      </c>
      <c r="Y8" s="50">
        <v>0</v>
      </c>
      <c r="Z8" s="50">
        <v>0</v>
      </c>
      <c r="AA8" s="72">
        <v>8</v>
      </c>
      <c r="AB8" s="72"/>
      <c r="AC8" s="73"/>
      <c r="AD8" s="80" t="s">
        <v>1575</v>
      </c>
      <c r="AE8" s="80"/>
      <c r="AF8" s="80"/>
      <c r="AG8" s="80"/>
      <c r="AH8" s="80"/>
      <c r="AI8" s="80"/>
      <c r="AJ8" s="87">
        <v>43368.76806712963</v>
      </c>
      <c r="AK8" s="85" t="str">
        <f>HYPERLINK("https://yt3.ggpht.com/ytc/AAUvwniQm3RyugeXFs2AEuLg6Qt9lfDA7MJphF2HFp-v=s88-c-k-c0x00ffffff-no-rj")</f>
        <v>https://yt3.ggpht.com/ytc/AAUvwniQm3RyugeXFs2AEuLg6Qt9lfDA7MJphF2HFp-v=s88-c-k-c0x00ffffff-no-rj</v>
      </c>
      <c r="AL8" s="80">
        <v>4</v>
      </c>
      <c r="AM8" s="80">
        <v>0</v>
      </c>
      <c r="AN8" s="80">
        <v>3</v>
      </c>
      <c r="AO8" s="80" t="b">
        <v>0</v>
      </c>
      <c r="AP8" s="80">
        <v>2</v>
      </c>
      <c r="AQ8" s="80"/>
      <c r="AR8" s="80"/>
      <c r="AS8" s="80" t="s">
        <v>2664</v>
      </c>
      <c r="AT8" s="85" t="str">
        <f>HYPERLINK("https://www.youtube.com/channel/UCMr9gM8IZN33Dbm1e63m28Q")</f>
        <v>https://www.youtube.com/channel/UCMr9gM8IZN33Dbm1e63m28Q</v>
      </c>
      <c r="AU8" s="80" t="str">
        <f>REPLACE(INDEX(GroupVertices[Group],MATCH(Vertices[[#This Row],[Vertex]],GroupVertices[Vertex],0)),1,1,"")</f>
        <v>9</v>
      </c>
      <c r="AV8" s="49">
        <v>0</v>
      </c>
      <c r="AW8" s="50">
        <v>0</v>
      </c>
      <c r="AX8" s="49">
        <v>0</v>
      </c>
      <c r="AY8" s="50">
        <v>0</v>
      </c>
      <c r="AZ8" s="49">
        <v>0</v>
      </c>
      <c r="BA8" s="50">
        <v>0</v>
      </c>
      <c r="BB8" s="49">
        <v>2</v>
      </c>
      <c r="BC8" s="50">
        <v>100</v>
      </c>
      <c r="BD8" s="49">
        <v>2</v>
      </c>
      <c r="BE8" s="49"/>
      <c r="BF8" s="49"/>
      <c r="BG8" s="49"/>
      <c r="BH8" s="49"/>
      <c r="BI8" s="49"/>
      <c r="BJ8" s="49"/>
      <c r="BK8" s="111" t="s">
        <v>2736</v>
      </c>
      <c r="BL8" s="111" t="s">
        <v>2736</v>
      </c>
      <c r="BM8" s="111" t="s">
        <v>2390</v>
      </c>
      <c r="BN8" s="111" t="s">
        <v>2390</v>
      </c>
      <c r="BO8" s="2"/>
      <c r="BP8" s="3"/>
      <c r="BQ8" s="3"/>
      <c r="BR8" s="3"/>
      <c r="BS8" s="3"/>
    </row>
    <row r="9" spans="1:71" ht="15">
      <c r="A9" s="65" t="s">
        <v>217</v>
      </c>
      <c r="B9" s="66"/>
      <c r="C9" s="66"/>
      <c r="D9" s="67">
        <v>150</v>
      </c>
      <c r="E9" s="69"/>
      <c r="F9" s="103" t="str">
        <f>HYPERLINK("https://yt3.ggpht.com/ytc/AAUvwngIyaelWLONRpysU3701lvlN2J00-TxRQkvk2CONw=s88-c-k-c0x00ffffff-no-rj")</f>
        <v>https://yt3.ggpht.com/ytc/AAUvwngIyaelWLONRpysU3701lvlN2J00-TxRQkvk2CONw=s88-c-k-c0x00ffffff-no-rj</v>
      </c>
      <c r="G9" s="66"/>
      <c r="H9" s="70" t="s">
        <v>1576</v>
      </c>
      <c r="I9" s="71"/>
      <c r="J9" s="71" t="s">
        <v>159</v>
      </c>
      <c r="K9" s="70" t="s">
        <v>1576</v>
      </c>
      <c r="L9" s="74">
        <v>1</v>
      </c>
      <c r="M9" s="75">
        <v>5959.203125</v>
      </c>
      <c r="N9" s="75">
        <v>4291.478515625</v>
      </c>
      <c r="O9" s="76"/>
      <c r="P9" s="77"/>
      <c r="Q9" s="77"/>
      <c r="R9" s="89"/>
      <c r="S9" s="49">
        <v>0</v>
      </c>
      <c r="T9" s="49">
        <v>1</v>
      </c>
      <c r="U9" s="50">
        <v>0</v>
      </c>
      <c r="V9" s="50">
        <v>0.013889</v>
      </c>
      <c r="W9" s="50">
        <v>0</v>
      </c>
      <c r="X9" s="50">
        <v>0.599855</v>
      </c>
      <c r="Y9" s="50">
        <v>0</v>
      </c>
      <c r="Z9" s="50">
        <v>0</v>
      </c>
      <c r="AA9" s="72">
        <v>9</v>
      </c>
      <c r="AB9" s="72"/>
      <c r="AC9" s="73"/>
      <c r="AD9" s="80" t="s">
        <v>1576</v>
      </c>
      <c r="AE9" s="80"/>
      <c r="AF9" s="80"/>
      <c r="AG9" s="80"/>
      <c r="AH9" s="80"/>
      <c r="AI9" s="80"/>
      <c r="AJ9" s="87">
        <v>43994.68300925926</v>
      </c>
      <c r="AK9" s="85" t="str">
        <f>HYPERLINK("https://yt3.ggpht.com/ytc/AAUvwngIyaelWLONRpysU3701lvlN2J00-TxRQkvk2CONw=s88-c-k-c0x00ffffff-no-rj")</f>
        <v>https://yt3.ggpht.com/ytc/AAUvwngIyaelWLONRpysU3701lvlN2J00-TxRQkvk2CONw=s88-c-k-c0x00ffffff-no-rj</v>
      </c>
      <c r="AL9" s="80">
        <v>0</v>
      </c>
      <c r="AM9" s="80">
        <v>0</v>
      </c>
      <c r="AN9" s="80">
        <v>0</v>
      </c>
      <c r="AO9" s="80" t="b">
        <v>0</v>
      </c>
      <c r="AP9" s="80">
        <v>0</v>
      </c>
      <c r="AQ9" s="80"/>
      <c r="AR9" s="80"/>
      <c r="AS9" s="80" t="s">
        <v>2664</v>
      </c>
      <c r="AT9" s="85" t="str">
        <f>HYPERLINK("https://www.youtube.com/channel/UCPbxTWdxy1z5zqJaBynwR8Q")</f>
        <v>https://www.youtube.com/channel/UCPbxTWdxy1z5zqJaBynwR8Q</v>
      </c>
      <c r="AU9" s="80" t="str">
        <f>REPLACE(INDEX(GroupVertices[Group],MATCH(Vertices[[#This Row],[Vertex]],GroupVertices[Vertex],0)),1,1,"")</f>
        <v>9</v>
      </c>
      <c r="AV9" s="49">
        <v>0</v>
      </c>
      <c r="AW9" s="50">
        <v>0</v>
      </c>
      <c r="AX9" s="49">
        <v>0</v>
      </c>
      <c r="AY9" s="50">
        <v>0</v>
      </c>
      <c r="AZ9" s="49">
        <v>0</v>
      </c>
      <c r="BA9" s="50">
        <v>0</v>
      </c>
      <c r="BB9" s="49">
        <v>1</v>
      </c>
      <c r="BC9" s="50">
        <v>100</v>
      </c>
      <c r="BD9" s="49">
        <v>1</v>
      </c>
      <c r="BE9" s="49"/>
      <c r="BF9" s="49"/>
      <c r="BG9" s="49"/>
      <c r="BH9" s="49"/>
      <c r="BI9" s="49"/>
      <c r="BJ9" s="49"/>
      <c r="BK9" s="111" t="s">
        <v>2390</v>
      </c>
      <c r="BL9" s="111" t="s">
        <v>2390</v>
      </c>
      <c r="BM9" s="111" t="s">
        <v>2390</v>
      </c>
      <c r="BN9" s="111" t="s">
        <v>2390</v>
      </c>
      <c r="BO9" s="2"/>
      <c r="BP9" s="3"/>
      <c r="BQ9" s="3"/>
      <c r="BR9" s="3"/>
      <c r="BS9" s="3"/>
    </row>
    <row r="10" spans="1:71" ht="15">
      <c r="A10" s="65" t="s">
        <v>218</v>
      </c>
      <c r="B10" s="66"/>
      <c r="C10" s="66"/>
      <c r="D10" s="67">
        <v>291.66666666666663</v>
      </c>
      <c r="E10" s="69"/>
      <c r="F10" s="103" t="str">
        <f>HYPERLINK("https://yt3.ggpht.com/ytc/AAUvwnjEZ_WmrE8NJlg8A7BNJtMY2YIDtH5l0udHwsEdpw=s88-c-k-c0x00ffffff-no-rj")</f>
        <v>https://yt3.ggpht.com/ytc/AAUvwnjEZ_WmrE8NJlg8A7BNJtMY2YIDtH5l0udHwsEdpw=s88-c-k-c0x00ffffff-no-rj</v>
      </c>
      <c r="G10" s="66"/>
      <c r="H10" s="70" t="s">
        <v>1577</v>
      </c>
      <c r="I10" s="71"/>
      <c r="J10" s="71" t="s">
        <v>159</v>
      </c>
      <c r="K10" s="70" t="s">
        <v>1577</v>
      </c>
      <c r="L10" s="74">
        <v>96.21904761904761</v>
      </c>
      <c r="M10" s="75">
        <v>6051.85595703125</v>
      </c>
      <c r="N10" s="75">
        <v>3659.728759765625</v>
      </c>
      <c r="O10" s="76"/>
      <c r="P10" s="77"/>
      <c r="Q10" s="77"/>
      <c r="R10" s="89"/>
      <c r="S10" s="49">
        <v>1</v>
      </c>
      <c r="T10" s="49">
        <v>1</v>
      </c>
      <c r="U10" s="50">
        <v>48</v>
      </c>
      <c r="V10" s="50">
        <v>0.020833</v>
      </c>
      <c r="W10" s="50">
        <v>0</v>
      </c>
      <c r="X10" s="50">
        <v>1.058483</v>
      </c>
      <c r="Y10" s="50">
        <v>0</v>
      </c>
      <c r="Z10" s="50">
        <v>0</v>
      </c>
      <c r="AA10" s="72">
        <v>10</v>
      </c>
      <c r="AB10" s="72"/>
      <c r="AC10" s="73"/>
      <c r="AD10" s="80" t="s">
        <v>1577</v>
      </c>
      <c r="AE10" s="80"/>
      <c r="AF10" s="80"/>
      <c r="AG10" s="80"/>
      <c r="AH10" s="80"/>
      <c r="AI10" s="80"/>
      <c r="AJ10" s="87">
        <v>42504.842523148145</v>
      </c>
      <c r="AK10" s="85" t="str">
        <f>HYPERLINK("https://yt3.ggpht.com/ytc/AAUvwnjEZ_WmrE8NJlg8A7BNJtMY2YIDtH5l0udHwsEdpw=s88-c-k-c0x00ffffff-no-rj")</f>
        <v>https://yt3.ggpht.com/ytc/AAUvwnjEZ_WmrE8NJlg8A7BNJtMY2YIDtH5l0udHwsEdpw=s88-c-k-c0x00ffffff-no-rj</v>
      </c>
      <c r="AL10" s="80">
        <v>9</v>
      </c>
      <c r="AM10" s="80">
        <v>0</v>
      </c>
      <c r="AN10" s="80">
        <v>0</v>
      </c>
      <c r="AO10" s="80" t="b">
        <v>0</v>
      </c>
      <c r="AP10" s="80">
        <v>1</v>
      </c>
      <c r="AQ10" s="80"/>
      <c r="AR10" s="80"/>
      <c r="AS10" s="80" t="s">
        <v>2664</v>
      </c>
      <c r="AT10" s="85" t="str">
        <f>HYPERLINK("https://www.youtube.com/channel/UCmkshF5gRU2SO2Cn41u0wOg")</f>
        <v>https://www.youtube.com/channel/UCmkshF5gRU2SO2Cn41u0wOg</v>
      </c>
      <c r="AU10" s="80" t="str">
        <f>REPLACE(INDEX(GroupVertices[Group],MATCH(Vertices[[#This Row],[Vertex]],GroupVertices[Vertex],0)),1,1,"")</f>
        <v>9</v>
      </c>
      <c r="AV10" s="49">
        <v>0</v>
      </c>
      <c r="AW10" s="50">
        <v>0</v>
      </c>
      <c r="AX10" s="49">
        <v>0</v>
      </c>
      <c r="AY10" s="50">
        <v>0</v>
      </c>
      <c r="AZ10" s="49">
        <v>0</v>
      </c>
      <c r="BA10" s="50">
        <v>0</v>
      </c>
      <c r="BB10" s="49">
        <v>2</v>
      </c>
      <c r="BC10" s="50">
        <v>100</v>
      </c>
      <c r="BD10" s="49">
        <v>2</v>
      </c>
      <c r="BE10" s="49"/>
      <c r="BF10" s="49"/>
      <c r="BG10" s="49"/>
      <c r="BH10" s="49"/>
      <c r="BI10" s="49"/>
      <c r="BJ10" s="49"/>
      <c r="BK10" s="111" t="s">
        <v>3675</v>
      </c>
      <c r="BL10" s="111" t="s">
        <v>3675</v>
      </c>
      <c r="BM10" s="111" t="s">
        <v>4151</v>
      </c>
      <c r="BN10" s="111" t="s">
        <v>4151</v>
      </c>
      <c r="BO10" s="2"/>
      <c r="BP10" s="3"/>
      <c r="BQ10" s="3"/>
      <c r="BR10" s="3"/>
      <c r="BS10" s="3"/>
    </row>
    <row r="11" spans="1:71" ht="15">
      <c r="A11" s="65" t="s">
        <v>219</v>
      </c>
      <c r="B11" s="66"/>
      <c r="C11" s="66"/>
      <c r="D11" s="67">
        <v>150</v>
      </c>
      <c r="E11" s="69"/>
      <c r="F11" s="103" t="str">
        <f>HYPERLINK("https://yt3.ggpht.com/ytc/AAUvwnjr1ro4OkAnWXujhW-m5PunXfDzLWEeE3MkPkkkqg=s88-c-k-c0x00ffffff-no-rj")</f>
        <v>https://yt3.ggpht.com/ytc/AAUvwnjr1ro4OkAnWXujhW-m5PunXfDzLWEeE3MkPkkkqg=s88-c-k-c0x00ffffff-no-rj</v>
      </c>
      <c r="G11" s="66"/>
      <c r="H11" s="70" t="s">
        <v>1578</v>
      </c>
      <c r="I11" s="71"/>
      <c r="J11" s="71" t="s">
        <v>159</v>
      </c>
      <c r="K11" s="70" t="s">
        <v>1578</v>
      </c>
      <c r="L11" s="74">
        <v>1</v>
      </c>
      <c r="M11" s="75">
        <v>5504.89501953125</v>
      </c>
      <c r="N11" s="75">
        <v>3290.176025390625</v>
      </c>
      <c r="O11" s="76"/>
      <c r="P11" s="77"/>
      <c r="Q11" s="77"/>
      <c r="R11" s="89"/>
      <c r="S11" s="49">
        <v>0</v>
      </c>
      <c r="T11" s="49">
        <v>1</v>
      </c>
      <c r="U11" s="50">
        <v>0</v>
      </c>
      <c r="V11" s="50">
        <v>0.02</v>
      </c>
      <c r="W11" s="50">
        <v>0</v>
      </c>
      <c r="X11" s="50">
        <v>0.548606</v>
      </c>
      <c r="Y11" s="50">
        <v>0</v>
      </c>
      <c r="Z11" s="50">
        <v>0</v>
      </c>
      <c r="AA11" s="72">
        <v>11</v>
      </c>
      <c r="AB11" s="72"/>
      <c r="AC11" s="73"/>
      <c r="AD11" s="80" t="s">
        <v>1578</v>
      </c>
      <c r="AE11" s="80"/>
      <c r="AF11" s="80"/>
      <c r="AG11" s="80"/>
      <c r="AH11" s="80"/>
      <c r="AI11" s="80"/>
      <c r="AJ11" s="87">
        <v>41282.209814814814</v>
      </c>
      <c r="AK11" s="85" t="str">
        <f>HYPERLINK("https://yt3.ggpht.com/ytc/AAUvwnjr1ro4OkAnWXujhW-m5PunXfDzLWEeE3MkPkkkqg=s88-c-k-c0x00ffffff-no-rj")</f>
        <v>https://yt3.ggpht.com/ytc/AAUvwnjr1ro4OkAnWXujhW-m5PunXfDzLWEeE3MkPkkkqg=s88-c-k-c0x00ffffff-no-rj</v>
      </c>
      <c r="AL11" s="80">
        <v>0</v>
      </c>
      <c r="AM11" s="80">
        <v>0</v>
      </c>
      <c r="AN11" s="80">
        <v>0</v>
      </c>
      <c r="AO11" s="80" t="b">
        <v>0</v>
      </c>
      <c r="AP11" s="80">
        <v>0</v>
      </c>
      <c r="AQ11" s="80"/>
      <c r="AR11" s="80"/>
      <c r="AS11" s="80" t="s">
        <v>2664</v>
      </c>
      <c r="AT11" s="85" t="str">
        <f>HYPERLINK("https://www.youtube.com/channel/UCiv_m513LBuHJXotguB5f2w")</f>
        <v>https://www.youtube.com/channel/UCiv_m513LBuHJXotguB5f2w</v>
      </c>
      <c r="AU11" s="80" t="str">
        <f>REPLACE(INDEX(GroupVertices[Group],MATCH(Vertices[[#This Row],[Vertex]],GroupVertices[Vertex],0)),1,1,"")</f>
        <v>9</v>
      </c>
      <c r="AV11" s="49">
        <v>0</v>
      </c>
      <c r="AW11" s="50">
        <v>0</v>
      </c>
      <c r="AX11" s="49">
        <v>0</v>
      </c>
      <c r="AY11" s="50">
        <v>0</v>
      </c>
      <c r="AZ11" s="49">
        <v>0</v>
      </c>
      <c r="BA11" s="50">
        <v>0</v>
      </c>
      <c r="BB11" s="49">
        <v>6</v>
      </c>
      <c r="BC11" s="50">
        <v>100</v>
      </c>
      <c r="BD11" s="49">
        <v>6</v>
      </c>
      <c r="BE11" s="49"/>
      <c r="BF11" s="49"/>
      <c r="BG11" s="49"/>
      <c r="BH11" s="49"/>
      <c r="BI11" s="49"/>
      <c r="BJ11" s="49"/>
      <c r="BK11" s="111" t="s">
        <v>3676</v>
      </c>
      <c r="BL11" s="111" t="s">
        <v>3676</v>
      </c>
      <c r="BM11" s="111" t="s">
        <v>4152</v>
      </c>
      <c r="BN11" s="111" t="s">
        <v>4152</v>
      </c>
      <c r="BO11" s="2"/>
      <c r="BP11" s="3"/>
      <c r="BQ11" s="3"/>
      <c r="BR11" s="3"/>
      <c r="BS11" s="3"/>
    </row>
    <row r="12" spans="1:71" ht="15">
      <c r="A12" s="65" t="s">
        <v>220</v>
      </c>
      <c r="B12" s="66"/>
      <c r="C12" s="66"/>
      <c r="D12" s="67">
        <v>150</v>
      </c>
      <c r="E12" s="69"/>
      <c r="F12" s="103" t="str">
        <f>HYPERLINK("https://yt3.ggpht.com/ytc/AAUvwnhOJ_TTa3DqL29sStCzagF5z_Zrx7hE9pm7hQ=s88-c-k-c0x00ffffff-no-rj")</f>
        <v>https://yt3.ggpht.com/ytc/AAUvwnhOJ_TTa3DqL29sStCzagF5z_Zrx7hE9pm7hQ=s88-c-k-c0x00ffffff-no-rj</v>
      </c>
      <c r="G12" s="66"/>
      <c r="H12" s="70" t="s">
        <v>1579</v>
      </c>
      <c r="I12" s="71"/>
      <c r="J12" s="71" t="s">
        <v>159</v>
      </c>
      <c r="K12" s="70" t="s">
        <v>1579</v>
      </c>
      <c r="L12" s="74">
        <v>1</v>
      </c>
      <c r="M12" s="75">
        <v>6898.10400390625</v>
      </c>
      <c r="N12" s="75">
        <v>3159.974609375</v>
      </c>
      <c r="O12" s="76"/>
      <c r="P12" s="77"/>
      <c r="Q12" s="77"/>
      <c r="R12" s="89"/>
      <c r="S12" s="49">
        <v>0</v>
      </c>
      <c r="T12" s="49">
        <v>1</v>
      </c>
      <c r="U12" s="50">
        <v>0</v>
      </c>
      <c r="V12" s="50">
        <v>0.02</v>
      </c>
      <c r="W12" s="50">
        <v>0</v>
      </c>
      <c r="X12" s="50">
        <v>0.548606</v>
      </c>
      <c r="Y12" s="50">
        <v>0</v>
      </c>
      <c r="Z12" s="50">
        <v>0</v>
      </c>
      <c r="AA12" s="72">
        <v>12</v>
      </c>
      <c r="AB12" s="72"/>
      <c r="AC12" s="73"/>
      <c r="AD12" s="80" t="s">
        <v>1579</v>
      </c>
      <c r="AE12" s="80"/>
      <c r="AF12" s="80"/>
      <c r="AG12" s="80"/>
      <c r="AH12" s="80"/>
      <c r="AI12" s="80"/>
      <c r="AJ12" s="87">
        <v>43506.42748842593</v>
      </c>
      <c r="AK12" s="85" t="str">
        <f>HYPERLINK("https://yt3.ggpht.com/ytc/AAUvwnhOJ_TTa3DqL29sStCzagF5z_Zrx7hE9pm7hQ=s88-c-k-c0x00ffffff-no-rj")</f>
        <v>https://yt3.ggpht.com/ytc/AAUvwnhOJ_TTa3DqL29sStCzagF5z_Zrx7hE9pm7hQ=s88-c-k-c0x00ffffff-no-rj</v>
      </c>
      <c r="AL12" s="80">
        <v>0</v>
      </c>
      <c r="AM12" s="80">
        <v>0</v>
      </c>
      <c r="AN12" s="80">
        <v>3</v>
      </c>
      <c r="AO12" s="80" t="b">
        <v>0</v>
      </c>
      <c r="AP12" s="80">
        <v>0</v>
      </c>
      <c r="AQ12" s="80"/>
      <c r="AR12" s="80"/>
      <c r="AS12" s="80" t="s">
        <v>2664</v>
      </c>
      <c r="AT12" s="85" t="str">
        <f>HYPERLINK("https://www.youtube.com/channel/UCCS5en6PdF5csB6x3zxXVUg")</f>
        <v>https://www.youtube.com/channel/UCCS5en6PdF5csB6x3zxXVUg</v>
      </c>
      <c r="AU12" s="80" t="str">
        <f>REPLACE(INDEX(GroupVertices[Group],MATCH(Vertices[[#This Row],[Vertex]],GroupVertices[Vertex],0)),1,1,"")</f>
        <v>9</v>
      </c>
      <c r="AV12" s="49">
        <v>0</v>
      </c>
      <c r="AW12" s="50">
        <v>0</v>
      </c>
      <c r="AX12" s="49">
        <v>0</v>
      </c>
      <c r="AY12" s="50">
        <v>0</v>
      </c>
      <c r="AZ12" s="49">
        <v>0</v>
      </c>
      <c r="BA12" s="50">
        <v>0</v>
      </c>
      <c r="BB12" s="49">
        <v>0</v>
      </c>
      <c r="BC12" s="50">
        <v>0</v>
      </c>
      <c r="BD12" s="49">
        <v>0</v>
      </c>
      <c r="BE12" s="49"/>
      <c r="BF12" s="49"/>
      <c r="BG12" s="49"/>
      <c r="BH12" s="49"/>
      <c r="BI12" s="49"/>
      <c r="BJ12" s="49"/>
      <c r="BK12" s="111" t="s">
        <v>2390</v>
      </c>
      <c r="BL12" s="111" t="s">
        <v>2390</v>
      </c>
      <c r="BM12" s="111" t="s">
        <v>2390</v>
      </c>
      <c r="BN12" s="111" t="s">
        <v>2390</v>
      </c>
      <c r="BO12" s="2"/>
      <c r="BP12" s="3"/>
      <c r="BQ12" s="3"/>
      <c r="BR12" s="3"/>
      <c r="BS12" s="3"/>
    </row>
    <row r="13" spans="1:71" ht="15">
      <c r="A13" s="65" t="s">
        <v>221</v>
      </c>
      <c r="B13" s="66"/>
      <c r="C13" s="66"/>
      <c r="D13" s="67">
        <v>150</v>
      </c>
      <c r="E13" s="69"/>
      <c r="F13" s="103" t="str">
        <f>HYPERLINK("https://yt3.ggpht.com/ytc/AAUvwnhXF0s1ZQt3SNr8BY50LDth191hBloI_ANLIA=s88-c-k-c0x00ffffff-no-rj")</f>
        <v>https://yt3.ggpht.com/ytc/AAUvwnhXF0s1ZQt3SNr8BY50LDth191hBloI_ANLIA=s88-c-k-c0x00ffffff-no-rj</v>
      </c>
      <c r="G13" s="66"/>
      <c r="H13" s="70" t="s">
        <v>1580</v>
      </c>
      <c r="I13" s="71"/>
      <c r="J13" s="71" t="s">
        <v>159</v>
      </c>
      <c r="K13" s="70" t="s">
        <v>1580</v>
      </c>
      <c r="L13" s="74">
        <v>1</v>
      </c>
      <c r="M13" s="75">
        <v>5446.79443359375</v>
      </c>
      <c r="N13" s="75">
        <v>2535.265869140625</v>
      </c>
      <c r="O13" s="76"/>
      <c r="P13" s="77"/>
      <c r="Q13" s="77"/>
      <c r="R13" s="89"/>
      <c r="S13" s="49">
        <v>0</v>
      </c>
      <c r="T13" s="49">
        <v>1</v>
      </c>
      <c r="U13" s="50">
        <v>0</v>
      </c>
      <c r="V13" s="50">
        <v>0.02</v>
      </c>
      <c r="W13" s="50">
        <v>0</v>
      </c>
      <c r="X13" s="50">
        <v>0.548606</v>
      </c>
      <c r="Y13" s="50">
        <v>0</v>
      </c>
      <c r="Z13" s="50">
        <v>0</v>
      </c>
      <c r="AA13" s="72">
        <v>13</v>
      </c>
      <c r="AB13" s="72"/>
      <c r="AC13" s="73"/>
      <c r="AD13" s="80" t="s">
        <v>1580</v>
      </c>
      <c r="AE13" s="80"/>
      <c r="AF13" s="80"/>
      <c r="AG13" s="80"/>
      <c r="AH13" s="80"/>
      <c r="AI13" s="80"/>
      <c r="AJ13" s="87">
        <v>43365.782314814816</v>
      </c>
      <c r="AK13" s="85" t="str">
        <f>HYPERLINK("https://yt3.ggpht.com/ytc/AAUvwnhXF0s1ZQt3SNr8BY50LDth191hBloI_ANLIA=s88-c-k-c0x00ffffff-no-rj")</f>
        <v>https://yt3.ggpht.com/ytc/AAUvwnhXF0s1ZQt3SNr8BY50LDth191hBloI_ANLIA=s88-c-k-c0x00ffffff-no-rj</v>
      </c>
      <c r="AL13" s="80">
        <v>0</v>
      </c>
      <c r="AM13" s="80">
        <v>0</v>
      </c>
      <c r="AN13" s="80">
        <v>0</v>
      </c>
      <c r="AO13" s="80" t="b">
        <v>0</v>
      </c>
      <c r="AP13" s="80">
        <v>0</v>
      </c>
      <c r="AQ13" s="80"/>
      <c r="AR13" s="80"/>
      <c r="AS13" s="80" t="s">
        <v>2664</v>
      </c>
      <c r="AT13" s="85" t="str">
        <f>HYPERLINK("https://www.youtube.com/channel/UCWEIu_CbS5G5PHSBmO-xaqQ")</f>
        <v>https://www.youtube.com/channel/UCWEIu_CbS5G5PHSBmO-xaqQ</v>
      </c>
      <c r="AU13" s="80" t="str">
        <f>REPLACE(INDEX(GroupVertices[Group],MATCH(Vertices[[#This Row],[Vertex]],GroupVertices[Vertex],0)),1,1,"")</f>
        <v>9</v>
      </c>
      <c r="AV13" s="49">
        <v>0</v>
      </c>
      <c r="AW13" s="50">
        <v>0</v>
      </c>
      <c r="AX13" s="49">
        <v>0</v>
      </c>
      <c r="AY13" s="50">
        <v>0</v>
      </c>
      <c r="AZ13" s="49">
        <v>0</v>
      </c>
      <c r="BA13" s="50">
        <v>0</v>
      </c>
      <c r="BB13" s="49">
        <v>4</v>
      </c>
      <c r="BC13" s="50">
        <v>100</v>
      </c>
      <c r="BD13" s="49">
        <v>4</v>
      </c>
      <c r="BE13" s="49"/>
      <c r="BF13" s="49"/>
      <c r="BG13" s="49"/>
      <c r="BH13" s="49"/>
      <c r="BI13" s="49"/>
      <c r="BJ13" s="49"/>
      <c r="BK13" s="111" t="s">
        <v>2390</v>
      </c>
      <c r="BL13" s="111" t="s">
        <v>2390</v>
      </c>
      <c r="BM13" s="111" t="s">
        <v>2390</v>
      </c>
      <c r="BN13" s="111" t="s">
        <v>2390</v>
      </c>
      <c r="BO13" s="2"/>
      <c r="BP13" s="3"/>
      <c r="BQ13" s="3"/>
      <c r="BR13" s="3"/>
      <c r="BS13" s="3"/>
    </row>
    <row r="14" spans="1:71" ht="15">
      <c r="A14" s="65" t="s">
        <v>222</v>
      </c>
      <c r="B14" s="66"/>
      <c r="C14" s="66"/>
      <c r="D14" s="67">
        <v>150</v>
      </c>
      <c r="E14" s="69"/>
      <c r="F14" s="103" t="str">
        <f>HYPERLINK("https://yt3.ggpht.com/ytc/AAUvwnioHd0L4lIuutRB91hwbEd9lzWaTSnuvW3JEQ=s88-c-k-c0x00ffffff-no-rj")</f>
        <v>https://yt3.ggpht.com/ytc/AAUvwnioHd0L4lIuutRB91hwbEd9lzWaTSnuvW3JEQ=s88-c-k-c0x00ffffff-no-rj</v>
      </c>
      <c r="G14" s="66"/>
      <c r="H14" s="70" t="s">
        <v>1581</v>
      </c>
      <c r="I14" s="71"/>
      <c r="J14" s="71" t="s">
        <v>159</v>
      </c>
      <c r="K14" s="70" t="s">
        <v>1581</v>
      </c>
      <c r="L14" s="74">
        <v>1</v>
      </c>
      <c r="M14" s="75">
        <v>5871.1611328125</v>
      </c>
      <c r="N14" s="75">
        <v>3170.24609375</v>
      </c>
      <c r="O14" s="76"/>
      <c r="P14" s="77"/>
      <c r="Q14" s="77"/>
      <c r="R14" s="89"/>
      <c r="S14" s="49">
        <v>0</v>
      </c>
      <c r="T14" s="49">
        <v>1</v>
      </c>
      <c r="U14" s="50">
        <v>0</v>
      </c>
      <c r="V14" s="50">
        <v>0.02</v>
      </c>
      <c r="W14" s="50">
        <v>0</v>
      </c>
      <c r="X14" s="50">
        <v>0.548606</v>
      </c>
      <c r="Y14" s="50">
        <v>0</v>
      </c>
      <c r="Z14" s="50">
        <v>0</v>
      </c>
      <c r="AA14" s="72">
        <v>14</v>
      </c>
      <c r="AB14" s="72"/>
      <c r="AC14" s="73"/>
      <c r="AD14" s="80" t="s">
        <v>1581</v>
      </c>
      <c r="AE14" s="80"/>
      <c r="AF14" s="80"/>
      <c r="AG14" s="80"/>
      <c r="AH14" s="80"/>
      <c r="AI14" s="80"/>
      <c r="AJ14" s="87">
        <v>42562.267847222225</v>
      </c>
      <c r="AK14" s="85" t="str">
        <f>HYPERLINK("https://yt3.ggpht.com/ytc/AAUvwnioHd0L4lIuutRB91hwbEd9lzWaTSnuvW3JEQ=s88-c-k-c0x00ffffff-no-rj")</f>
        <v>https://yt3.ggpht.com/ytc/AAUvwnioHd0L4lIuutRB91hwbEd9lzWaTSnuvW3JEQ=s88-c-k-c0x00ffffff-no-rj</v>
      </c>
      <c r="AL14" s="80">
        <v>0</v>
      </c>
      <c r="AM14" s="80">
        <v>0</v>
      </c>
      <c r="AN14" s="80">
        <v>0</v>
      </c>
      <c r="AO14" s="80" t="b">
        <v>0</v>
      </c>
      <c r="AP14" s="80">
        <v>0</v>
      </c>
      <c r="AQ14" s="80"/>
      <c r="AR14" s="80"/>
      <c r="AS14" s="80" t="s">
        <v>2664</v>
      </c>
      <c r="AT14" s="85" t="str">
        <f>HYPERLINK("https://www.youtube.com/channel/UCE45HGa3YfE89GC3GI1b_nw")</f>
        <v>https://www.youtube.com/channel/UCE45HGa3YfE89GC3GI1b_nw</v>
      </c>
      <c r="AU14" s="80" t="str">
        <f>REPLACE(INDEX(GroupVertices[Group],MATCH(Vertices[[#This Row],[Vertex]],GroupVertices[Vertex],0)),1,1,"")</f>
        <v>9</v>
      </c>
      <c r="AV14" s="49">
        <v>0</v>
      </c>
      <c r="AW14" s="50">
        <v>0</v>
      </c>
      <c r="AX14" s="49">
        <v>0</v>
      </c>
      <c r="AY14" s="50">
        <v>0</v>
      </c>
      <c r="AZ14" s="49">
        <v>0</v>
      </c>
      <c r="BA14" s="50">
        <v>0</v>
      </c>
      <c r="BB14" s="49">
        <v>5</v>
      </c>
      <c r="BC14" s="50">
        <v>100</v>
      </c>
      <c r="BD14" s="49">
        <v>5</v>
      </c>
      <c r="BE14" s="49"/>
      <c r="BF14" s="49"/>
      <c r="BG14" s="49"/>
      <c r="BH14" s="49"/>
      <c r="BI14" s="49"/>
      <c r="BJ14" s="49"/>
      <c r="BK14" s="111" t="s">
        <v>3677</v>
      </c>
      <c r="BL14" s="111" t="s">
        <v>3677</v>
      </c>
      <c r="BM14" s="111" t="s">
        <v>4153</v>
      </c>
      <c r="BN14" s="111" t="s">
        <v>4153</v>
      </c>
      <c r="BO14" s="2"/>
      <c r="BP14" s="3"/>
      <c r="BQ14" s="3"/>
      <c r="BR14" s="3"/>
      <c r="BS14" s="3"/>
    </row>
    <row r="15" spans="1:71" ht="15">
      <c r="A15" s="65" t="s">
        <v>224</v>
      </c>
      <c r="B15" s="66"/>
      <c r="C15" s="66"/>
      <c r="D15" s="67">
        <v>291.66666666666663</v>
      </c>
      <c r="E15" s="69"/>
      <c r="F15" s="103" t="str">
        <f>HYPERLINK("https://yt3.ggpht.com/ytc/AAUvwnhFOG1Y7FtgjcUm-jnqtObTTwsfbYhHNLJelw=s88-c-k-c0x00ffffff-no-rj")</f>
        <v>https://yt3.ggpht.com/ytc/AAUvwnhFOG1Y7FtgjcUm-jnqtObTTwsfbYhHNLJelw=s88-c-k-c0x00ffffff-no-rj</v>
      </c>
      <c r="G15" s="66"/>
      <c r="H15" s="70" t="s">
        <v>1583</v>
      </c>
      <c r="I15" s="71"/>
      <c r="J15" s="71" t="s">
        <v>159</v>
      </c>
      <c r="K15" s="70" t="s">
        <v>1583</v>
      </c>
      <c r="L15" s="74">
        <v>96.21904761904761</v>
      </c>
      <c r="M15" s="75">
        <v>5386.2060546875</v>
      </c>
      <c r="N15" s="75">
        <v>3059.22265625</v>
      </c>
      <c r="O15" s="76"/>
      <c r="P15" s="77"/>
      <c r="Q15" s="77"/>
      <c r="R15" s="89"/>
      <c r="S15" s="49">
        <v>1</v>
      </c>
      <c r="T15" s="49">
        <v>1</v>
      </c>
      <c r="U15" s="50">
        <v>0</v>
      </c>
      <c r="V15" s="50">
        <v>0.02</v>
      </c>
      <c r="W15" s="50">
        <v>0</v>
      </c>
      <c r="X15" s="50">
        <v>0.548606</v>
      </c>
      <c r="Y15" s="50">
        <v>0</v>
      </c>
      <c r="Z15" s="50">
        <v>1</v>
      </c>
      <c r="AA15" s="72">
        <v>15</v>
      </c>
      <c r="AB15" s="72"/>
      <c r="AC15" s="73"/>
      <c r="AD15" s="80" t="s">
        <v>1583</v>
      </c>
      <c r="AE15" s="80"/>
      <c r="AF15" s="80"/>
      <c r="AG15" s="80"/>
      <c r="AH15" s="80"/>
      <c r="AI15" s="80"/>
      <c r="AJ15" s="87">
        <v>43278.68068287037</v>
      </c>
      <c r="AK15" s="85" t="str">
        <f>HYPERLINK("https://yt3.ggpht.com/ytc/AAUvwnhFOG1Y7FtgjcUm-jnqtObTTwsfbYhHNLJelw=s88-c-k-c0x00ffffff-no-rj")</f>
        <v>https://yt3.ggpht.com/ytc/AAUvwnhFOG1Y7FtgjcUm-jnqtObTTwsfbYhHNLJelw=s88-c-k-c0x00ffffff-no-rj</v>
      </c>
      <c r="AL15" s="80">
        <v>0</v>
      </c>
      <c r="AM15" s="80">
        <v>0</v>
      </c>
      <c r="AN15" s="80">
        <v>1</v>
      </c>
      <c r="AO15" s="80" t="b">
        <v>0</v>
      </c>
      <c r="AP15" s="80">
        <v>1</v>
      </c>
      <c r="AQ15" s="80"/>
      <c r="AR15" s="80"/>
      <c r="AS15" s="80" t="s">
        <v>2664</v>
      </c>
      <c r="AT15" s="85" t="str">
        <f>HYPERLINK("https://www.youtube.com/channel/UCQKeM6bcY1hvm4pHlUy-qLg")</f>
        <v>https://www.youtube.com/channel/UCQKeM6bcY1hvm4pHlUy-qLg</v>
      </c>
      <c r="AU15" s="80" t="str">
        <f>REPLACE(INDEX(GroupVertices[Group],MATCH(Vertices[[#This Row],[Vertex]],GroupVertices[Vertex],0)),1,1,"")</f>
        <v>9</v>
      </c>
      <c r="AV15" s="49">
        <v>0</v>
      </c>
      <c r="AW15" s="50">
        <v>0</v>
      </c>
      <c r="AX15" s="49">
        <v>0</v>
      </c>
      <c r="AY15" s="50">
        <v>0</v>
      </c>
      <c r="AZ15" s="49">
        <v>0</v>
      </c>
      <c r="BA15" s="50">
        <v>0</v>
      </c>
      <c r="BB15" s="49">
        <v>7</v>
      </c>
      <c r="BC15" s="50">
        <v>100</v>
      </c>
      <c r="BD15" s="49">
        <v>7</v>
      </c>
      <c r="BE15" s="49"/>
      <c r="BF15" s="49"/>
      <c r="BG15" s="49"/>
      <c r="BH15" s="49"/>
      <c r="BI15" s="49"/>
      <c r="BJ15" s="49"/>
      <c r="BK15" s="111" t="s">
        <v>3678</v>
      </c>
      <c r="BL15" s="111" t="s">
        <v>3678</v>
      </c>
      <c r="BM15" s="111" t="s">
        <v>4154</v>
      </c>
      <c r="BN15" s="111" t="s">
        <v>4154</v>
      </c>
      <c r="BO15" s="2"/>
      <c r="BP15" s="3"/>
      <c r="BQ15" s="3"/>
      <c r="BR15" s="3"/>
      <c r="BS15" s="3"/>
    </row>
    <row r="16" spans="1:71" ht="15">
      <c r="A16" s="65" t="s">
        <v>225</v>
      </c>
      <c r="B16" s="66"/>
      <c r="C16" s="66"/>
      <c r="D16" s="67">
        <v>150</v>
      </c>
      <c r="E16" s="69"/>
      <c r="F16" s="103" t="str">
        <f>HYPERLINK("https://yt3.ggpht.com/ytc/AAUvwngvfbe43knTV0gqU-HBtsd4hWDqd8MiWy1z3A=s88-c-k-c0x00ffffff-no-rj")</f>
        <v>https://yt3.ggpht.com/ytc/AAUvwngvfbe43knTV0gqU-HBtsd4hWDqd8MiWy1z3A=s88-c-k-c0x00ffffff-no-rj</v>
      </c>
      <c r="G16" s="66"/>
      <c r="H16" s="70" t="s">
        <v>1584</v>
      </c>
      <c r="I16" s="71"/>
      <c r="J16" s="71" t="s">
        <v>159</v>
      </c>
      <c r="K16" s="70" t="s">
        <v>1584</v>
      </c>
      <c r="L16" s="74">
        <v>1</v>
      </c>
      <c r="M16" s="75">
        <v>5687.9833984375</v>
      </c>
      <c r="N16" s="75">
        <v>2842.73583984375</v>
      </c>
      <c r="O16" s="76"/>
      <c r="P16" s="77"/>
      <c r="Q16" s="77"/>
      <c r="R16" s="89"/>
      <c r="S16" s="49">
        <v>0</v>
      </c>
      <c r="T16" s="49">
        <v>1</v>
      </c>
      <c r="U16" s="50">
        <v>0</v>
      </c>
      <c r="V16" s="50">
        <v>0.02</v>
      </c>
      <c r="W16" s="50">
        <v>0</v>
      </c>
      <c r="X16" s="50">
        <v>0.548606</v>
      </c>
      <c r="Y16" s="50">
        <v>0</v>
      </c>
      <c r="Z16" s="50">
        <v>0</v>
      </c>
      <c r="AA16" s="72">
        <v>16</v>
      </c>
      <c r="AB16" s="72"/>
      <c r="AC16" s="73"/>
      <c r="AD16" s="80" t="s">
        <v>1584</v>
      </c>
      <c r="AE16" s="80" t="s">
        <v>2423</v>
      </c>
      <c r="AF16" s="80"/>
      <c r="AG16" s="80"/>
      <c r="AH16" s="80"/>
      <c r="AI16" s="80"/>
      <c r="AJ16" s="87">
        <v>43490.466157407405</v>
      </c>
      <c r="AK16" s="85" t="str">
        <f>HYPERLINK("https://yt3.ggpht.com/ytc/AAUvwngvfbe43knTV0gqU-HBtsd4hWDqd8MiWy1z3A=s88-c-k-c0x00ffffff-no-rj")</f>
        <v>https://yt3.ggpht.com/ytc/AAUvwngvfbe43knTV0gqU-HBtsd4hWDqd8MiWy1z3A=s88-c-k-c0x00ffffff-no-rj</v>
      </c>
      <c r="AL16" s="80">
        <v>20691</v>
      </c>
      <c r="AM16" s="80">
        <v>0</v>
      </c>
      <c r="AN16" s="80">
        <v>494</v>
      </c>
      <c r="AO16" s="80" t="b">
        <v>0</v>
      </c>
      <c r="AP16" s="80">
        <v>85</v>
      </c>
      <c r="AQ16" s="80"/>
      <c r="AR16" s="80"/>
      <c r="AS16" s="80" t="s">
        <v>2664</v>
      </c>
      <c r="AT16" s="85" t="str">
        <f>HYPERLINK("https://www.youtube.com/channel/UC1Jbn83hU4aM3-nm3GGi1wg")</f>
        <v>https://www.youtube.com/channel/UC1Jbn83hU4aM3-nm3GGi1wg</v>
      </c>
      <c r="AU16" s="80" t="str">
        <f>REPLACE(INDEX(GroupVertices[Group],MATCH(Vertices[[#This Row],[Vertex]],GroupVertices[Vertex],0)),1,1,"")</f>
        <v>9</v>
      </c>
      <c r="AV16" s="49">
        <v>0</v>
      </c>
      <c r="AW16" s="50">
        <v>0</v>
      </c>
      <c r="AX16" s="49">
        <v>0</v>
      </c>
      <c r="AY16" s="50">
        <v>0</v>
      </c>
      <c r="AZ16" s="49">
        <v>0</v>
      </c>
      <c r="BA16" s="50">
        <v>0</v>
      </c>
      <c r="BB16" s="49">
        <v>21</v>
      </c>
      <c r="BC16" s="50">
        <v>100</v>
      </c>
      <c r="BD16" s="49">
        <v>21</v>
      </c>
      <c r="BE16" s="49"/>
      <c r="BF16" s="49"/>
      <c r="BG16" s="49"/>
      <c r="BH16" s="49"/>
      <c r="BI16" s="49"/>
      <c r="BJ16" s="49"/>
      <c r="BK16" s="111" t="s">
        <v>3679</v>
      </c>
      <c r="BL16" s="111" t="s">
        <v>3679</v>
      </c>
      <c r="BM16" s="111" t="s">
        <v>4155</v>
      </c>
      <c r="BN16" s="111" t="s">
        <v>4155</v>
      </c>
      <c r="BO16" s="2"/>
      <c r="BP16" s="3"/>
      <c r="BQ16" s="3"/>
      <c r="BR16" s="3"/>
      <c r="BS16" s="3"/>
    </row>
    <row r="17" spans="1:71" ht="15">
      <c r="A17" s="65" t="s">
        <v>226</v>
      </c>
      <c r="B17" s="66"/>
      <c r="C17" s="66"/>
      <c r="D17" s="67">
        <v>150</v>
      </c>
      <c r="E17" s="69"/>
      <c r="F17" s="103" t="str">
        <f>HYPERLINK("https://yt3.ggpht.com/ytc/AAUvwnjDySevxDosItPJwqXv0-h4KCWNBU-a3-tMuQ=s88-c-k-c0x00ffffff-no-rj")</f>
        <v>https://yt3.ggpht.com/ytc/AAUvwnjDySevxDosItPJwqXv0-h4KCWNBU-a3-tMuQ=s88-c-k-c0x00ffffff-no-rj</v>
      </c>
      <c r="G17" s="66"/>
      <c r="H17" s="70" t="s">
        <v>1585</v>
      </c>
      <c r="I17" s="71"/>
      <c r="J17" s="71" t="s">
        <v>159</v>
      </c>
      <c r="K17" s="70" t="s">
        <v>1585</v>
      </c>
      <c r="L17" s="74">
        <v>1</v>
      </c>
      <c r="M17" s="75">
        <v>6919.85498046875</v>
      </c>
      <c r="N17" s="75">
        <v>2593.22509765625</v>
      </c>
      <c r="O17" s="76"/>
      <c r="P17" s="77"/>
      <c r="Q17" s="77"/>
      <c r="R17" s="89"/>
      <c r="S17" s="49">
        <v>0</v>
      </c>
      <c r="T17" s="49">
        <v>1</v>
      </c>
      <c r="U17" s="50">
        <v>0</v>
      </c>
      <c r="V17" s="50">
        <v>0.02</v>
      </c>
      <c r="W17" s="50">
        <v>0</v>
      </c>
      <c r="X17" s="50">
        <v>0.548606</v>
      </c>
      <c r="Y17" s="50">
        <v>0</v>
      </c>
      <c r="Z17" s="50">
        <v>0</v>
      </c>
      <c r="AA17" s="72">
        <v>17</v>
      </c>
      <c r="AB17" s="72"/>
      <c r="AC17" s="73"/>
      <c r="AD17" s="80" t="s">
        <v>1585</v>
      </c>
      <c r="AE17" s="80"/>
      <c r="AF17" s="80"/>
      <c r="AG17" s="80"/>
      <c r="AH17" s="80"/>
      <c r="AI17" s="80"/>
      <c r="AJ17" s="87">
        <v>43177.31164351852</v>
      </c>
      <c r="AK17" s="85" t="str">
        <f>HYPERLINK("https://yt3.ggpht.com/ytc/AAUvwnjDySevxDosItPJwqXv0-h4KCWNBU-a3-tMuQ=s88-c-k-c0x00ffffff-no-rj")</f>
        <v>https://yt3.ggpht.com/ytc/AAUvwnjDySevxDosItPJwqXv0-h4KCWNBU-a3-tMuQ=s88-c-k-c0x00ffffff-no-rj</v>
      </c>
      <c r="AL17" s="80">
        <v>0</v>
      </c>
      <c r="AM17" s="80">
        <v>0</v>
      </c>
      <c r="AN17" s="80">
        <v>0</v>
      </c>
      <c r="AO17" s="80" t="b">
        <v>0</v>
      </c>
      <c r="AP17" s="80">
        <v>0</v>
      </c>
      <c r="AQ17" s="80"/>
      <c r="AR17" s="80"/>
      <c r="AS17" s="80" t="s">
        <v>2664</v>
      </c>
      <c r="AT17" s="85" t="str">
        <f>HYPERLINK("https://www.youtube.com/channel/UCSDSr4CmlzQfu2TdvE6CTGg")</f>
        <v>https://www.youtube.com/channel/UCSDSr4CmlzQfu2TdvE6CTGg</v>
      </c>
      <c r="AU17" s="80" t="str">
        <f>REPLACE(INDEX(GroupVertices[Group],MATCH(Vertices[[#This Row],[Vertex]],GroupVertices[Vertex],0)),1,1,"")</f>
        <v>9</v>
      </c>
      <c r="AV17" s="49">
        <v>0</v>
      </c>
      <c r="AW17" s="50">
        <v>0</v>
      </c>
      <c r="AX17" s="49">
        <v>0</v>
      </c>
      <c r="AY17" s="50">
        <v>0</v>
      </c>
      <c r="AZ17" s="49">
        <v>0</v>
      </c>
      <c r="BA17" s="50">
        <v>0</v>
      </c>
      <c r="BB17" s="49">
        <v>2</v>
      </c>
      <c r="BC17" s="50">
        <v>100</v>
      </c>
      <c r="BD17" s="49">
        <v>2</v>
      </c>
      <c r="BE17" s="49"/>
      <c r="BF17" s="49"/>
      <c r="BG17" s="49"/>
      <c r="BH17" s="49"/>
      <c r="BI17" s="49"/>
      <c r="BJ17" s="49"/>
      <c r="BK17" s="111" t="s">
        <v>3680</v>
      </c>
      <c r="BL17" s="111" t="s">
        <v>3680</v>
      </c>
      <c r="BM17" s="111" t="s">
        <v>4156</v>
      </c>
      <c r="BN17" s="111" t="s">
        <v>4156</v>
      </c>
      <c r="BO17" s="2"/>
      <c r="BP17" s="3"/>
      <c r="BQ17" s="3"/>
      <c r="BR17" s="3"/>
      <c r="BS17" s="3"/>
    </row>
    <row r="18" spans="1:71" ht="15">
      <c r="A18" s="65" t="s">
        <v>227</v>
      </c>
      <c r="B18" s="66"/>
      <c r="C18" s="66"/>
      <c r="D18" s="67">
        <v>150</v>
      </c>
      <c r="E18" s="69"/>
      <c r="F18" s="103" t="str">
        <f>HYPERLINK("https://yt3.ggpht.com/ytc/AAUvwnjCFh6T60bjiWYenTY4_IeGwmp-WUgot8H1AGI=s88-c-k-c0x00ffffff-no-rj")</f>
        <v>https://yt3.ggpht.com/ytc/AAUvwnjCFh6T60bjiWYenTY4_IeGwmp-WUgot8H1AGI=s88-c-k-c0x00ffffff-no-rj</v>
      </c>
      <c r="G18" s="66"/>
      <c r="H18" s="70" t="s">
        <v>1586</v>
      </c>
      <c r="I18" s="71"/>
      <c r="J18" s="71" t="s">
        <v>159</v>
      </c>
      <c r="K18" s="70" t="s">
        <v>1586</v>
      </c>
      <c r="L18" s="74">
        <v>1</v>
      </c>
      <c r="M18" s="75">
        <v>6241.705078125</v>
      </c>
      <c r="N18" s="75">
        <v>2424.283935546875</v>
      </c>
      <c r="O18" s="76"/>
      <c r="P18" s="77"/>
      <c r="Q18" s="77"/>
      <c r="R18" s="89"/>
      <c r="S18" s="49">
        <v>0</v>
      </c>
      <c r="T18" s="49">
        <v>1</v>
      </c>
      <c r="U18" s="50">
        <v>0</v>
      </c>
      <c r="V18" s="50">
        <v>0.02</v>
      </c>
      <c r="W18" s="50">
        <v>0</v>
      </c>
      <c r="X18" s="50">
        <v>0.548606</v>
      </c>
      <c r="Y18" s="50">
        <v>0</v>
      </c>
      <c r="Z18" s="50">
        <v>0</v>
      </c>
      <c r="AA18" s="72">
        <v>18</v>
      </c>
      <c r="AB18" s="72"/>
      <c r="AC18" s="73"/>
      <c r="AD18" s="80" t="s">
        <v>1586</v>
      </c>
      <c r="AE18" s="80"/>
      <c r="AF18" s="80"/>
      <c r="AG18" s="80"/>
      <c r="AH18" s="80"/>
      <c r="AI18" s="80"/>
      <c r="AJ18" s="87">
        <v>42732.85555555556</v>
      </c>
      <c r="AK18" s="85" t="str">
        <f>HYPERLINK("https://yt3.ggpht.com/ytc/AAUvwnjCFh6T60bjiWYenTY4_IeGwmp-WUgot8H1AGI=s88-c-k-c0x00ffffff-no-rj")</f>
        <v>https://yt3.ggpht.com/ytc/AAUvwnjCFh6T60bjiWYenTY4_IeGwmp-WUgot8H1AGI=s88-c-k-c0x00ffffff-no-rj</v>
      </c>
      <c r="AL18" s="80">
        <v>1602</v>
      </c>
      <c r="AM18" s="80">
        <v>0</v>
      </c>
      <c r="AN18" s="80">
        <v>21</v>
      </c>
      <c r="AO18" s="80" t="b">
        <v>0</v>
      </c>
      <c r="AP18" s="80">
        <v>11</v>
      </c>
      <c r="AQ18" s="80"/>
      <c r="AR18" s="80"/>
      <c r="AS18" s="80" t="s">
        <v>2664</v>
      </c>
      <c r="AT18" s="85" t="str">
        <f>HYPERLINK("https://www.youtube.com/channel/UCF2F1awR25IW11NKzyqDLug")</f>
        <v>https://www.youtube.com/channel/UCF2F1awR25IW11NKzyqDLug</v>
      </c>
      <c r="AU18" s="80" t="str">
        <f>REPLACE(INDEX(GroupVertices[Group],MATCH(Vertices[[#This Row],[Vertex]],GroupVertices[Vertex],0)),1,1,"")</f>
        <v>9</v>
      </c>
      <c r="AV18" s="49">
        <v>0</v>
      </c>
      <c r="AW18" s="50">
        <v>0</v>
      </c>
      <c r="AX18" s="49">
        <v>0</v>
      </c>
      <c r="AY18" s="50">
        <v>0</v>
      </c>
      <c r="AZ18" s="49">
        <v>0</v>
      </c>
      <c r="BA18" s="50">
        <v>0</v>
      </c>
      <c r="BB18" s="49">
        <v>14</v>
      </c>
      <c r="BC18" s="50">
        <v>100</v>
      </c>
      <c r="BD18" s="49">
        <v>14</v>
      </c>
      <c r="BE18" s="49"/>
      <c r="BF18" s="49"/>
      <c r="BG18" s="49"/>
      <c r="BH18" s="49"/>
      <c r="BI18" s="49"/>
      <c r="BJ18" s="49"/>
      <c r="BK18" s="111" t="s">
        <v>3681</v>
      </c>
      <c r="BL18" s="111" t="s">
        <v>3681</v>
      </c>
      <c r="BM18" s="111" t="s">
        <v>4157</v>
      </c>
      <c r="BN18" s="111" t="s">
        <v>4157</v>
      </c>
      <c r="BO18" s="2"/>
      <c r="BP18" s="3"/>
      <c r="BQ18" s="3"/>
      <c r="BR18" s="3"/>
      <c r="BS18" s="3"/>
    </row>
    <row r="19" spans="1:71" ht="15">
      <c r="A19" s="65" t="s">
        <v>228</v>
      </c>
      <c r="B19" s="66"/>
      <c r="C19" s="66"/>
      <c r="D19" s="67">
        <v>150</v>
      </c>
      <c r="E19" s="69"/>
      <c r="F19" s="103" t="str">
        <f>HYPERLINK("https://yt3.ggpht.com/ytc/AAUvwniiqW-fTJdOExHyJM479OLYbTQyZrDuxnE-dg=s88-c-k-c0x00ffffff-no-rj")</f>
        <v>https://yt3.ggpht.com/ytc/AAUvwniiqW-fTJdOExHyJM479OLYbTQyZrDuxnE-dg=s88-c-k-c0x00ffffff-no-rj</v>
      </c>
      <c r="G19" s="66"/>
      <c r="H19" s="70" t="s">
        <v>1587</v>
      </c>
      <c r="I19" s="71"/>
      <c r="J19" s="71" t="s">
        <v>159</v>
      </c>
      <c r="K19" s="70" t="s">
        <v>1587</v>
      </c>
      <c r="L19" s="74">
        <v>1</v>
      </c>
      <c r="M19" s="75">
        <v>5349.783203125</v>
      </c>
      <c r="N19" s="75">
        <v>2788.1806640625</v>
      </c>
      <c r="O19" s="76"/>
      <c r="P19" s="77"/>
      <c r="Q19" s="77"/>
      <c r="R19" s="89"/>
      <c r="S19" s="49">
        <v>0</v>
      </c>
      <c r="T19" s="49">
        <v>1</v>
      </c>
      <c r="U19" s="50">
        <v>0</v>
      </c>
      <c r="V19" s="50">
        <v>0.02</v>
      </c>
      <c r="W19" s="50">
        <v>0</v>
      </c>
      <c r="X19" s="50">
        <v>0.548606</v>
      </c>
      <c r="Y19" s="50">
        <v>0</v>
      </c>
      <c r="Z19" s="50">
        <v>0</v>
      </c>
      <c r="AA19" s="72">
        <v>19</v>
      </c>
      <c r="AB19" s="72"/>
      <c r="AC19" s="73"/>
      <c r="AD19" s="80" t="s">
        <v>1587</v>
      </c>
      <c r="AE19" s="80"/>
      <c r="AF19" s="80"/>
      <c r="AG19" s="80"/>
      <c r="AH19" s="80"/>
      <c r="AI19" s="80"/>
      <c r="AJ19" s="87">
        <v>42638.74092592593</v>
      </c>
      <c r="AK19" s="85" t="str">
        <f>HYPERLINK("https://yt3.ggpht.com/ytc/AAUvwniiqW-fTJdOExHyJM479OLYbTQyZrDuxnE-dg=s88-c-k-c0x00ffffff-no-rj")</f>
        <v>https://yt3.ggpht.com/ytc/AAUvwniiqW-fTJdOExHyJM479OLYbTQyZrDuxnE-dg=s88-c-k-c0x00ffffff-no-rj</v>
      </c>
      <c r="AL19" s="80">
        <v>0</v>
      </c>
      <c r="AM19" s="80">
        <v>0</v>
      </c>
      <c r="AN19" s="80">
        <v>0</v>
      </c>
      <c r="AO19" s="80" t="b">
        <v>0</v>
      </c>
      <c r="AP19" s="80">
        <v>0</v>
      </c>
      <c r="AQ19" s="80"/>
      <c r="AR19" s="80"/>
      <c r="AS19" s="80" t="s">
        <v>2664</v>
      </c>
      <c r="AT19" s="85" t="str">
        <f>HYPERLINK("https://www.youtube.com/channel/UCs_6FjyM2UKFf8Ec6JvMhQg")</f>
        <v>https://www.youtube.com/channel/UCs_6FjyM2UKFf8Ec6JvMhQg</v>
      </c>
      <c r="AU19" s="80" t="str">
        <f>REPLACE(INDEX(GroupVertices[Group],MATCH(Vertices[[#This Row],[Vertex]],GroupVertices[Vertex],0)),1,1,"")</f>
        <v>9</v>
      </c>
      <c r="AV19" s="49">
        <v>0</v>
      </c>
      <c r="AW19" s="50">
        <v>0</v>
      </c>
      <c r="AX19" s="49">
        <v>0</v>
      </c>
      <c r="AY19" s="50">
        <v>0</v>
      </c>
      <c r="AZ19" s="49">
        <v>0</v>
      </c>
      <c r="BA19" s="50">
        <v>0</v>
      </c>
      <c r="BB19" s="49">
        <v>4</v>
      </c>
      <c r="BC19" s="50">
        <v>100</v>
      </c>
      <c r="BD19" s="49">
        <v>4</v>
      </c>
      <c r="BE19" s="49"/>
      <c r="BF19" s="49"/>
      <c r="BG19" s="49"/>
      <c r="BH19" s="49"/>
      <c r="BI19" s="49"/>
      <c r="BJ19" s="49"/>
      <c r="BK19" s="111" t="s">
        <v>3682</v>
      </c>
      <c r="BL19" s="111" t="s">
        <v>3682</v>
      </c>
      <c r="BM19" s="111" t="s">
        <v>4158</v>
      </c>
      <c r="BN19" s="111" t="s">
        <v>4158</v>
      </c>
      <c r="BO19" s="2"/>
      <c r="BP19" s="3"/>
      <c r="BQ19" s="3"/>
      <c r="BR19" s="3"/>
      <c r="BS19" s="3"/>
    </row>
    <row r="20" spans="1:71" ht="15">
      <c r="A20" s="65" t="s">
        <v>229</v>
      </c>
      <c r="B20" s="66"/>
      <c r="C20" s="66"/>
      <c r="D20" s="67">
        <v>150</v>
      </c>
      <c r="E20" s="69"/>
      <c r="F20" s="103" t="str">
        <f>HYPERLINK("https://yt3.ggpht.com/ytc/AAUvwngmQEml-7S5-9wB_fkA_LJtD9rtshluFc0obSwv=s88-c-k-c0x00ffffff-no-rj")</f>
        <v>https://yt3.ggpht.com/ytc/AAUvwngmQEml-7S5-9wB_fkA_LJtD9rtshluFc0obSwv=s88-c-k-c0x00ffffff-no-rj</v>
      </c>
      <c r="G20" s="66"/>
      <c r="H20" s="70" t="s">
        <v>1588</v>
      </c>
      <c r="I20" s="71"/>
      <c r="J20" s="71" t="s">
        <v>159</v>
      </c>
      <c r="K20" s="70" t="s">
        <v>1588</v>
      </c>
      <c r="L20" s="74">
        <v>1</v>
      </c>
      <c r="M20" s="75">
        <v>6745.63330078125</v>
      </c>
      <c r="N20" s="75">
        <v>3384.067626953125</v>
      </c>
      <c r="O20" s="76"/>
      <c r="P20" s="77"/>
      <c r="Q20" s="77"/>
      <c r="R20" s="89"/>
      <c r="S20" s="49">
        <v>0</v>
      </c>
      <c r="T20" s="49">
        <v>1</v>
      </c>
      <c r="U20" s="50">
        <v>0</v>
      </c>
      <c r="V20" s="50">
        <v>0.02</v>
      </c>
      <c r="W20" s="50">
        <v>0</v>
      </c>
      <c r="X20" s="50">
        <v>0.548606</v>
      </c>
      <c r="Y20" s="50">
        <v>0</v>
      </c>
      <c r="Z20" s="50">
        <v>0</v>
      </c>
      <c r="AA20" s="72">
        <v>20</v>
      </c>
      <c r="AB20" s="72"/>
      <c r="AC20" s="73"/>
      <c r="AD20" s="80" t="s">
        <v>1588</v>
      </c>
      <c r="AE20" s="80"/>
      <c r="AF20" s="80"/>
      <c r="AG20" s="80"/>
      <c r="AH20" s="80"/>
      <c r="AI20" s="80"/>
      <c r="AJ20" s="87">
        <v>40913.30678240741</v>
      </c>
      <c r="AK20" s="85" t="str">
        <f>HYPERLINK("https://yt3.ggpht.com/ytc/AAUvwngmQEml-7S5-9wB_fkA_LJtD9rtshluFc0obSwv=s88-c-k-c0x00ffffff-no-rj")</f>
        <v>https://yt3.ggpht.com/ytc/AAUvwngmQEml-7S5-9wB_fkA_LJtD9rtshluFc0obSwv=s88-c-k-c0x00ffffff-no-rj</v>
      </c>
      <c r="AL20" s="80">
        <v>0</v>
      </c>
      <c r="AM20" s="80">
        <v>0</v>
      </c>
      <c r="AN20" s="80">
        <v>0</v>
      </c>
      <c r="AO20" s="80" t="b">
        <v>0</v>
      </c>
      <c r="AP20" s="80">
        <v>0</v>
      </c>
      <c r="AQ20" s="80"/>
      <c r="AR20" s="80"/>
      <c r="AS20" s="80" t="s">
        <v>2664</v>
      </c>
      <c r="AT20" s="85" t="str">
        <f>HYPERLINK("https://www.youtube.com/channel/UCDiv9tp_msbtpaIhI1uBh1A")</f>
        <v>https://www.youtube.com/channel/UCDiv9tp_msbtpaIhI1uBh1A</v>
      </c>
      <c r="AU20" s="80" t="str">
        <f>REPLACE(INDEX(GroupVertices[Group],MATCH(Vertices[[#This Row],[Vertex]],GroupVertices[Vertex],0)),1,1,"")</f>
        <v>9</v>
      </c>
      <c r="AV20" s="49">
        <v>0</v>
      </c>
      <c r="AW20" s="50">
        <v>0</v>
      </c>
      <c r="AX20" s="49">
        <v>0</v>
      </c>
      <c r="AY20" s="50">
        <v>0</v>
      </c>
      <c r="AZ20" s="49">
        <v>0</v>
      </c>
      <c r="BA20" s="50">
        <v>0</v>
      </c>
      <c r="BB20" s="49">
        <v>10</v>
      </c>
      <c r="BC20" s="50">
        <v>100</v>
      </c>
      <c r="BD20" s="49">
        <v>10</v>
      </c>
      <c r="BE20" s="49"/>
      <c r="BF20" s="49"/>
      <c r="BG20" s="49"/>
      <c r="BH20" s="49"/>
      <c r="BI20" s="49"/>
      <c r="BJ20" s="49"/>
      <c r="BK20" s="111" t="s">
        <v>3683</v>
      </c>
      <c r="BL20" s="111" t="s">
        <v>3683</v>
      </c>
      <c r="BM20" s="111" t="s">
        <v>4159</v>
      </c>
      <c r="BN20" s="111" t="s">
        <v>4159</v>
      </c>
      <c r="BO20" s="2"/>
      <c r="BP20" s="3"/>
      <c r="BQ20" s="3"/>
      <c r="BR20" s="3"/>
      <c r="BS20" s="3"/>
    </row>
    <row r="21" spans="1:71" ht="15">
      <c r="A21" s="65" t="s">
        <v>230</v>
      </c>
      <c r="B21" s="66"/>
      <c r="C21" s="66"/>
      <c r="D21" s="67">
        <v>150</v>
      </c>
      <c r="E21" s="69"/>
      <c r="F21" s="103" t="str">
        <f>HYPERLINK("https://yt3.ggpht.com/ytc/AAUvwnjkzdFJDBgdPMpI66INyKN3fljn0QiLyn71lA=s88-c-k-c0x00ffffff-no-rj")</f>
        <v>https://yt3.ggpht.com/ytc/AAUvwnjkzdFJDBgdPMpI66INyKN3fljn0QiLyn71lA=s88-c-k-c0x00ffffff-no-rj</v>
      </c>
      <c r="G21" s="66"/>
      <c r="H21" s="70" t="s">
        <v>1589</v>
      </c>
      <c r="I21" s="71"/>
      <c r="J21" s="71" t="s">
        <v>159</v>
      </c>
      <c r="K21" s="70" t="s">
        <v>1589</v>
      </c>
      <c r="L21" s="74">
        <v>1</v>
      </c>
      <c r="M21" s="75">
        <v>5861.72021484375</v>
      </c>
      <c r="N21" s="75">
        <v>2165.751708984375</v>
      </c>
      <c r="O21" s="76"/>
      <c r="P21" s="77"/>
      <c r="Q21" s="77"/>
      <c r="R21" s="89"/>
      <c r="S21" s="49">
        <v>0</v>
      </c>
      <c r="T21" s="49">
        <v>1</v>
      </c>
      <c r="U21" s="50">
        <v>0</v>
      </c>
      <c r="V21" s="50">
        <v>0.02</v>
      </c>
      <c r="W21" s="50">
        <v>0</v>
      </c>
      <c r="X21" s="50">
        <v>0.548606</v>
      </c>
      <c r="Y21" s="50">
        <v>0</v>
      </c>
      <c r="Z21" s="50">
        <v>0</v>
      </c>
      <c r="AA21" s="72">
        <v>21</v>
      </c>
      <c r="AB21" s="72"/>
      <c r="AC21" s="73"/>
      <c r="AD21" s="80" t="s">
        <v>1589</v>
      </c>
      <c r="AE21" s="80"/>
      <c r="AF21" s="80"/>
      <c r="AG21" s="80"/>
      <c r="AH21" s="80"/>
      <c r="AI21" s="80"/>
      <c r="AJ21" s="87">
        <v>43572.808969907404</v>
      </c>
      <c r="AK21" s="85" t="str">
        <f>HYPERLINK("https://yt3.ggpht.com/ytc/AAUvwnjkzdFJDBgdPMpI66INyKN3fljn0QiLyn71lA=s88-c-k-c0x00ffffff-no-rj")</f>
        <v>https://yt3.ggpht.com/ytc/AAUvwnjkzdFJDBgdPMpI66INyKN3fljn0QiLyn71lA=s88-c-k-c0x00ffffff-no-rj</v>
      </c>
      <c r="AL21" s="80">
        <v>0</v>
      </c>
      <c r="AM21" s="80">
        <v>0</v>
      </c>
      <c r="AN21" s="80">
        <v>0</v>
      </c>
      <c r="AO21" s="80" t="b">
        <v>0</v>
      </c>
      <c r="AP21" s="80">
        <v>0</v>
      </c>
      <c r="AQ21" s="80"/>
      <c r="AR21" s="80"/>
      <c r="AS21" s="80" t="s">
        <v>2664</v>
      </c>
      <c r="AT21" s="85" t="str">
        <f>HYPERLINK("https://www.youtube.com/channel/UC9ZkNLtd_4RHPtMK3tmZpyA")</f>
        <v>https://www.youtube.com/channel/UC9ZkNLtd_4RHPtMK3tmZpyA</v>
      </c>
      <c r="AU21" s="80" t="str">
        <f>REPLACE(INDEX(GroupVertices[Group],MATCH(Vertices[[#This Row],[Vertex]],GroupVertices[Vertex],0)),1,1,"")</f>
        <v>9</v>
      </c>
      <c r="AV21" s="49">
        <v>0</v>
      </c>
      <c r="AW21" s="50">
        <v>0</v>
      </c>
      <c r="AX21" s="49">
        <v>0</v>
      </c>
      <c r="AY21" s="50">
        <v>0</v>
      </c>
      <c r="AZ21" s="49">
        <v>0</v>
      </c>
      <c r="BA21" s="50">
        <v>0</v>
      </c>
      <c r="BB21" s="49">
        <v>2</v>
      </c>
      <c r="BC21" s="50">
        <v>100</v>
      </c>
      <c r="BD21" s="49">
        <v>2</v>
      </c>
      <c r="BE21" s="49"/>
      <c r="BF21" s="49"/>
      <c r="BG21" s="49"/>
      <c r="BH21" s="49"/>
      <c r="BI21" s="49"/>
      <c r="BJ21" s="49"/>
      <c r="BK21" s="111" t="s">
        <v>3684</v>
      </c>
      <c r="BL21" s="111" t="s">
        <v>3684</v>
      </c>
      <c r="BM21" s="111" t="s">
        <v>2390</v>
      </c>
      <c r="BN21" s="111" t="s">
        <v>2390</v>
      </c>
      <c r="BO21" s="2"/>
      <c r="BP21" s="3"/>
      <c r="BQ21" s="3"/>
      <c r="BR21" s="3"/>
      <c r="BS21" s="3"/>
    </row>
    <row r="22" spans="1:71" ht="15">
      <c r="A22" s="65" t="s">
        <v>231</v>
      </c>
      <c r="B22" s="66"/>
      <c r="C22" s="66"/>
      <c r="D22" s="67">
        <v>150</v>
      </c>
      <c r="E22" s="69"/>
      <c r="F22" s="103" t="str">
        <f>HYPERLINK("https://yt3.ggpht.com/ytc/AAUvwngUYwCL9uYEqPO-m1N30rCzlIJxEc2AoNuE6w=s88-c-k-c0x00ffffff-no-rj")</f>
        <v>https://yt3.ggpht.com/ytc/AAUvwngUYwCL9uYEqPO-m1N30rCzlIJxEc2AoNuE6w=s88-c-k-c0x00ffffff-no-rj</v>
      </c>
      <c r="G22" s="66"/>
      <c r="H22" s="70" t="s">
        <v>1590</v>
      </c>
      <c r="I22" s="71"/>
      <c r="J22" s="71" t="s">
        <v>159</v>
      </c>
      <c r="K22" s="70" t="s">
        <v>1590</v>
      </c>
      <c r="L22" s="74">
        <v>1</v>
      </c>
      <c r="M22" s="75">
        <v>6494.98095703125</v>
      </c>
      <c r="N22" s="75">
        <v>3529.2568359375</v>
      </c>
      <c r="O22" s="76"/>
      <c r="P22" s="77"/>
      <c r="Q22" s="77"/>
      <c r="R22" s="89"/>
      <c r="S22" s="49">
        <v>0</v>
      </c>
      <c r="T22" s="49">
        <v>1</v>
      </c>
      <c r="U22" s="50">
        <v>0</v>
      </c>
      <c r="V22" s="50">
        <v>0.02</v>
      </c>
      <c r="W22" s="50">
        <v>0</v>
      </c>
      <c r="X22" s="50">
        <v>0.548606</v>
      </c>
      <c r="Y22" s="50">
        <v>0</v>
      </c>
      <c r="Z22" s="50">
        <v>0</v>
      </c>
      <c r="AA22" s="72">
        <v>22</v>
      </c>
      <c r="AB22" s="72"/>
      <c r="AC22" s="73"/>
      <c r="AD22" s="80" t="s">
        <v>1590</v>
      </c>
      <c r="AE22" s="80"/>
      <c r="AF22" s="80"/>
      <c r="AG22" s="80"/>
      <c r="AH22" s="80"/>
      <c r="AI22" s="80"/>
      <c r="AJ22" s="87">
        <v>43241.64912037037</v>
      </c>
      <c r="AK22" s="85" t="str">
        <f>HYPERLINK("https://yt3.ggpht.com/ytc/AAUvwngUYwCL9uYEqPO-m1N30rCzlIJxEc2AoNuE6w=s88-c-k-c0x00ffffff-no-rj")</f>
        <v>https://yt3.ggpht.com/ytc/AAUvwngUYwCL9uYEqPO-m1N30rCzlIJxEc2AoNuE6w=s88-c-k-c0x00ffffff-no-rj</v>
      </c>
      <c r="AL22" s="80">
        <v>0</v>
      </c>
      <c r="AM22" s="80">
        <v>0</v>
      </c>
      <c r="AN22" s="80">
        <v>2</v>
      </c>
      <c r="AO22" s="80" t="b">
        <v>0</v>
      </c>
      <c r="AP22" s="80">
        <v>0</v>
      </c>
      <c r="AQ22" s="80"/>
      <c r="AR22" s="80"/>
      <c r="AS22" s="80" t="s">
        <v>2664</v>
      </c>
      <c r="AT22" s="85" t="str">
        <f>HYPERLINK("https://www.youtube.com/channel/UCYw80g2XXMm9nxC55wwfVqQ")</f>
        <v>https://www.youtube.com/channel/UCYw80g2XXMm9nxC55wwfVqQ</v>
      </c>
      <c r="AU22" s="80" t="str">
        <f>REPLACE(INDEX(GroupVertices[Group],MATCH(Vertices[[#This Row],[Vertex]],GroupVertices[Vertex],0)),1,1,"")</f>
        <v>9</v>
      </c>
      <c r="AV22" s="49">
        <v>0</v>
      </c>
      <c r="AW22" s="50">
        <v>0</v>
      </c>
      <c r="AX22" s="49">
        <v>0</v>
      </c>
      <c r="AY22" s="50">
        <v>0</v>
      </c>
      <c r="AZ22" s="49">
        <v>0</v>
      </c>
      <c r="BA22" s="50">
        <v>0</v>
      </c>
      <c r="BB22" s="49">
        <v>6</v>
      </c>
      <c r="BC22" s="50">
        <v>100</v>
      </c>
      <c r="BD22" s="49">
        <v>6</v>
      </c>
      <c r="BE22" s="49"/>
      <c r="BF22" s="49"/>
      <c r="BG22" s="49"/>
      <c r="BH22" s="49"/>
      <c r="BI22" s="49"/>
      <c r="BJ22" s="49"/>
      <c r="BK22" s="111" t="s">
        <v>3685</v>
      </c>
      <c r="BL22" s="111" t="s">
        <v>3685</v>
      </c>
      <c r="BM22" s="111" t="s">
        <v>4160</v>
      </c>
      <c r="BN22" s="111" t="s">
        <v>4160</v>
      </c>
      <c r="BO22" s="2"/>
      <c r="BP22" s="3"/>
      <c r="BQ22" s="3"/>
      <c r="BR22" s="3"/>
      <c r="BS22" s="3"/>
    </row>
    <row r="23" spans="1:71" ht="15">
      <c r="A23" s="65" t="s">
        <v>232</v>
      </c>
      <c r="B23" s="66"/>
      <c r="C23" s="66"/>
      <c r="D23" s="67">
        <v>150</v>
      </c>
      <c r="E23" s="69"/>
      <c r="F23" s="103" t="str">
        <f>HYPERLINK("https://yt3.ggpht.com/ytc/AAUvwniu3tjdMa-G2BJ8nMfzRJ64INxHk2Q1jyfaIphrDg=s88-c-k-c0x00ffffff-no-rj")</f>
        <v>https://yt3.ggpht.com/ytc/AAUvwniu3tjdMa-G2BJ8nMfzRJ64INxHk2Q1jyfaIphrDg=s88-c-k-c0x00ffffff-no-rj</v>
      </c>
      <c r="G23" s="66"/>
      <c r="H23" s="70" t="s">
        <v>1591</v>
      </c>
      <c r="I23" s="71"/>
      <c r="J23" s="71" t="s">
        <v>159</v>
      </c>
      <c r="K23" s="70" t="s">
        <v>1591</v>
      </c>
      <c r="L23" s="74">
        <v>1</v>
      </c>
      <c r="M23" s="75">
        <v>6451.4638671875</v>
      </c>
      <c r="N23" s="75">
        <v>3175.267822265625</v>
      </c>
      <c r="O23" s="76"/>
      <c r="P23" s="77"/>
      <c r="Q23" s="77"/>
      <c r="R23" s="89"/>
      <c r="S23" s="49">
        <v>0</v>
      </c>
      <c r="T23" s="49">
        <v>1</v>
      </c>
      <c r="U23" s="50">
        <v>0</v>
      </c>
      <c r="V23" s="50">
        <v>0.02</v>
      </c>
      <c r="W23" s="50">
        <v>0</v>
      </c>
      <c r="X23" s="50">
        <v>0.548606</v>
      </c>
      <c r="Y23" s="50">
        <v>0</v>
      </c>
      <c r="Z23" s="50">
        <v>0</v>
      </c>
      <c r="AA23" s="72">
        <v>23</v>
      </c>
      <c r="AB23" s="72"/>
      <c r="AC23" s="73"/>
      <c r="AD23" s="80" t="s">
        <v>1591</v>
      </c>
      <c r="AE23" s="80"/>
      <c r="AF23" s="80"/>
      <c r="AG23" s="80"/>
      <c r="AH23" s="80"/>
      <c r="AI23" s="80"/>
      <c r="AJ23" s="87">
        <v>41576.36462962963</v>
      </c>
      <c r="AK23" s="85" t="str">
        <f>HYPERLINK("https://yt3.ggpht.com/ytc/AAUvwniu3tjdMa-G2BJ8nMfzRJ64INxHk2Q1jyfaIphrDg=s88-c-k-c0x00ffffff-no-rj")</f>
        <v>https://yt3.ggpht.com/ytc/AAUvwniu3tjdMa-G2BJ8nMfzRJ64INxHk2Q1jyfaIphrDg=s88-c-k-c0x00ffffff-no-rj</v>
      </c>
      <c r="AL23" s="80">
        <v>0</v>
      </c>
      <c r="AM23" s="80">
        <v>0</v>
      </c>
      <c r="AN23" s="80">
        <v>4</v>
      </c>
      <c r="AO23" s="80" t="b">
        <v>0</v>
      </c>
      <c r="AP23" s="80">
        <v>0</v>
      </c>
      <c r="AQ23" s="80"/>
      <c r="AR23" s="80"/>
      <c r="AS23" s="80" t="s">
        <v>2664</v>
      </c>
      <c r="AT23" s="85" t="str">
        <f>HYPERLINK("https://www.youtube.com/channel/UCqhOxD6789KcGJ6lSk-aovQ")</f>
        <v>https://www.youtube.com/channel/UCqhOxD6789KcGJ6lSk-aovQ</v>
      </c>
      <c r="AU23" s="80" t="str">
        <f>REPLACE(INDEX(GroupVertices[Group],MATCH(Vertices[[#This Row],[Vertex]],GroupVertices[Vertex],0)),1,1,"")</f>
        <v>9</v>
      </c>
      <c r="AV23" s="49">
        <v>1</v>
      </c>
      <c r="AW23" s="50">
        <v>100</v>
      </c>
      <c r="AX23" s="49">
        <v>0</v>
      </c>
      <c r="AY23" s="50">
        <v>0</v>
      </c>
      <c r="AZ23" s="49">
        <v>0</v>
      </c>
      <c r="BA23" s="50">
        <v>0</v>
      </c>
      <c r="BB23" s="49">
        <v>0</v>
      </c>
      <c r="BC23" s="50">
        <v>0</v>
      </c>
      <c r="BD23" s="49">
        <v>1</v>
      </c>
      <c r="BE23" s="49"/>
      <c r="BF23" s="49"/>
      <c r="BG23" s="49"/>
      <c r="BH23" s="49"/>
      <c r="BI23" s="49"/>
      <c r="BJ23" s="49"/>
      <c r="BK23" s="111" t="s">
        <v>1110</v>
      </c>
      <c r="BL23" s="111" t="s">
        <v>1110</v>
      </c>
      <c r="BM23" s="111" t="s">
        <v>2390</v>
      </c>
      <c r="BN23" s="111" t="s">
        <v>2390</v>
      </c>
      <c r="BO23" s="2"/>
      <c r="BP23" s="3"/>
      <c r="BQ23" s="3"/>
      <c r="BR23" s="3"/>
      <c r="BS23" s="3"/>
    </row>
    <row r="24" spans="1:71" ht="15">
      <c r="A24" s="65" t="s">
        <v>233</v>
      </c>
      <c r="B24" s="66"/>
      <c r="C24" s="66"/>
      <c r="D24" s="67">
        <v>150</v>
      </c>
      <c r="E24" s="69"/>
      <c r="F24" s="103" t="str">
        <f>HYPERLINK("https://yt3.ggpht.com/a/default-user=s88")</f>
        <v>https://yt3.ggpht.com/a/default-user=s88</v>
      </c>
      <c r="G24" s="66"/>
      <c r="H24" s="70" t="s">
        <v>1592</v>
      </c>
      <c r="I24" s="71"/>
      <c r="J24" s="71" t="s">
        <v>159</v>
      </c>
      <c r="K24" s="70" t="s">
        <v>1592</v>
      </c>
      <c r="L24" s="74">
        <v>1</v>
      </c>
      <c r="M24" s="75">
        <v>5876.78662109375</v>
      </c>
      <c r="N24" s="75">
        <v>2513.940185546875</v>
      </c>
      <c r="O24" s="76"/>
      <c r="P24" s="77"/>
      <c r="Q24" s="77"/>
      <c r="R24" s="89"/>
      <c r="S24" s="49">
        <v>0</v>
      </c>
      <c r="T24" s="49">
        <v>1</v>
      </c>
      <c r="U24" s="50">
        <v>0</v>
      </c>
      <c r="V24" s="50">
        <v>0.02</v>
      </c>
      <c r="W24" s="50">
        <v>0</v>
      </c>
      <c r="X24" s="50">
        <v>0.548606</v>
      </c>
      <c r="Y24" s="50">
        <v>0</v>
      </c>
      <c r="Z24" s="50">
        <v>0</v>
      </c>
      <c r="AA24" s="72">
        <v>24</v>
      </c>
      <c r="AB24" s="72"/>
      <c r="AC24" s="73"/>
      <c r="AD24" s="80" t="s">
        <v>1592</v>
      </c>
      <c r="AE24" s="80"/>
      <c r="AF24" s="80"/>
      <c r="AG24" s="80"/>
      <c r="AH24" s="80"/>
      <c r="AI24" s="80"/>
      <c r="AJ24" s="87">
        <v>43080.689618055556</v>
      </c>
      <c r="AK24" s="85" t="str">
        <f>HYPERLINK("https://yt3.ggpht.com/a/default-user=s88")</f>
        <v>https://yt3.ggpht.com/a/default-user=s88</v>
      </c>
      <c r="AL24" s="80">
        <v>5</v>
      </c>
      <c r="AM24" s="80">
        <v>0</v>
      </c>
      <c r="AN24" s="80">
        <v>0</v>
      </c>
      <c r="AO24" s="80" t="b">
        <v>0</v>
      </c>
      <c r="AP24" s="80">
        <v>1</v>
      </c>
      <c r="AQ24" s="80"/>
      <c r="AR24" s="80"/>
      <c r="AS24" s="80" t="s">
        <v>2664</v>
      </c>
      <c r="AT24" s="85" t="str">
        <f>HYPERLINK("https://www.youtube.com/channel/UCSdmsFGa3ZNWmfpASt-hRng")</f>
        <v>https://www.youtube.com/channel/UCSdmsFGa3ZNWmfpASt-hRng</v>
      </c>
      <c r="AU24" s="80" t="str">
        <f>REPLACE(INDEX(GroupVertices[Group],MATCH(Vertices[[#This Row],[Vertex]],GroupVertices[Vertex],0)),1,1,"")</f>
        <v>9</v>
      </c>
      <c r="AV24" s="49">
        <v>0</v>
      </c>
      <c r="AW24" s="50">
        <v>0</v>
      </c>
      <c r="AX24" s="49">
        <v>0</v>
      </c>
      <c r="AY24" s="50">
        <v>0</v>
      </c>
      <c r="AZ24" s="49">
        <v>0</v>
      </c>
      <c r="BA24" s="50">
        <v>0</v>
      </c>
      <c r="BB24" s="49">
        <v>2</v>
      </c>
      <c r="BC24" s="50">
        <v>100</v>
      </c>
      <c r="BD24" s="49">
        <v>2</v>
      </c>
      <c r="BE24" s="49"/>
      <c r="BF24" s="49"/>
      <c r="BG24" s="49"/>
      <c r="BH24" s="49"/>
      <c r="BI24" s="49"/>
      <c r="BJ24" s="49"/>
      <c r="BK24" s="111" t="s">
        <v>2919</v>
      </c>
      <c r="BL24" s="111" t="s">
        <v>2919</v>
      </c>
      <c r="BM24" s="111" t="s">
        <v>2390</v>
      </c>
      <c r="BN24" s="111" t="s">
        <v>2390</v>
      </c>
      <c r="BO24" s="2"/>
      <c r="BP24" s="3"/>
      <c r="BQ24" s="3"/>
      <c r="BR24" s="3"/>
      <c r="BS24" s="3"/>
    </row>
    <row r="25" spans="1:71" ht="15">
      <c r="A25" s="65" t="s">
        <v>234</v>
      </c>
      <c r="B25" s="66"/>
      <c r="C25" s="66"/>
      <c r="D25" s="67">
        <v>150</v>
      </c>
      <c r="E25" s="69"/>
      <c r="F25" s="103" t="str">
        <f>HYPERLINK("https://yt3.ggpht.com/ytc/AAUvwnjuFtuy7QrhYDEbY_iZuAlAFtK3rnr3F7pg6W6UnA=s88-c-k-c0x00ffffff-no-rj")</f>
        <v>https://yt3.ggpht.com/ytc/AAUvwnjuFtuy7QrhYDEbY_iZuAlAFtK3rnr3F7pg6W6UnA=s88-c-k-c0x00ffffff-no-rj</v>
      </c>
      <c r="G25" s="66"/>
      <c r="H25" s="70" t="s">
        <v>1593</v>
      </c>
      <c r="I25" s="71"/>
      <c r="J25" s="71" t="s">
        <v>159</v>
      </c>
      <c r="K25" s="70" t="s">
        <v>1593</v>
      </c>
      <c r="L25" s="74">
        <v>1</v>
      </c>
      <c r="M25" s="75">
        <v>5741.93115234375</v>
      </c>
      <c r="N25" s="75">
        <v>3452.000244140625</v>
      </c>
      <c r="O25" s="76"/>
      <c r="P25" s="77"/>
      <c r="Q25" s="77"/>
      <c r="R25" s="89"/>
      <c r="S25" s="49">
        <v>0</v>
      </c>
      <c r="T25" s="49">
        <v>1</v>
      </c>
      <c r="U25" s="50">
        <v>0</v>
      </c>
      <c r="V25" s="50">
        <v>0.02</v>
      </c>
      <c r="W25" s="50">
        <v>0</v>
      </c>
      <c r="X25" s="50">
        <v>0.548606</v>
      </c>
      <c r="Y25" s="50">
        <v>0</v>
      </c>
      <c r="Z25" s="50">
        <v>0</v>
      </c>
      <c r="AA25" s="72">
        <v>25</v>
      </c>
      <c r="AB25" s="72"/>
      <c r="AC25" s="73"/>
      <c r="AD25" s="80" t="s">
        <v>1593</v>
      </c>
      <c r="AE25" s="80"/>
      <c r="AF25" s="80"/>
      <c r="AG25" s="80"/>
      <c r="AH25" s="80"/>
      <c r="AI25" s="80"/>
      <c r="AJ25" s="87">
        <v>44084.84569444445</v>
      </c>
      <c r="AK25" s="85" t="str">
        <f>HYPERLINK("https://yt3.ggpht.com/ytc/AAUvwnjuFtuy7QrhYDEbY_iZuAlAFtK3rnr3F7pg6W6UnA=s88-c-k-c0x00ffffff-no-rj")</f>
        <v>https://yt3.ggpht.com/ytc/AAUvwnjuFtuy7QrhYDEbY_iZuAlAFtK3rnr3F7pg6W6UnA=s88-c-k-c0x00ffffff-no-rj</v>
      </c>
      <c r="AL25" s="80">
        <v>0</v>
      </c>
      <c r="AM25" s="80">
        <v>0</v>
      </c>
      <c r="AN25" s="80">
        <v>0</v>
      </c>
      <c r="AO25" s="80" t="b">
        <v>0</v>
      </c>
      <c r="AP25" s="80">
        <v>0</v>
      </c>
      <c r="AQ25" s="80"/>
      <c r="AR25" s="80"/>
      <c r="AS25" s="80" t="s">
        <v>2664</v>
      </c>
      <c r="AT25" s="85" t="str">
        <f>HYPERLINK("https://www.youtube.com/channel/UCL1VTD4cUl2vAw1cvOOO5iw")</f>
        <v>https://www.youtube.com/channel/UCL1VTD4cUl2vAw1cvOOO5iw</v>
      </c>
      <c r="AU25" s="80" t="str">
        <f>REPLACE(INDEX(GroupVertices[Group],MATCH(Vertices[[#This Row],[Vertex]],GroupVertices[Vertex],0)),1,1,"")</f>
        <v>9</v>
      </c>
      <c r="AV25" s="49">
        <v>0</v>
      </c>
      <c r="AW25" s="50">
        <v>0</v>
      </c>
      <c r="AX25" s="49">
        <v>0</v>
      </c>
      <c r="AY25" s="50">
        <v>0</v>
      </c>
      <c r="AZ25" s="49">
        <v>0</v>
      </c>
      <c r="BA25" s="50">
        <v>0</v>
      </c>
      <c r="BB25" s="49">
        <v>4</v>
      </c>
      <c r="BC25" s="50">
        <v>100</v>
      </c>
      <c r="BD25" s="49">
        <v>4</v>
      </c>
      <c r="BE25" s="49"/>
      <c r="BF25" s="49"/>
      <c r="BG25" s="49"/>
      <c r="BH25" s="49"/>
      <c r="BI25" s="49"/>
      <c r="BJ25" s="49"/>
      <c r="BK25" s="111" t="s">
        <v>3686</v>
      </c>
      <c r="BL25" s="111" t="s">
        <v>3686</v>
      </c>
      <c r="BM25" s="111" t="s">
        <v>4161</v>
      </c>
      <c r="BN25" s="111" t="s">
        <v>4161</v>
      </c>
      <c r="BO25" s="2"/>
      <c r="BP25" s="3"/>
      <c r="BQ25" s="3"/>
      <c r="BR25" s="3"/>
      <c r="BS25" s="3"/>
    </row>
    <row r="26" spans="1:71" ht="15">
      <c r="A26" s="65" t="s">
        <v>235</v>
      </c>
      <c r="B26" s="66"/>
      <c r="C26" s="66"/>
      <c r="D26" s="67">
        <v>150</v>
      </c>
      <c r="E26" s="69"/>
      <c r="F26" s="103" t="str">
        <f>HYPERLINK("https://yt3.ggpht.com/ytc/AAUvwnism3v4-vvMJqNRSqVoysS-EKn0kmvg9lsS3O5J=s88-c-k-c0x00ffffff-no-rj")</f>
        <v>https://yt3.ggpht.com/ytc/AAUvwnism3v4-vvMJqNRSqVoysS-EKn0kmvg9lsS3O5J=s88-c-k-c0x00ffffff-no-rj</v>
      </c>
      <c r="G26" s="66"/>
      <c r="H26" s="70" t="s">
        <v>1594</v>
      </c>
      <c r="I26" s="71"/>
      <c r="J26" s="71" t="s">
        <v>159</v>
      </c>
      <c r="K26" s="70" t="s">
        <v>1594</v>
      </c>
      <c r="L26" s="74">
        <v>1</v>
      </c>
      <c r="M26" s="75">
        <v>6589.5439453125</v>
      </c>
      <c r="N26" s="75">
        <v>2541.37939453125</v>
      </c>
      <c r="O26" s="76"/>
      <c r="P26" s="77"/>
      <c r="Q26" s="77"/>
      <c r="R26" s="89"/>
      <c r="S26" s="49">
        <v>0</v>
      </c>
      <c r="T26" s="49">
        <v>1</v>
      </c>
      <c r="U26" s="50">
        <v>0</v>
      </c>
      <c r="V26" s="50">
        <v>0.02</v>
      </c>
      <c r="W26" s="50">
        <v>0</v>
      </c>
      <c r="X26" s="50">
        <v>0.548606</v>
      </c>
      <c r="Y26" s="50">
        <v>0</v>
      </c>
      <c r="Z26" s="50">
        <v>0</v>
      </c>
      <c r="AA26" s="72">
        <v>26</v>
      </c>
      <c r="AB26" s="72"/>
      <c r="AC26" s="73"/>
      <c r="AD26" s="80" t="s">
        <v>1594</v>
      </c>
      <c r="AE26" s="80"/>
      <c r="AF26" s="80"/>
      <c r="AG26" s="80"/>
      <c r="AH26" s="80"/>
      <c r="AI26" s="80"/>
      <c r="AJ26" s="87">
        <v>42776.46618055556</v>
      </c>
      <c r="AK26" s="85" t="str">
        <f>HYPERLINK("https://yt3.ggpht.com/ytc/AAUvwnism3v4-vvMJqNRSqVoysS-EKn0kmvg9lsS3O5J=s88-c-k-c0x00ffffff-no-rj")</f>
        <v>https://yt3.ggpht.com/ytc/AAUvwnism3v4-vvMJqNRSqVoysS-EKn0kmvg9lsS3O5J=s88-c-k-c0x00ffffff-no-rj</v>
      </c>
      <c r="AL26" s="80">
        <v>0</v>
      </c>
      <c r="AM26" s="80">
        <v>0</v>
      </c>
      <c r="AN26" s="80">
        <v>1</v>
      </c>
      <c r="AO26" s="80" t="b">
        <v>0</v>
      </c>
      <c r="AP26" s="80">
        <v>0</v>
      </c>
      <c r="AQ26" s="80"/>
      <c r="AR26" s="80"/>
      <c r="AS26" s="80" t="s">
        <v>2664</v>
      </c>
      <c r="AT26" s="85" t="str">
        <f>HYPERLINK("https://www.youtube.com/channel/UCp9Jrlj2dgFXMyo5xMA3QQA")</f>
        <v>https://www.youtube.com/channel/UCp9Jrlj2dgFXMyo5xMA3QQA</v>
      </c>
      <c r="AU26" s="80" t="str">
        <f>REPLACE(INDEX(GroupVertices[Group],MATCH(Vertices[[#This Row],[Vertex]],GroupVertices[Vertex],0)),1,1,"")</f>
        <v>9</v>
      </c>
      <c r="AV26" s="49">
        <v>2</v>
      </c>
      <c r="AW26" s="50">
        <v>40</v>
      </c>
      <c r="AX26" s="49">
        <v>0</v>
      </c>
      <c r="AY26" s="50">
        <v>0</v>
      </c>
      <c r="AZ26" s="49">
        <v>0</v>
      </c>
      <c r="BA26" s="50">
        <v>0</v>
      </c>
      <c r="BB26" s="49">
        <v>3</v>
      </c>
      <c r="BC26" s="50">
        <v>60</v>
      </c>
      <c r="BD26" s="49">
        <v>5</v>
      </c>
      <c r="BE26" s="49"/>
      <c r="BF26" s="49"/>
      <c r="BG26" s="49"/>
      <c r="BH26" s="49"/>
      <c r="BI26" s="49"/>
      <c r="BJ26" s="49"/>
      <c r="BK26" s="111" t="s">
        <v>3687</v>
      </c>
      <c r="BL26" s="111" t="s">
        <v>3687</v>
      </c>
      <c r="BM26" s="111" t="s">
        <v>4162</v>
      </c>
      <c r="BN26" s="111" t="s">
        <v>4162</v>
      </c>
      <c r="BO26" s="2"/>
      <c r="BP26" s="3"/>
      <c r="BQ26" s="3"/>
      <c r="BR26" s="3"/>
      <c r="BS26" s="3"/>
    </row>
    <row r="27" spans="1:71" ht="15">
      <c r="A27" s="65" t="s">
        <v>236</v>
      </c>
      <c r="B27" s="66"/>
      <c r="C27" s="66"/>
      <c r="D27" s="67">
        <v>150</v>
      </c>
      <c r="E27" s="69"/>
      <c r="F27" s="103" t="str">
        <f>HYPERLINK("https://yt3.ggpht.com/ytc/AAUvwnhncMr9CCUbMAFzMvJf04jCPjOfCsGdMUdK2oH1=s88-c-k-c0x00ffffff-no-rj")</f>
        <v>https://yt3.ggpht.com/ytc/AAUvwnhncMr9CCUbMAFzMvJf04jCPjOfCsGdMUdK2oH1=s88-c-k-c0x00ffffff-no-rj</v>
      </c>
      <c r="G27" s="66"/>
      <c r="H27" s="70" t="s">
        <v>1595</v>
      </c>
      <c r="I27" s="71"/>
      <c r="J27" s="71" t="s">
        <v>159</v>
      </c>
      <c r="K27" s="70" t="s">
        <v>1595</v>
      </c>
      <c r="L27" s="74">
        <v>1</v>
      </c>
      <c r="M27" s="75">
        <v>6450.45361328125</v>
      </c>
      <c r="N27" s="75">
        <v>2159.1806640625</v>
      </c>
      <c r="O27" s="76"/>
      <c r="P27" s="77"/>
      <c r="Q27" s="77"/>
      <c r="R27" s="89"/>
      <c r="S27" s="49">
        <v>0</v>
      </c>
      <c r="T27" s="49">
        <v>1</v>
      </c>
      <c r="U27" s="50">
        <v>0</v>
      </c>
      <c r="V27" s="50">
        <v>0.02</v>
      </c>
      <c r="W27" s="50">
        <v>0</v>
      </c>
      <c r="X27" s="50">
        <v>0.548606</v>
      </c>
      <c r="Y27" s="50">
        <v>0</v>
      </c>
      <c r="Z27" s="50">
        <v>0</v>
      </c>
      <c r="AA27" s="72">
        <v>27</v>
      </c>
      <c r="AB27" s="72"/>
      <c r="AC27" s="73"/>
      <c r="AD27" s="80" t="s">
        <v>1595</v>
      </c>
      <c r="AE27" s="80" t="s">
        <v>2424</v>
      </c>
      <c r="AF27" s="80"/>
      <c r="AG27" s="80"/>
      <c r="AH27" s="80"/>
      <c r="AI27" s="80"/>
      <c r="AJ27" s="87">
        <v>43627.4431712963</v>
      </c>
      <c r="AK27" s="85" t="str">
        <f>HYPERLINK("https://yt3.ggpht.com/ytc/AAUvwnhncMr9CCUbMAFzMvJf04jCPjOfCsGdMUdK2oH1=s88-c-k-c0x00ffffff-no-rj")</f>
        <v>https://yt3.ggpht.com/ytc/AAUvwnhncMr9CCUbMAFzMvJf04jCPjOfCsGdMUdK2oH1=s88-c-k-c0x00ffffff-no-rj</v>
      </c>
      <c r="AL27" s="80">
        <v>31</v>
      </c>
      <c r="AM27" s="80">
        <v>0</v>
      </c>
      <c r="AN27" s="80">
        <v>4</v>
      </c>
      <c r="AO27" s="80" t="b">
        <v>0</v>
      </c>
      <c r="AP27" s="80">
        <v>3</v>
      </c>
      <c r="AQ27" s="80"/>
      <c r="AR27" s="80"/>
      <c r="AS27" s="80" t="s">
        <v>2664</v>
      </c>
      <c r="AT27" s="85" t="str">
        <f>HYPERLINK("https://www.youtube.com/channel/UC8o2WZrbBgyYAKQCgfEzF_w")</f>
        <v>https://www.youtube.com/channel/UC8o2WZrbBgyYAKQCgfEzF_w</v>
      </c>
      <c r="AU27" s="80" t="str">
        <f>REPLACE(INDEX(GroupVertices[Group],MATCH(Vertices[[#This Row],[Vertex]],GroupVertices[Vertex],0)),1,1,"")</f>
        <v>9</v>
      </c>
      <c r="AV27" s="49">
        <v>1</v>
      </c>
      <c r="AW27" s="50">
        <v>33.333333333333336</v>
      </c>
      <c r="AX27" s="49">
        <v>0</v>
      </c>
      <c r="AY27" s="50">
        <v>0</v>
      </c>
      <c r="AZ27" s="49">
        <v>0</v>
      </c>
      <c r="BA27" s="50">
        <v>0</v>
      </c>
      <c r="BB27" s="49">
        <v>2</v>
      </c>
      <c r="BC27" s="50">
        <v>66.66666666666667</v>
      </c>
      <c r="BD27" s="49">
        <v>3</v>
      </c>
      <c r="BE27" s="49"/>
      <c r="BF27" s="49"/>
      <c r="BG27" s="49"/>
      <c r="BH27" s="49"/>
      <c r="BI27" s="49"/>
      <c r="BJ27" s="49"/>
      <c r="BK27" s="111" t="s">
        <v>2919</v>
      </c>
      <c r="BL27" s="111" t="s">
        <v>2919</v>
      </c>
      <c r="BM27" s="111" t="s">
        <v>2390</v>
      </c>
      <c r="BN27" s="111" t="s">
        <v>2390</v>
      </c>
      <c r="BO27" s="2"/>
      <c r="BP27" s="3"/>
      <c r="BQ27" s="3"/>
      <c r="BR27" s="3"/>
      <c r="BS27" s="3"/>
    </row>
    <row r="28" spans="1:71" ht="15">
      <c r="A28" s="65" t="s">
        <v>237</v>
      </c>
      <c r="B28" s="66"/>
      <c r="C28" s="66"/>
      <c r="D28" s="67">
        <v>150</v>
      </c>
      <c r="E28" s="69"/>
      <c r="F28" s="103" t="str">
        <f>HYPERLINK("https://yt3.ggpht.com/ytc/AAUvwnh1qAj-QTX2DHNxNIhOMk0ysoi3vdL1G8lCteWONCM=s88-c-k-c0x00ffffff-no-rj")</f>
        <v>https://yt3.ggpht.com/ytc/AAUvwnh1qAj-QTX2DHNxNIhOMk0ysoi3vdL1G8lCteWONCM=s88-c-k-c0x00ffffff-no-rj</v>
      </c>
      <c r="G28" s="66"/>
      <c r="H28" s="70" t="s">
        <v>1596</v>
      </c>
      <c r="I28" s="71"/>
      <c r="J28" s="71" t="s">
        <v>159</v>
      </c>
      <c r="K28" s="70" t="s">
        <v>1596</v>
      </c>
      <c r="L28" s="74">
        <v>1</v>
      </c>
      <c r="M28" s="75">
        <v>5605.68408203125</v>
      </c>
      <c r="N28" s="75">
        <v>2313.274658203125</v>
      </c>
      <c r="O28" s="76"/>
      <c r="P28" s="77"/>
      <c r="Q28" s="77"/>
      <c r="R28" s="89"/>
      <c r="S28" s="49">
        <v>0</v>
      </c>
      <c r="T28" s="49">
        <v>1</v>
      </c>
      <c r="U28" s="50">
        <v>0</v>
      </c>
      <c r="V28" s="50">
        <v>0.02</v>
      </c>
      <c r="W28" s="50">
        <v>0</v>
      </c>
      <c r="X28" s="50">
        <v>0.548606</v>
      </c>
      <c r="Y28" s="50">
        <v>0</v>
      </c>
      <c r="Z28" s="50">
        <v>0</v>
      </c>
      <c r="AA28" s="72">
        <v>28</v>
      </c>
      <c r="AB28" s="72"/>
      <c r="AC28" s="73"/>
      <c r="AD28" s="80" t="s">
        <v>1596</v>
      </c>
      <c r="AE28" s="80"/>
      <c r="AF28" s="80"/>
      <c r="AG28" s="80"/>
      <c r="AH28" s="80"/>
      <c r="AI28" s="80"/>
      <c r="AJ28" s="87">
        <v>41567.78074074074</v>
      </c>
      <c r="AK28" s="85" t="str">
        <f>HYPERLINK("https://yt3.ggpht.com/ytc/AAUvwnh1qAj-QTX2DHNxNIhOMk0ysoi3vdL1G8lCteWONCM=s88-c-k-c0x00ffffff-no-rj")</f>
        <v>https://yt3.ggpht.com/ytc/AAUvwnh1qAj-QTX2DHNxNIhOMk0ysoi3vdL1G8lCteWONCM=s88-c-k-c0x00ffffff-no-rj</v>
      </c>
      <c r="AL28" s="80">
        <v>998</v>
      </c>
      <c r="AM28" s="80">
        <v>0</v>
      </c>
      <c r="AN28" s="80">
        <v>17</v>
      </c>
      <c r="AO28" s="80" t="b">
        <v>0</v>
      </c>
      <c r="AP28" s="80">
        <v>234</v>
      </c>
      <c r="AQ28" s="80"/>
      <c r="AR28" s="80"/>
      <c r="AS28" s="80" t="s">
        <v>2664</v>
      </c>
      <c r="AT28" s="85" t="str">
        <f>HYPERLINK("https://www.youtube.com/channel/UCuTYjCMs0KegX5xrv-0tjJQ")</f>
        <v>https://www.youtube.com/channel/UCuTYjCMs0KegX5xrv-0tjJQ</v>
      </c>
      <c r="AU28" s="80" t="str">
        <f>REPLACE(INDEX(GroupVertices[Group],MATCH(Vertices[[#This Row],[Vertex]],GroupVertices[Vertex],0)),1,1,"")</f>
        <v>9</v>
      </c>
      <c r="AV28" s="49">
        <v>0</v>
      </c>
      <c r="AW28" s="50">
        <v>0</v>
      </c>
      <c r="AX28" s="49">
        <v>0</v>
      </c>
      <c r="AY28" s="50">
        <v>0</v>
      </c>
      <c r="AZ28" s="49">
        <v>0</v>
      </c>
      <c r="BA28" s="50">
        <v>0</v>
      </c>
      <c r="BB28" s="49">
        <v>2</v>
      </c>
      <c r="BC28" s="50">
        <v>100</v>
      </c>
      <c r="BD28" s="49">
        <v>2</v>
      </c>
      <c r="BE28" s="49"/>
      <c r="BF28" s="49"/>
      <c r="BG28" s="49"/>
      <c r="BH28" s="49"/>
      <c r="BI28" s="49"/>
      <c r="BJ28" s="49"/>
      <c r="BK28" s="111" t="s">
        <v>2736</v>
      </c>
      <c r="BL28" s="111" t="s">
        <v>2736</v>
      </c>
      <c r="BM28" s="111" t="s">
        <v>2390</v>
      </c>
      <c r="BN28" s="111" t="s">
        <v>2390</v>
      </c>
      <c r="BO28" s="2"/>
      <c r="BP28" s="3"/>
      <c r="BQ28" s="3"/>
      <c r="BR28" s="3"/>
      <c r="BS28" s="3"/>
    </row>
    <row r="29" spans="1:71" ht="15">
      <c r="A29" s="65" t="s">
        <v>238</v>
      </c>
      <c r="B29" s="66"/>
      <c r="C29" s="66"/>
      <c r="D29" s="67">
        <v>150</v>
      </c>
      <c r="E29" s="69"/>
      <c r="F29" s="103" t="str">
        <f>HYPERLINK("https://yt3.ggpht.com/ytc/AAUvwni1pND7jF_Wj9EX3C7AerhWkMIBE3qmAA9XgivNBwU=s88-c-k-c0x00ffffff-no-rj")</f>
        <v>https://yt3.ggpht.com/ytc/AAUvwni1pND7jF_Wj9EX3C7AerhWkMIBE3qmAA9XgivNBwU=s88-c-k-c0x00ffffff-no-rj</v>
      </c>
      <c r="G29" s="66"/>
      <c r="H29" s="70" t="s">
        <v>1597</v>
      </c>
      <c r="I29" s="71"/>
      <c r="J29" s="71" t="s">
        <v>159</v>
      </c>
      <c r="K29" s="70" t="s">
        <v>1597</v>
      </c>
      <c r="L29" s="74">
        <v>1</v>
      </c>
      <c r="M29" s="75">
        <v>9388.658203125</v>
      </c>
      <c r="N29" s="75">
        <v>1072.86962890625</v>
      </c>
      <c r="O29" s="76"/>
      <c r="P29" s="77"/>
      <c r="Q29" s="77"/>
      <c r="R29" s="89"/>
      <c r="S29" s="49">
        <v>0</v>
      </c>
      <c r="T29" s="49">
        <v>1</v>
      </c>
      <c r="U29" s="50">
        <v>0</v>
      </c>
      <c r="V29" s="50">
        <v>1</v>
      </c>
      <c r="W29" s="50">
        <v>0</v>
      </c>
      <c r="X29" s="50">
        <v>0.701754</v>
      </c>
      <c r="Y29" s="50">
        <v>0</v>
      </c>
      <c r="Z29" s="50">
        <v>0</v>
      </c>
      <c r="AA29" s="72">
        <v>29</v>
      </c>
      <c r="AB29" s="72"/>
      <c r="AC29" s="73"/>
      <c r="AD29" s="80" t="s">
        <v>1597</v>
      </c>
      <c r="AE29" s="80"/>
      <c r="AF29" s="80"/>
      <c r="AG29" s="80"/>
      <c r="AH29" s="80"/>
      <c r="AI29" s="80"/>
      <c r="AJ29" s="87">
        <v>42061.746886574074</v>
      </c>
      <c r="AK29" s="85" t="str">
        <f>HYPERLINK("https://yt3.ggpht.com/ytc/AAUvwni1pND7jF_Wj9EX3C7AerhWkMIBE3qmAA9XgivNBwU=s88-c-k-c0x00ffffff-no-rj")</f>
        <v>https://yt3.ggpht.com/ytc/AAUvwni1pND7jF_Wj9EX3C7AerhWkMIBE3qmAA9XgivNBwU=s88-c-k-c0x00ffffff-no-rj</v>
      </c>
      <c r="AL29" s="80">
        <v>0</v>
      </c>
      <c r="AM29" s="80">
        <v>0</v>
      </c>
      <c r="AN29" s="80">
        <v>2</v>
      </c>
      <c r="AO29" s="80" t="b">
        <v>0</v>
      </c>
      <c r="AP29" s="80">
        <v>0</v>
      </c>
      <c r="AQ29" s="80"/>
      <c r="AR29" s="80"/>
      <c r="AS29" s="80" t="s">
        <v>2664</v>
      </c>
      <c r="AT29" s="85" t="str">
        <f>HYPERLINK("https://www.youtube.com/channel/UCq9sUq7pKOLECILFy7pFbuw")</f>
        <v>https://www.youtube.com/channel/UCq9sUq7pKOLECILFy7pFbuw</v>
      </c>
      <c r="AU29" s="80" t="str">
        <f>REPLACE(INDEX(GroupVertices[Group],MATCH(Vertices[[#This Row],[Vertex]],GroupVertices[Vertex],0)),1,1,"")</f>
        <v>24</v>
      </c>
      <c r="AV29" s="49">
        <v>4</v>
      </c>
      <c r="AW29" s="50">
        <v>23.529411764705884</v>
      </c>
      <c r="AX29" s="49">
        <v>0</v>
      </c>
      <c r="AY29" s="50">
        <v>0</v>
      </c>
      <c r="AZ29" s="49">
        <v>0</v>
      </c>
      <c r="BA29" s="50">
        <v>0</v>
      </c>
      <c r="BB29" s="49">
        <v>13</v>
      </c>
      <c r="BC29" s="50">
        <v>76.47058823529412</v>
      </c>
      <c r="BD29" s="49">
        <v>17</v>
      </c>
      <c r="BE29" s="49"/>
      <c r="BF29" s="49"/>
      <c r="BG29" s="49"/>
      <c r="BH29" s="49"/>
      <c r="BI29" s="49"/>
      <c r="BJ29" s="49"/>
      <c r="BK29" s="111" t="s">
        <v>3688</v>
      </c>
      <c r="BL29" s="111" t="s">
        <v>3688</v>
      </c>
      <c r="BM29" s="111" t="s">
        <v>4163</v>
      </c>
      <c r="BN29" s="111" t="s">
        <v>4163</v>
      </c>
      <c r="BO29" s="2"/>
      <c r="BP29" s="3"/>
      <c r="BQ29" s="3"/>
      <c r="BR29" s="3"/>
      <c r="BS29" s="3"/>
    </row>
    <row r="30" spans="1:71" ht="15">
      <c r="A30" s="65" t="s">
        <v>825</v>
      </c>
      <c r="B30" s="66"/>
      <c r="C30" s="66"/>
      <c r="D30" s="67">
        <v>433.3333333333333</v>
      </c>
      <c r="E30" s="69"/>
      <c r="F30" s="103" t="str">
        <f>HYPERLINK("https://yt3.ggpht.com/ytc/AAUvwngDUyQszwS-X5NLgL-DOY5vm1bzfoVCrGKI4jOupw=s88-c-k-c0x00ffffff-no-rj")</f>
        <v>https://yt3.ggpht.com/ytc/AAUvwngDUyQszwS-X5NLgL-DOY5vm1bzfoVCrGKI4jOupw=s88-c-k-c0x00ffffff-no-rj</v>
      </c>
      <c r="G30" s="66"/>
      <c r="H30" s="70" t="s">
        <v>2404</v>
      </c>
      <c r="I30" s="71"/>
      <c r="J30" s="71" t="s">
        <v>75</v>
      </c>
      <c r="K30" s="70" t="s">
        <v>2404</v>
      </c>
      <c r="L30" s="74">
        <v>191.43809523809523</v>
      </c>
      <c r="M30" s="75">
        <v>9388.658203125</v>
      </c>
      <c r="N30" s="75">
        <v>733.3081665039062</v>
      </c>
      <c r="O30" s="76"/>
      <c r="P30" s="77"/>
      <c r="Q30" s="77"/>
      <c r="R30" s="89"/>
      <c r="S30" s="49">
        <v>2</v>
      </c>
      <c r="T30" s="49">
        <v>1</v>
      </c>
      <c r="U30" s="50">
        <v>0</v>
      </c>
      <c r="V30" s="50">
        <v>1</v>
      </c>
      <c r="W30" s="50">
        <v>0</v>
      </c>
      <c r="X30" s="50">
        <v>1.298244</v>
      </c>
      <c r="Y30" s="50">
        <v>0</v>
      </c>
      <c r="Z30" s="50">
        <v>0</v>
      </c>
      <c r="AA30" s="72">
        <v>30</v>
      </c>
      <c r="AB30" s="72"/>
      <c r="AC30" s="73"/>
      <c r="AD30" s="80" t="s">
        <v>2404</v>
      </c>
      <c r="AE30" s="80" t="s">
        <v>2425</v>
      </c>
      <c r="AF30" s="80"/>
      <c r="AG30" s="80"/>
      <c r="AH30" s="80"/>
      <c r="AI30" s="80"/>
      <c r="AJ30" s="87">
        <v>40865.55349537037</v>
      </c>
      <c r="AK30" s="85" t="str">
        <f>HYPERLINK("https://yt3.ggpht.com/ytc/AAUvwngDUyQszwS-X5NLgL-DOY5vm1bzfoVCrGKI4jOupw=s88-c-k-c0x00ffffff-no-rj")</f>
        <v>https://yt3.ggpht.com/ytc/AAUvwngDUyQszwS-X5NLgL-DOY5vm1bzfoVCrGKI4jOupw=s88-c-k-c0x00ffffff-no-rj</v>
      </c>
      <c r="AL30" s="80">
        <v>1415366</v>
      </c>
      <c r="AM30" s="80">
        <v>0</v>
      </c>
      <c r="AN30" s="80">
        <v>79200</v>
      </c>
      <c r="AO30" s="80" t="b">
        <v>0</v>
      </c>
      <c r="AP30" s="80">
        <v>156</v>
      </c>
      <c r="AQ30" s="80"/>
      <c r="AR30" s="80"/>
      <c r="AS30" s="80" t="s">
        <v>2664</v>
      </c>
      <c r="AT30" s="85" t="str">
        <f>HYPERLINK("https://www.youtube.com/channel/UCGqabAVv0SRD_SjtodhQPTQ")</f>
        <v>https://www.youtube.com/channel/UCGqabAVv0SRD_SjtodhQPTQ</v>
      </c>
      <c r="AU30" s="80" t="str">
        <f>REPLACE(INDEX(GroupVertices[Group],MATCH(Vertices[[#This Row],[Vertex]],GroupVertices[Vertex],0)),1,1,"")</f>
        <v>24</v>
      </c>
      <c r="AV30" s="49"/>
      <c r="AW30" s="50"/>
      <c r="AX30" s="49"/>
      <c r="AY30" s="50"/>
      <c r="AZ30" s="49"/>
      <c r="BA30" s="50"/>
      <c r="BB30" s="49"/>
      <c r="BC30" s="50"/>
      <c r="BD30" s="49"/>
      <c r="BE30" s="49"/>
      <c r="BF30" s="49"/>
      <c r="BG30" s="49"/>
      <c r="BH30" s="49"/>
      <c r="BI30" s="49"/>
      <c r="BJ30" s="49"/>
      <c r="BK30" s="111" t="s">
        <v>2390</v>
      </c>
      <c r="BL30" s="111" t="s">
        <v>2390</v>
      </c>
      <c r="BM30" s="111" t="s">
        <v>2390</v>
      </c>
      <c r="BN30" s="111" t="s">
        <v>2390</v>
      </c>
      <c r="BO30" s="2"/>
      <c r="BP30" s="3"/>
      <c r="BQ30" s="3"/>
      <c r="BR30" s="3"/>
      <c r="BS30" s="3"/>
    </row>
    <row r="31" spans="1:71" ht="15">
      <c r="A31" s="65" t="s">
        <v>239</v>
      </c>
      <c r="B31" s="66"/>
      <c r="C31" s="66"/>
      <c r="D31" s="67">
        <v>150</v>
      </c>
      <c r="E31" s="69"/>
      <c r="F31" s="103" t="str">
        <f>HYPERLINK("https://yt3.ggpht.com/ytc/AAUvwnhREgv9eUcGOnrhKTDCaXxBZh5khTgu5pulG69dgw=s88-c-k-c0x00ffffff-no-rj")</f>
        <v>https://yt3.ggpht.com/ytc/AAUvwnhREgv9eUcGOnrhKTDCaXxBZh5khTgu5pulG69dgw=s88-c-k-c0x00ffffff-no-rj</v>
      </c>
      <c r="G31" s="66"/>
      <c r="H31" s="70" t="s">
        <v>1598</v>
      </c>
      <c r="I31" s="71"/>
      <c r="J31" s="71" t="s">
        <v>159</v>
      </c>
      <c r="K31" s="70" t="s">
        <v>1598</v>
      </c>
      <c r="L31" s="74">
        <v>1</v>
      </c>
      <c r="M31" s="75">
        <v>3920.1474609375</v>
      </c>
      <c r="N31" s="75">
        <v>1809.565185546875</v>
      </c>
      <c r="O31" s="76"/>
      <c r="P31" s="77"/>
      <c r="Q31" s="77"/>
      <c r="R31" s="89"/>
      <c r="S31" s="49">
        <v>0</v>
      </c>
      <c r="T31" s="49">
        <v>1</v>
      </c>
      <c r="U31" s="50">
        <v>0</v>
      </c>
      <c r="V31" s="50">
        <v>0.015152</v>
      </c>
      <c r="W31" s="50">
        <v>0</v>
      </c>
      <c r="X31" s="50">
        <v>0.535667</v>
      </c>
      <c r="Y31" s="50">
        <v>0</v>
      </c>
      <c r="Z31" s="50">
        <v>0</v>
      </c>
      <c r="AA31" s="72">
        <v>31</v>
      </c>
      <c r="AB31" s="72"/>
      <c r="AC31" s="73"/>
      <c r="AD31" s="80" t="s">
        <v>1598</v>
      </c>
      <c r="AE31" s="80" t="s">
        <v>2426</v>
      </c>
      <c r="AF31" s="80"/>
      <c r="AG31" s="80"/>
      <c r="AH31" s="80"/>
      <c r="AI31" s="80"/>
      <c r="AJ31" s="87">
        <v>42677.56543981482</v>
      </c>
      <c r="AK31" s="85" t="str">
        <f>HYPERLINK("https://yt3.ggpht.com/ytc/AAUvwnhREgv9eUcGOnrhKTDCaXxBZh5khTgu5pulG69dgw=s88-c-k-c0x00ffffff-no-rj")</f>
        <v>https://yt3.ggpht.com/ytc/AAUvwnhREgv9eUcGOnrhKTDCaXxBZh5khTgu5pulG69dgw=s88-c-k-c0x00ffffff-no-rj</v>
      </c>
      <c r="AL31" s="80">
        <v>5782</v>
      </c>
      <c r="AM31" s="80">
        <v>0</v>
      </c>
      <c r="AN31" s="80">
        <v>228</v>
      </c>
      <c r="AO31" s="80" t="b">
        <v>0</v>
      </c>
      <c r="AP31" s="80">
        <v>43</v>
      </c>
      <c r="AQ31" s="80"/>
      <c r="AR31" s="80"/>
      <c r="AS31" s="80" t="s">
        <v>2664</v>
      </c>
      <c r="AT31" s="85" t="str">
        <f>HYPERLINK("https://www.youtube.com/channel/UCYF_cZa5umMhfurNbMM-1eA")</f>
        <v>https://www.youtube.com/channel/UCYF_cZa5umMhfurNbMM-1eA</v>
      </c>
      <c r="AU31" s="80" t="str">
        <f>REPLACE(INDEX(GroupVertices[Group],MATCH(Vertices[[#This Row],[Vertex]],GroupVertices[Vertex],0)),1,1,"")</f>
        <v>6</v>
      </c>
      <c r="AV31" s="49">
        <v>0</v>
      </c>
      <c r="AW31" s="50">
        <v>0</v>
      </c>
      <c r="AX31" s="49">
        <v>0</v>
      </c>
      <c r="AY31" s="50">
        <v>0</v>
      </c>
      <c r="AZ31" s="49">
        <v>0</v>
      </c>
      <c r="BA31" s="50">
        <v>0</v>
      </c>
      <c r="BB31" s="49">
        <v>2</v>
      </c>
      <c r="BC31" s="50">
        <v>100</v>
      </c>
      <c r="BD31" s="49">
        <v>2</v>
      </c>
      <c r="BE31" s="49"/>
      <c r="BF31" s="49"/>
      <c r="BG31" s="49"/>
      <c r="BH31" s="49"/>
      <c r="BI31" s="49"/>
      <c r="BJ31" s="49"/>
      <c r="BK31" s="111" t="s">
        <v>2716</v>
      </c>
      <c r="BL31" s="111" t="s">
        <v>2716</v>
      </c>
      <c r="BM31" s="111" t="s">
        <v>2390</v>
      </c>
      <c r="BN31" s="111" t="s">
        <v>2390</v>
      </c>
      <c r="BO31" s="2"/>
      <c r="BP31" s="3"/>
      <c r="BQ31" s="3"/>
      <c r="BR31" s="3"/>
      <c r="BS31" s="3"/>
    </row>
    <row r="32" spans="1:71" ht="15">
      <c r="A32" s="65" t="s">
        <v>826</v>
      </c>
      <c r="B32" s="66"/>
      <c r="C32" s="66"/>
      <c r="D32" s="67">
        <v>1000</v>
      </c>
      <c r="E32" s="69"/>
      <c r="F32" s="103" t="str">
        <f>HYPERLINK("https://yt3.ggpht.com/ytc/AAUvwnhLMql3_wiksEvgRILihDcFXbwbnxI4Vj6x6aAepQ=s88-c-k-c0x00ffffff-no-rj")</f>
        <v>https://yt3.ggpht.com/ytc/AAUvwnhLMql3_wiksEvgRILihDcFXbwbnxI4Vj6x6aAepQ=s88-c-k-c0x00ffffff-no-rj</v>
      </c>
      <c r="G32" s="66"/>
      <c r="H32" s="70" t="s">
        <v>2405</v>
      </c>
      <c r="I32" s="71"/>
      <c r="J32" s="71" t="s">
        <v>75</v>
      </c>
      <c r="K32" s="70" t="s">
        <v>2405</v>
      </c>
      <c r="L32" s="74">
        <v>3143.2285714285713</v>
      </c>
      <c r="M32" s="75">
        <v>4364.15966796875</v>
      </c>
      <c r="N32" s="75">
        <v>1069.68310546875</v>
      </c>
      <c r="O32" s="76"/>
      <c r="P32" s="77"/>
      <c r="Q32" s="77"/>
      <c r="R32" s="89"/>
      <c r="S32" s="49">
        <v>33</v>
      </c>
      <c r="T32" s="49">
        <v>1</v>
      </c>
      <c r="U32" s="50">
        <v>1052</v>
      </c>
      <c r="V32" s="50">
        <v>0.029412</v>
      </c>
      <c r="W32" s="50">
        <v>0</v>
      </c>
      <c r="X32" s="50">
        <v>14.972962</v>
      </c>
      <c r="Y32" s="50">
        <v>0.0010080645161290322</v>
      </c>
      <c r="Z32" s="50">
        <v>0</v>
      </c>
      <c r="AA32" s="72">
        <v>32</v>
      </c>
      <c r="AB32" s="72"/>
      <c r="AC32" s="73"/>
      <c r="AD32" s="80" t="s">
        <v>2405</v>
      </c>
      <c r="AE32" s="80" t="s">
        <v>2427</v>
      </c>
      <c r="AF32" s="80"/>
      <c r="AG32" s="80"/>
      <c r="AH32" s="80"/>
      <c r="AI32" s="80" t="s">
        <v>2631</v>
      </c>
      <c r="AJ32" s="87">
        <v>42304.413564814815</v>
      </c>
      <c r="AK32" s="85" t="str">
        <f>HYPERLINK("https://yt3.ggpht.com/ytc/AAUvwnhLMql3_wiksEvgRILihDcFXbwbnxI4Vj6x6aAepQ=s88-c-k-c0x00ffffff-no-rj")</f>
        <v>https://yt3.ggpht.com/ytc/AAUvwnhLMql3_wiksEvgRILihDcFXbwbnxI4Vj6x6aAepQ=s88-c-k-c0x00ffffff-no-rj</v>
      </c>
      <c r="AL32" s="80">
        <v>125035240</v>
      </c>
      <c r="AM32" s="80">
        <v>0</v>
      </c>
      <c r="AN32" s="80">
        <v>1110000</v>
      </c>
      <c r="AO32" s="80" t="b">
        <v>0</v>
      </c>
      <c r="AP32" s="80">
        <v>11111</v>
      </c>
      <c r="AQ32" s="80"/>
      <c r="AR32" s="80"/>
      <c r="AS32" s="80" t="s">
        <v>2664</v>
      </c>
      <c r="AT32" s="85" t="str">
        <f>HYPERLINK("https://www.youtube.com/channel/UC04e1vy95lGjggcYbwgbOfw")</f>
        <v>https://www.youtube.com/channel/UC04e1vy95lGjggcYbwgbOfw</v>
      </c>
      <c r="AU32" s="80" t="str">
        <f>REPLACE(INDEX(GroupVertices[Group],MATCH(Vertices[[#This Row],[Vertex]],GroupVertices[Vertex],0)),1,1,"")</f>
        <v>6</v>
      </c>
      <c r="AV32" s="49"/>
      <c r="AW32" s="50"/>
      <c r="AX32" s="49"/>
      <c r="AY32" s="50"/>
      <c r="AZ32" s="49"/>
      <c r="BA32" s="50"/>
      <c r="BB32" s="49"/>
      <c r="BC32" s="50"/>
      <c r="BD32" s="49"/>
      <c r="BE32" s="49"/>
      <c r="BF32" s="49"/>
      <c r="BG32" s="49"/>
      <c r="BH32" s="49"/>
      <c r="BI32" s="49"/>
      <c r="BJ32" s="49"/>
      <c r="BK32" s="111" t="s">
        <v>2390</v>
      </c>
      <c r="BL32" s="111" t="s">
        <v>2390</v>
      </c>
      <c r="BM32" s="111" t="s">
        <v>2390</v>
      </c>
      <c r="BN32" s="111" t="s">
        <v>2390</v>
      </c>
      <c r="BO32" s="2"/>
      <c r="BP32" s="3"/>
      <c r="BQ32" s="3"/>
      <c r="BR32" s="3"/>
      <c r="BS32" s="3"/>
    </row>
    <row r="33" spans="1:71" ht="15">
      <c r="A33" s="65" t="s">
        <v>240</v>
      </c>
      <c r="B33" s="66"/>
      <c r="C33" s="66"/>
      <c r="D33" s="67">
        <v>150</v>
      </c>
      <c r="E33" s="69"/>
      <c r="F33" s="103" t="str">
        <f>HYPERLINK("https://yt3.ggpht.com/ytc/AAUvwni9wey6k7a_Mn7G_MpdWPlMkORNn8oDwWZGfe57gw=s88-c-k-c0x00ffffff-no-rj")</f>
        <v>https://yt3.ggpht.com/ytc/AAUvwni9wey6k7a_Mn7G_MpdWPlMkORNn8oDwWZGfe57gw=s88-c-k-c0x00ffffff-no-rj</v>
      </c>
      <c r="G33" s="66"/>
      <c r="H33" s="70" t="s">
        <v>1599</v>
      </c>
      <c r="I33" s="71"/>
      <c r="J33" s="71" t="s">
        <v>159</v>
      </c>
      <c r="K33" s="70" t="s">
        <v>1599</v>
      </c>
      <c r="L33" s="74">
        <v>1</v>
      </c>
      <c r="M33" s="75">
        <v>3834.23681640625</v>
      </c>
      <c r="N33" s="75">
        <v>1135.108642578125</v>
      </c>
      <c r="O33" s="76"/>
      <c r="P33" s="77"/>
      <c r="Q33" s="77"/>
      <c r="R33" s="89"/>
      <c r="S33" s="49">
        <v>0</v>
      </c>
      <c r="T33" s="49">
        <v>1</v>
      </c>
      <c r="U33" s="50">
        <v>0</v>
      </c>
      <c r="V33" s="50">
        <v>0.015152</v>
      </c>
      <c r="W33" s="50">
        <v>0</v>
      </c>
      <c r="X33" s="50">
        <v>0.535667</v>
      </c>
      <c r="Y33" s="50">
        <v>0</v>
      </c>
      <c r="Z33" s="50">
        <v>0</v>
      </c>
      <c r="AA33" s="72">
        <v>33</v>
      </c>
      <c r="AB33" s="72"/>
      <c r="AC33" s="73"/>
      <c r="AD33" s="80" t="s">
        <v>1599</v>
      </c>
      <c r="AE33" s="80"/>
      <c r="AF33" s="80"/>
      <c r="AG33" s="80"/>
      <c r="AH33" s="80"/>
      <c r="AI33" s="80"/>
      <c r="AJ33" s="87">
        <v>43707.71837962963</v>
      </c>
      <c r="AK33" s="85" t="str">
        <f>HYPERLINK("https://yt3.ggpht.com/ytc/AAUvwni9wey6k7a_Mn7G_MpdWPlMkORNn8oDwWZGfe57gw=s88-c-k-c0x00ffffff-no-rj")</f>
        <v>https://yt3.ggpht.com/ytc/AAUvwni9wey6k7a_Mn7G_MpdWPlMkORNn8oDwWZGfe57gw=s88-c-k-c0x00ffffff-no-rj</v>
      </c>
      <c r="AL33" s="80">
        <v>0</v>
      </c>
      <c r="AM33" s="80">
        <v>0</v>
      </c>
      <c r="AN33" s="80">
        <v>10</v>
      </c>
      <c r="AO33" s="80" t="b">
        <v>0</v>
      </c>
      <c r="AP33" s="80">
        <v>0</v>
      </c>
      <c r="AQ33" s="80"/>
      <c r="AR33" s="80"/>
      <c r="AS33" s="80" t="s">
        <v>2664</v>
      </c>
      <c r="AT33" s="85" t="str">
        <f>HYPERLINK("https://www.youtube.com/channel/UCGImaUpKw6xjuB_WhtzsEWQ")</f>
        <v>https://www.youtube.com/channel/UCGImaUpKw6xjuB_WhtzsEWQ</v>
      </c>
      <c r="AU33" s="80" t="str">
        <f>REPLACE(INDEX(GroupVertices[Group],MATCH(Vertices[[#This Row],[Vertex]],GroupVertices[Vertex],0)),1,1,"")</f>
        <v>6</v>
      </c>
      <c r="AV33" s="49">
        <v>0</v>
      </c>
      <c r="AW33" s="50">
        <v>0</v>
      </c>
      <c r="AX33" s="49">
        <v>0</v>
      </c>
      <c r="AY33" s="50">
        <v>0</v>
      </c>
      <c r="AZ33" s="49">
        <v>0</v>
      </c>
      <c r="BA33" s="50">
        <v>0</v>
      </c>
      <c r="BB33" s="49">
        <v>0</v>
      </c>
      <c r="BC33" s="50">
        <v>0</v>
      </c>
      <c r="BD33" s="49">
        <v>0</v>
      </c>
      <c r="BE33" s="49"/>
      <c r="BF33" s="49"/>
      <c r="BG33" s="49"/>
      <c r="BH33" s="49"/>
      <c r="BI33" s="49"/>
      <c r="BJ33" s="49"/>
      <c r="BK33" s="111" t="s">
        <v>2390</v>
      </c>
      <c r="BL33" s="111" t="s">
        <v>2390</v>
      </c>
      <c r="BM33" s="111" t="s">
        <v>2390</v>
      </c>
      <c r="BN33" s="111" t="s">
        <v>2390</v>
      </c>
      <c r="BO33" s="2"/>
      <c r="BP33" s="3"/>
      <c r="BQ33" s="3"/>
      <c r="BR33" s="3"/>
      <c r="BS33" s="3"/>
    </row>
    <row r="34" spans="1:71" ht="15">
      <c r="A34" s="65" t="s">
        <v>241</v>
      </c>
      <c r="B34" s="66"/>
      <c r="C34" s="66"/>
      <c r="D34" s="67">
        <v>150</v>
      </c>
      <c r="E34" s="69"/>
      <c r="F34" s="103" t="str">
        <f>HYPERLINK("https://yt3.ggpht.com/ytc/AAUvwnjNny32T3143YofA-e3rLypcDa4DHaDZWOYtLPS=s88-c-k-c0x00ffffff-no-rj")</f>
        <v>https://yt3.ggpht.com/ytc/AAUvwnjNny32T3143YofA-e3rLypcDa4DHaDZWOYtLPS=s88-c-k-c0x00ffffff-no-rj</v>
      </c>
      <c r="G34" s="66"/>
      <c r="H34" s="70" t="s">
        <v>1600</v>
      </c>
      <c r="I34" s="71"/>
      <c r="J34" s="71" t="s">
        <v>159</v>
      </c>
      <c r="K34" s="70" t="s">
        <v>1600</v>
      </c>
      <c r="L34" s="74">
        <v>1</v>
      </c>
      <c r="M34" s="75">
        <v>3932.029296875</v>
      </c>
      <c r="N34" s="75">
        <v>269.1786804199219</v>
      </c>
      <c r="O34" s="76"/>
      <c r="P34" s="77"/>
      <c r="Q34" s="77"/>
      <c r="R34" s="89"/>
      <c r="S34" s="49">
        <v>0</v>
      </c>
      <c r="T34" s="49">
        <v>1</v>
      </c>
      <c r="U34" s="50">
        <v>0</v>
      </c>
      <c r="V34" s="50">
        <v>0.015152</v>
      </c>
      <c r="W34" s="50">
        <v>0</v>
      </c>
      <c r="X34" s="50">
        <v>0.535667</v>
      </c>
      <c r="Y34" s="50">
        <v>0</v>
      </c>
      <c r="Z34" s="50">
        <v>0</v>
      </c>
      <c r="AA34" s="72">
        <v>34</v>
      </c>
      <c r="AB34" s="72"/>
      <c r="AC34" s="73"/>
      <c r="AD34" s="80" t="s">
        <v>1600</v>
      </c>
      <c r="AE34" s="80" t="s">
        <v>2428</v>
      </c>
      <c r="AF34" s="80"/>
      <c r="AG34" s="80"/>
      <c r="AH34" s="80"/>
      <c r="AI34" s="80"/>
      <c r="AJ34" s="87">
        <v>43662.284733796296</v>
      </c>
      <c r="AK34" s="85" t="str">
        <f>HYPERLINK("https://yt3.ggpht.com/ytc/AAUvwnjNny32T3143YofA-e3rLypcDa4DHaDZWOYtLPS=s88-c-k-c0x00ffffff-no-rj")</f>
        <v>https://yt3.ggpht.com/ytc/AAUvwnjNny32T3143YofA-e3rLypcDa4DHaDZWOYtLPS=s88-c-k-c0x00ffffff-no-rj</v>
      </c>
      <c r="AL34" s="80">
        <v>0</v>
      </c>
      <c r="AM34" s="80">
        <v>0</v>
      </c>
      <c r="AN34" s="80">
        <v>15</v>
      </c>
      <c r="AO34" s="80" t="b">
        <v>0</v>
      </c>
      <c r="AP34" s="80">
        <v>0</v>
      </c>
      <c r="AQ34" s="80"/>
      <c r="AR34" s="80"/>
      <c r="AS34" s="80" t="s">
        <v>2664</v>
      </c>
      <c r="AT34" s="85" t="str">
        <f>HYPERLINK("https://www.youtube.com/channel/UCyQj-gFcpG1NwOPoHvg1Big")</f>
        <v>https://www.youtube.com/channel/UCyQj-gFcpG1NwOPoHvg1Big</v>
      </c>
      <c r="AU34" s="80" t="str">
        <f>REPLACE(INDEX(GroupVertices[Group],MATCH(Vertices[[#This Row],[Vertex]],GroupVertices[Vertex],0)),1,1,"")</f>
        <v>6</v>
      </c>
      <c r="AV34" s="49">
        <v>0</v>
      </c>
      <c r="AW34" s="50">
        <v>0</v>
      </c>
      <c r="AX34" s="49">
        <v>0</v>
      </c>
      <c r="AY34" s="50">
        <v>0</v>
      </c>
      <c r="AZ34" s="49">
        <v>0</v>
      </c>
      <c r="BA34" s="50">
        <v>0</v>
      </c>
      <c r="BB34" s="49">
        <v>2</v>
      </c>
      <c r="BC34" s="50">
        <v>100</v>
      </c>
      <c r="BD34" s="49">
        <v>2</v>
      </c>
      <c r="BE34" s="49"/>
      <c r="BF34" s="49"/>
      <c r="BG34" s="49"/>
      <c r="BH34" s="49"/>
      <c r="BI34" s="49"/>
      <c r="BJ34" s="49"/>
      <c r="BK34" s="111" t="s">
        <v>3689</v>
      </c>
      <c r="BL34" s="111" t="s">
        <v>3689</v>
      </c>
      <c r="BM34" s="111" t="s">
        <v>4164</v>
      </c>
      <c r="BN34" s="111" t="s">
        <v>4164</v>
      </c>
      <c r="BO34" s="2"/>
      <c r="BP34" s="3"/>
      <c r="BQ34" s="3"/>
      <c r="BR34" s="3"/>
      <c r="BS34" s="3"/>
    </row>
    <row r="35" spans="1:71" ht="15">
      <c r="A35" s="65" t="s">
        <v>242</v>
      </c>
      <c r="B35" s="66"/>
      <c r="C35" s="66"/>
      <c r="D35" s="67">
        <v>150</v>
      </c>
      <c r="E35" s="69"/>
      <c r="F35" s="103" t="str">
        <f>HYPERLINK("https://yt3.ggpht.com/ytc/AAUvwnhGs7IpehJ_iCFqOgDSnvo_cL4bqhiSuBsVMA=s88-c-k-c0x00ffffff-no-rj")</f>
        <v>https://yt3.ggpht.com/ytc/AAUvwnhGs7IpehJ_iCFqOgDSnvo_cL4bqhiSuBsVMA=s88-c-k-c0x00ffffff-no-rj</v>
      </c>
      <c r="G35" s="66"/>
      <c r="H35" s="70" t="s">
        <v>1601</v>
      </c>
      <c r="I35" s="71"/>
      <c r="J35" s="71" t="s">
        <v>159</v>
      </c>
      <c r="K35" s="70" t="s">
        <v>1601</v>
      </c>
      <c r="L35" s="74">
        <v>1</v>
      </c>
      <c r="M35" s="75">
        <v>3810.364501953125</v>
      </c>
      <c r="N35" s="75">
        <v>712.1490478515625</v>
      </c>
      <c r="O35" s="76"/>
      <c r="P35" s="77"/>
      <c r="Q35" s="77"/>
      <c r="R35" s="89"/>
      <c r="S35" s="49">
        <v>0</v>
      </c>
      <c r="T35" s="49">
        <v>1</v>
      </c>
      <c r="U35" s="50">
        <v>0</v>
      </c>
      <c r="V35" s="50">
        <v>0.015152</v>
      </c>
      <c r="W35" s="50">
        <v>0</v>
      </c>
      <c r="X35" s="50">
        <v>0.535667</v>
      </c>
      <c r="Y35" s="50">
        <v>0</v>
      </c>
      <c r="Z35" s="50">
        <v>0</v>
      </c>
      <c r="AA35" s="72">
        <v>35</v>
      </c>
      <c r="AB35" s="72"/>
      <c r="AC35" s="73"/>
      <c r="AD35" s="80" t="s">
        <v>1601</v>
      </c>
      <c r="AE35" s="80"/>
      <c r="AF35" s="80"/>
      <c r="AG35" s="80"/>
      <c r="AH35" s="80"/>
      <c r="AI35" s="80"/>
      <c r="AJ35" s="87">
        <v>43710.52609953703</v>
      </c>
      <c r="AK35" s="85" t="str">
        <f>HYPERLINK("https://yt3.ggpht.com/ytc/AAUvwnhGs7IpehJ_iCFqOgDSnvo_cL4bqhiSuBsVMA=s88-c-k-c0x00ffffff-no-rj")</f>
        <v>https://yt3.ggpht.com/ytc/AAUvwnhGs7IpehJ_iCFqOgDSnvo_cL4bqhiSuBsVMA=s88-c-k-c0x00ffffff-no-rj</v>
      </c>
      <c r="AL35" s="80">
        <v>0</v>
      </c>
      <c r="AM35" s="80">
        <v>0</v>
      </c>
      <c r="AN35" s="80">
        <v>0</v>
      </c>
      <c r="AO35" s="80" t="b">
        <v>0</v>
      </c>
      <c r="AP35" s="80">
        <v>0</v>
      </c>
      <c r="AQ35" s="80"/>
      <c r="AR35" s="80"/>
      <c r="AS35" s="80" t="s">
        <v>2664</v>
      </c>
      <c r="AT35" s="85" t="str">
        <f>HYPERLINK("https://www.youtube.com/channel/UCSmTWaprDRVLkw6btjGCe_Q")</f>
        <v>https://www.youtube.com/channel/UCSmTWaprDRVLkw6btjGCe_Q</v>
      </c>
      <c r="AU35" s="80" t="str">
        <f>REPLACE(INDEX(GroupVertices[Group],MATCH(Vertices[[#This Row],[Vertex]],GroupVertices[Vertex],0)),1,1,"")</f>
        <v>6</v>
      </c>
      <c r="AV35" s="49">
        <v>1</v>
      </c>
      <c r="AW35" s="50">
        <v>11.11111111111111</v>
      </c>
      <c r="AX35" s="49">
        <v>0</v>
      </c>
      <c r="AY35" s="50">
        <v>0</v>
      </c>
      <c r="AZ35" s="49">
        <v>0</v>
      </c>
      <c r="BA35" s="50">
        <v>0</v>
      </c>
      <c r="BB35" s="49">
        <v>8</v>
      </c>
      <c r="BC35" s="50">
        <v>88.88888888888889</v>
      </c>
      <c r="BD35" s="49">
        <v>9</v>
      </c>
      <c r="BE35" s="49"/>
      <c r="BF35" s="49"/>
      <c r="BG35" s="49"/>
      <c r="BH35" s="49"/>
      <c r="BI35" s="49"/>
      <c r="BJ35" s="49"/>
      <c r="BK35" s="111" t="s">
        <v>3690</v>
      </c>
      <c r="BL35" s="111" t="s">
        <v>3690</v>
      </c>
      <c r="BM35" s="111" t="s">
        <v>4165</v>
      </c>
      <c r="BN35" s="111" t="s">
        <v>4165</v>
      </c>
      <c r="BO35" s="2"/>
      <c r="BP35" s="3"/>
      <c r="BQ35" s="3"/>
      <c r="BR35" s="3"/>
      <c r="BS35" s="3"/>
    </row>
    <row r="36" spans="1:71" ht="15">
      <c r="A36" s="65" t="s">
        <v>243</v>
      </c>
      <c r="B36" s="66"/>
      <c r="C36" s="66"/>
      <c r="D36" s="67">
        <v>150</v>
      </c>
      <c r="E36" s="69"/>
      <c r="F36" s="103" t="str">
        <f>HYPERLINK("https://yt3.ggpht.com/ytc/AAUvwnj6wOMKkV0mTbiz1a75ukAVNzPckMsBr2uBp2NOnA=s88-c-k-c0x00ffffff-no-rj")</f>
        <v>https://yt3.ggpht.com/ytc/AAUvwnj6wOMKkV0mTbiz1a75ukAVNzPckMsBr2uBp2NOnA=s88-c-k-c0x00ffffff-no-rj</v>
      </c>
      <c r="G36" s="66"/>
      <c r="H36" s="70" t="s">
        <v>1602</v>
      </c>
      <c r="I36" s="71"/>
      <c r="J36" s="71" t="s">
        <v>159</v>
      </c>
      <c r="K36" s="70" t="s">
        <v>1602</v>
      </c>
      <c r="L36" s="74">
        <v>1</v>
      </c>
      <c r="M36" s="75">
        <v>4694.388671875</v>
      </c>
      <c r="N36" s="75">
        <v>224.62220764160156</v>
      </c>
      <c r="O36" s="76"/>
      <c r="P36" s="77"/>
      <c r="Q36" s="77"/>
      <c r="R36" s="89"/>
      <c r="S36" s="49">
        <v>0</v>
      </c>
      <c r="T36" s="49">
        <v>1</v>
      </c>
      <c r="U36" s="50">
        <v>0</v>
      </c>
      <c r="V36" s="50">
        <v>0.015152</v>
      </c>
      <c r="W36" s="50">
        <v>0</v>
      </c>
      <c r="X36" s="50">
        <v>0.535667</v>
      </c>
      <c r="Y36" s="50">
        <v>0</v>
      </c>
      <c r="Z36" s="50">
        <v>0</v>
      </c>
      <c r="AA36" s="72">
        <v>36</v>
      </c>
      <c r="AB36" s="72"/>
      <c r="AC36" s="73"/>
      <c r="AD36" s="80" t="s">
        <v>1602</v>
      </c>
      <c r="AE36" s="80" t="s">
        <v>2429</v>
      </c>
      <c r="AF36" s="80"/>
      <c r="AG36" s="80"/>
      <c r="AH36" s="80"/>
      <c r="AI36" s="80"/>
      <c r="AJ36" s="87">
        <v>43005.37199074074</v>
      </c>
      <c r="AK36" s="85" t="str">
        <f>HYPERLINK("https://yt3.ggpht.com/ytc/AAUvwnj6wOMKkV0mTbiz1a75ukAVNzPckMsBr2uBp2NOnA=s88-c-k-c0x00ffffff-no-rj")</f>
        <v>https://yt3.ggpht.com/ytc/AAUvwnj6wOMKkV0mTbiz1a75ukAVNzPckMsBr2uBp2NOnA=s88-c-k-c0x00ffffff-no-rj</v>
      </c>
      <c r="AL36" s="80">
        <v>0</v>
      </c>
      <c r="AM36" s="80">
        <v>0</v>
      </c>
      <c r="AN36" s="80">
        <v>1</v>
      </c>
      <c r="AO36" s="80" t="b">
        <v>0</v>
      </c>
      <c r="AP36" s="80">
        <v>0</v>
      </c>
      <c r="AQ36" s="80"/>
      <c r="AR36" s="80"/>
      <c r="AS36" s="80" t="s">
        <v>2664</v>
      </c>
      <c r="AT36" s="85" t="str">
        <f>HYPERLINK("https://www.youtube.com/channel/UCCupaZozpHYhmG8HZ31dxag")</f>
        <v>https://www.youtube.com/channel/UCCupaZozpHYhmG8HZ31dxag</v>
      </c>
      <c r="AU36" s="80" t="str">
        <f>REPLACE(INDEX(GroupVertices[Group],MATCH(Vertices[[#This Row],[Vertex]],GroupVertices[Vertex],0)),1,1,"")</f>
        <v>6</v>
      </c>
      <c r="AV36" s="49">
        <v>1</v>
      </c>
      <c r="AW36" s="50">
        <v>11.11111111111111</v>
      </c>
      <c r="AX36" s="49">
        <v>0</v>
      </c>
      <c r="AY36" s="50">
        <v>0</v>
      </c>
      <c r="AZ36" s="49">
        <v>0</v>
      </c>
      <c r="BA36" s="50">
        <v>0</v>
      </c>
      <c r="BB36" s="49">
        <v>8</v>
      </c>
      <c r="BC36" s="50">
        <v>88.88888888888889</v>
      </c>
      <c r="BD36" s="49">
        <v>9</v>
      </c>
      <c r="BE36" s="49"/>
      <c r="BF36" s="49"/>
      <c r="BG36" s="49"/>
      <c r="BH36" s="49"/>
      <c r="BI36" s="49"/>
      <c r="BJ36" s="49"/>
      <c r="BK36" s="111" t="s">
        <v>3691</v>
      </c>
      <c r="BL36" s="111" t="s">
        <v>3691</v>
      </c>
      <c r="BM36" s="111" t="s">
        <v>4166</v>
      </c>
      <c r="BN36" s="111" t="s">
        <v>4166</v>
      </c>
      <c r="BO36" s="2"/>
      <c r="BP36" s="3"/>
      <c r="BQ36" s="3"/>
      <c r="BR36" s="3"/>
      <c r="BS36" s="3"/>
    </row>
    <row r="37" spans="1:71" ht="15">
      <c r="A37" s="65" t="s">
        <v>244</v>
      </c>
      <c r="B37" s="66"/>
      <c r="C37" s="66"/>
      <c r="D37" s="67">
        <v>150</v>
      </c>
      <c r="E37" s="69"/>
      <c r="F37" s="103" t="str">
        <f>HYPERLINK("https://yt3.ggpht.com/ytc/AAUvwnhyLSYr0pKpJ6HOoxFk9ugWVREmwWnGaA0qVOKYzlc=s88-c-k-c0x00ffffff-no-rj")</f>
        <v>https://yt3.ggpht.com/ytc/AAUvwnhyLSYr0pKpJ6HOoxFk9ugWVREmwWnGaA0qVOKYzlc=s88-c-k-c0x00ffffff-no-rj</v>
      </c>
      <c r="G37" s="66"/>
      <c r="H37" s="70" t="s">
        <v>1603</v>
      </c>
      <c r="I37" s="71"/>
      <c r="J37" s="71" t="s">
        <v>159</v>
      </c>
      <c r="K37" s="70" t="s">
        <v>1603</v>
      </c>
      <c r="L37" s="74">
        <v>1</v>
      </c>
      <c r="M37" s="75">
        <v>5243.63671875</v>
      </c>
      <c r="N37" s="75">
        <v>1214.458740234375</v>
      </c>
      <c r="O37" s="76"/>
      <c r="P37" s="77"/>
      <c r="Q37" s="77"/>
      <c r="R37" s="89"/>
      <c r="S37" s="49">
        <v>0</v>
      </c>
      <c r="T37" s="49">
        <v>1</v>
      </c>
      <c r="U37" s="50">
        <v>0</v>
      </c>
      <c r="V37" s="50">
        <v>0.015152</v>
      </c>
      <c r="W37" s="50">
        <v>0</v>
      </c>
      <c r="X37" s="50">
        <v>0.535667</v>
      </c>
      <c r="Y37" s="50">
        <v>0</v>
      </c>
      <c r="Z37" s="50">
        <v>0</v>
      </c>
      <c r="AA37" s="72">
        <v>37</v>
      </c>
      <c r="AB37" s="72"/>
      <c r="AC37" s="73"/>
      <c r="AD37" s="80" t="s">
        <v>1603</v>
      </c>
      <c r="AE37" s="80" t="s">
        <v>2430</v>
      </c>
      <c r="AF37" s="80"/>
      <c r="AG37" s="80"/>
      <c r="AH37" s="80"/>
      <c r="AI37" s="80"/>
      <c r="AJ37" s="87">
        <v>42740.20621527778</v>
      </c>
      <c r="AK37" s="85" t="str">
        <f>HYPERLINK("https://yt3.ggpht.com/ytc/AAUvwnhyLSYr0pKpJ6HOoxFk9ugWVREmwWnGaA0qVOKYzlc=s88-c-k-c0x00ffffff-no-rj")</f>
        <v>https://yt3.ggpht.com/ytc/AAUvwnhyLSYr0pKpJ6HOoxFk9ugWVREmwWnGaA0qVOKYzlc=s88-c-k-c0x00ffffff-no-rj</v>
      </c>
      <c r="AL37" s="80">
        <v>1</v>
      </c>
      <c r="AM37" s="80">
        <v>0</v>
      </c>
      <c r="AN37" s="80">
        <v>31</v>
      </c>
      <c r="AO37" s="80" t="b">
        <v>0</v>
      </c>
      <c r="AP37" s="80">
        <v>1</v>
      </c>
      <c r="AQ37" s="80"/>
      <c r="AR37" s="80"/>
      <c r="AS37" s="80" t="s">
        <v>2664</v>
      </c>
      <c r="AT37" s="85" t="str">
        <f>HYPERLINK("https://www.youtube.com/channel/UCq0RNNBZe955RDZ807o4TFA")</f>
        <v>https://www.youtube.com/channel/UCq0RNNBZe955RDZ807o4TFA</v>
      </c>
      <c r="AU37" s="80" t="str">
        <f>REPLACE(INDEX(GroupVertices[Group],MATCH(Vertices[[#This Row],[Vertex]],GroupVertices[Vertex],0)),1,1,"")</f>
        <v>6</v>
      </c>
      <c r="AV37" s="49">
        <v>0</v>
      </c>
      <c r="AW37" s="50">
        <v>0</v>
      </c>
      <c r="AX37" s="49">
        <v>0</v>
      </c>
      <c r="AY37" s="50">
        <v>0</v>
      </c>
      <c r="AZ37" s="49">
        <v>0</v>
      </c>
      <c r="BA37" s="50">
        <v>0</v>
      </c>
      <c r="BB37" s="49">
        <v>2</v>
      </c>
      <c r="BC37" s="50">
        <v>100</v>
      </c>
      <c r="BD37" s="49">
        <v>2</v>
      </c>
      <c r="BE37" s="49"/>
      <c r="BF37" s="49"/>
      <c r="BG37" s="49"/>
      <c r="BH37" s="49"/>
      <c r="BI37" s="49"/>
      <c r="BJ37" s="49"/>
      <c r="BK37" s="111" t="s">
        <v>2716</v>
      </c>
      <c r="BL37" s="111" t="s">
        <v>2716</v>
      </c>
      <c r="BM37" s="111" t="s">
        <v>2390</v>
      </c>
      <c r="BN37" s="111" t="s">
        <v>2390</v>
      </c>
      <c r="BO37" s="2"/>
      <c r="BP37" s="3"/>
      <c r="BQ37" s="3"/>
      <c r="BR37" s="3"/>
      <c r="BS37" s="3"/>
    </row>
    <row r="38" spans="1:71" ht="15">
      <c r="A38" s="65" t="s">
        <v>245</v>
      </c>
      <c r="B38" s="66"/>
      <c r="C38" s="66"/>
      <c r="D38" s="67">
        <v>150</v>
      </c>
      <c r="E38" s="69"/>
      <c r="F38" s="103" t="str">
        <f>HYPERLINK("https://yt3.ggpht.com/ytc/AAUvwnjcBCiQP5uYzV9-2L4g0f6o-y_T8UaZle8qLw=s88-c-k-c0x00ffffff-no-rj")</f>
        <v>https://yt3.ggpht.com/ytc/AAUvwnjcBCiQP5uYzV9-2L4g0f6o-y_T8UaZle8qLw=s88-c-k-c0x00ffffff-no-rj</v>
      </c>
      <c r="G38" s="66"/>
      <c r="H38" s="70" t="s">
        <v>1604</v>
      </c>
      <c r="I38" s="71"/>
      <c r="J38" s="71" t="s">
        <v>159</v>
      </c>
      <c r="K38" s="70" t="s">
        <v>1604</v>
      </c>
      <c r="L38" s="74">
        <v>1</v>
      </c>
      <c r="M38" s="75">
        <v>4914.15478515625</v>
      </c>
      <c r="N38" s="75">
        <v>361.3193359375</v>
      </c>
      <c r="O38" s="76"/>
      <c r="P38" s="77"/>
      <c r="Q38" s="77"/>
      <c r="R38" s="89"/>
      <c r="S38" s="49">
        <v>0</v>
      </c>
      <c r="T38" s="49">
        <v>2</v>
      </c>
      <c r="U38" s="50">
        <v>0</v>
      </c>
      <c r="V38" s="50">
        <v>0.015385</v>
      </c>
      <c r="W38" s="50">
        <v>0</v>
      </c>
      <c r="X38" s="50">
        <v>0.931595</v>
      </c>
      <c r="Y38" s="50">
        <v>0.5</v>
      </c>
      <c r="Z38" s="50">
        <v>0</v>
      </c>
      <c r="AA38" s="72">
        <v>38</v>
      </c>
      <c r="AB38" s="72"/>
      <c r="AC38" s="73"/>
      <c r="AD38" s="80" t="s">
        <v>1604</v>
      </c>
      <c r="AE38" s="80"/>
      <c r="AF38" s="80"/>
      <c r="AG38" s="80"/>
      <c r="AH38" s="80"/>
      <c r="AI38" s="80"/>
      <c r="AJ38" s="87">
        <v>43195.560636574075</v>
      </c>
      <c r="AK38" s="85" t="str">
        <f>HYPERLINK("https://yt3.ggpht.com/ytc/AAUvwnjcBCiQP5uYzV9-2L4g0f6o-y_T8UaZle8qLw=s88-c-k-c0x00ffffff-no-rj")</f>
        <v>https://yt3.ggpht.com/ytc/AAUvwnjcBCiQP5uYzV9-2L4g0f6o-y_T8UaZle8qLw=s88-c-k-c0x00ffffff-no-rj</v>
      </c>
      <c r="AL38" s="80">
        <v>0</v>
      </c>
      <c r="AM38" s="80">
        <v>0</v>
      </c>
      <c r="AN38" s="80">
        <v>1</v>
      </c>
      <c r="AO38" s="80" t="b">
        <v>0</v>
      </c>
      <c r="AP38" s="80">
        <v>0</v>
      </c>
      <c r="AQ38" s="80"/>
      <c r="AR38" s="80"/>
      <c r="AS38" s="80" t="s">
        <v>2664</v>
      </c>
      <c r="AT38" s="85" t="str">
        <f>HYPERLINK("https://www.youtube.com/channel/UCo-OrwyKkRJYqX44Ep2s9Tg")</f>
        <v>https://www.youtube.com/channel/UCo-OrwyKkRJYqX44Ep2s9Tg</v>
      </c>
      <c r="AU38" s="80" t="str">
        <f>REPLACE(INDEX(GroupVertices[Group],MATCH(Vertices[[#This Row],[Vertex]],GroupVertices[Vertex],0)),1,1,"")</f>
        <v>6</v>
      </c>
      <c r="AV38" s="49">
        <v>1</v>
      </c>
      <c r="AW38" s="50">
        <v>4.761904761904762</v>
      </c>
      <c r="AX38" s="49">
        <v>0</v>
      </c>
      <c r="AY38" s="50">
        <v>0</v>
      </c>
      <c r="AZ38" s="49">
        <v>0</v>
      </c>
      <c r="BA38" s="50">
        <v>0</v>
      </c>
      <c r="BB38" s="49">
        <v>20</v>
      </c>
      <c r="BC38" s="50">
        <v>95.23809523809524</v>
      </c>
      <c r="BD38" s="49">
        <v>21</v>
      </c>
      <c r="BE38" s="49"/>
      <c r="BF38" s="49"/>
      <c r="BG38" s="49"/>
      <c r="BH38" s="49"/>
      <c r="BI38" s="49"/>
      <c r="BJ38" s="49"/>
      <c r="BK38" s="111" t="s">
        <v>3692</v>
      </c>
      <c r="BL38" s="111" t="s">
        <v>3692</v>
      </c>
      <c r="BM38" s="111" t="s">
        <v>4167</v>
      </c>
      <c r="BN38" s="111" t="s">
        <v>4167</v>
      </c>
      <c r="BO38" s="2"/>
      <c r="BP38" s="3"/>
      <c r="BQ38" s="3"/>
      <c r="BR38" s="3"/>
      <c r="BS38" s="3"/>
    </row>
    <row r="39" spans="1:71" ht="15">
      <c r="A39" s="65" t="s">
        <v>246</v>
      </c>
      <c r="B39" s="66"/>
      <c r="C39" s="66"/>
      <c r="D39" s="67">
        <v>291.66666666666663</v>
      </c>
      <c r="E39" s="69"/>
      <c r="F39" s="103" t="str">
        <f>HYPERLINK("https://yt3.ggpht.com/ytc/AAUvwnjE0YsbuIvn_6NNPKRRZG0ZFuab05X6lXz4Bthb=s88-c-k-c0x00ffffff-no-rj")</f>
        <v>https://yt3.ggpht.com/ytc/AAUvwnjE0YsbuIvn_6NNPKRRZG0ZFuab05X6lXz4Bthb=s88-c-k-c0x00ffffff-no-rj</v>
      </c>
      <c r="G39" s="66"/>
      <c r="H39" s="70" t="s">
        <v>1605</v>
      </c>
      <c r="I39" s="71"/>
      <c r="J39" s="71" t="s">
        <v>159</v>
      </c>
      <c r="K39" s="70" t="s">
        <v>1605</v>
      </c>
      <c r="L39" s="74">
        <v>96.21904761904761</v>
      </c>
      <c r="M39" s="75">
        <v>5024.41259765625</v>
      </c>
      <c r="N39" s="75">
        <v>525.0121459960938</v>
      </c>
      <c r="O39" s="76"/>
      <c r="P39" s="77"/>
      <c r="Q39" s="77"/>
      <c r="R39" s="89"/>
      <c r="S39" s="49">
        <v>1</v>
      </c>
      <c r="T39" s="49">
        <v>1</v>
      </c>
      <c r="U39" s="50">
        <v>0</v>
      </c>
      <c r="V39" s="50">
        <v>0.015385</v>
      </c>
      <c r="W39" s="50">
        <v>0</v>
      </c>
      <c r="X39" s="50">
        <v>0.931595</v>
      </c>
      <c r="Y39" s="50">
        <v>0.5</v>
      </c>
      <c r="Z39" s="50">
        <v>0</v>
      </c>
      <c r="AA39" s="72">
        <v>39</v>
      </c>
      <c r="AB39" s="72"/>
      <c r="AC39" s="73"/>
      <c r="AD39" s="80" t="s">
        <v>1605</v>
      </c>
      <c r="AE39" s="80" t="s">
        <v>2431</v>
      </c>
      <c r="AF39" s="80"/>
      <c r="AG39" s="80"/>
      <c r="AH39" s="80"/>
      <c r="AI39" s="80"/>
      <c r="AJ39" s="87">
        <v>43143.79975694444</v>
      </c>
      <c r="AK39" s="85" t="str">
        <f>HYPERLINK("https://yt3.ggpht.com/ytc/AAUvwnjE0YsbuIvn_6NNPKRRZG0ZFuab05X6lXz4Bthb=s88-c-k-c0x00ffffff-no-rj")</f>
        <v>https://yt3.ggpht.com/ytc/AAUvwnjE0YsbuIvn_6NNPKRRZG0ZFuab05X6lXz4Bthb=s88-c-k-c0x00ffffff-no-rj</v>
      </c>
      <c r="AL39" s="80">
        <v>184</v>
      </c>
      <c r="AM39" s="80">
        <v>0</v>
      </c>
      <c r="AN39" s="80">
        <v>72</v>
      </c>
      <c r="AO39" s="80" t="b">
        <v>0</v>
      </c>
      <c r="AP39" s="80">
        <v>10</v>
      </c>
      <c r="AQ39" s="80"/>
      <c r="AR39" s="80"/>
      <c r="AS39" s="80" t="s">
        <v>2664</v>
      </c>
      <c r="AT39" s="85" t="str">
        <f>HYPERLINK("https://www.youtube.com/channel/UC-vqDFZg2NHjXoMUPH8RM0g")</f>
        <v>https://www.youtube.com/channel/UC-vqDFZg2NHjXoMUPH8RM0g</v>
      </c>
      <c r="AU39" s="80" t="str">
        <f>REPLACE(INDEX(GroupVertices[Group],MATCH(Vertices[[#This Row],[Vertex]],GroupVertices[Vertex],0)),1,1,"")</f>
        <v>6</v>
      </c>
      <c r="AV39" s="49">
        <v>0</v>
      </c>
      <c r="AW39" s="50">
        <v>0</v>
      </c>
      <c r="AX39" s="49">
        <v>0</v>
      </c>
      <c r="AY39" s="50">
        <v>0</v>
      </c>
      <c r="AZ39" s="49">
        <v>0</v>
      </c>
      <c r="BA39" s="50">
        <v>0</v>
      </c>
      <c r="BB39" s="49">
        <v>15</v>
      </c>
      <c r="BC39" s="50">
        <v>100</v>
      </c>
      <c r="BD39" s="49">
        <v>15</v>
      </c>
      <c r="BE39" s="49"/>
      <c r="BF39" s="49"/>
      <c r="BG39" s="49"/>
      <c r="BH39" s="49"/>
      <c r="BI39" s="49"/>
      <c r="BJ39" s="49"/>
      <c r="BK39" s="111" t="s">
        <v>3693</v>
      </c>
      <c r="BL39" s="111" t="s">
        <v>3693</v>
      </c>
      <c r="BM39" s="111" t="s">
        <v>4168</v>
      </c>
      <c r="BN39" s="111" t="s">
        <v>4168</v>
      </c>
      <c r="BO39" s="2"/>
      <c r="BP39" s="3"/>
      <c r="BQ39" s="3"/>
      <c r="BR39" s="3"/>
      <c r="BS39" s="3"/>
    </row>
    <row r="40" spans="1:71" ht="15">
      <c r="A40" s="65" t="s">
        <v>247</v>
      </c>
      <c r="B40" s="66"/>
      <c r="C40" s="66"/>
      <c r="D40" s="67">
        <v>150</v>
      </c>
      <c r="E40" s="69"/>
      <c r="F40" s="103" t="str">
        <f>HYPERLINK("https://yt3.ggpht.com/ytc/AAUvwng_XKZinz5yGWGADdLiaiopPs0TIJ8J7Aqk7w=s88-c-k-c0x00ffffff-no-rj")</f>
        <v>https://yt3.ggpht.com/ytc/AAUvwng_XKZinz5yGWGADdLiaiopPs0TIJ8J7Aqk7w=s88-c-k-c0x00ffffff-no-rj</v>
      </c>
      <c r="G40" s="66"/>
      <c r="H40" s="70" t="s">
        <v>1606</v>
      </c>
      <c r="I40" s="71"/>
      <c r="J40" s="71" t="s">
        <v>159</v>
      </c>
      <c r="K40" s="70" t="s">
        <v>1606</v>
      </c>
      <c r="L40" s="74">
        <v>1</v>
      </c>
      <c r="M40" s="75">
        <v>4554.8544921875</v>
      </c>
      <c r="N40" s="75">
        <v>1920.0233154296875</v>
      </c>
      <c r="O40" s="76"/>
      <c r="P40" s="77"/>
      <c r="Q40" s="77"/>
      <c r="R40" s="89"/>
      <c r="S40" s="49">
        <v>0</v>
      </c>
      <c r="T40" s="49">
        <v>1</v>
      </c>
      <c r="U40" s="50">
        <v>0</v>
      </c>
      <c r="V40" s="50">
        <v>0.015152</v>
      </c>
      <c r="W40" s="50">
        <v>0</v>
      </c>
      <c r="X40" s="50">
        <v>0.535667</v>
      </c>
      <c r="Y40" s="50">
        <v>0</v>
      </c>
      <c r="Z40" s="50">
        <v>0</v>
      </c>
      <c r="AA40" s="72">
        <v>40</v>
      </c>
      <c r="AB40" s="72"/>
      <c r="AC40" s="73"/>
      <c r="AD40" s="80" t="s">
        <v>1606</v>
      </c>
      <c r="AE40" s="80"/>
      <c r="AF40" s="80"/>
      <c r="AG40" s="80"/>
      <c r="AH40" s="80"/>
      <c r="AI40" s="80"/>
      <c r="AJ40" s="87">
        <v>43997.56190972222</v>
      </c>
      <c r="AK40" s="85" t="str">
        <f>HYPERLINK("https://yt3.ggpht.com/ytc/AAUvwng_XKZinz5yGWGADdLiaiopPs0TIJ8J7Aqk7w=s88-c-k-c0x00ffffff-no-rj")</f>
        <v>https://yt3.ggpht.com/ytc/AAUvwng_XKZinz5yGWGADdLiaiopPs0TIJ8J7Aqk7w=s88-c-k-c0x00ffffff-no-rj</v>
      </c>
      <c r="AL40" s="80">
        <v>0</v>
      </c>
      <c r="AM40" s="80">
        <v>0</v>
      </c>
      <c r="AN40" s="80">
        <v>0</v>
      </c>
      <c r="AO40" s="80" t="b">
        <v>0</v>
      </c>
      <c r="AP40" s="80">
        <v>0</v>
      </c>
      <c r="AQ40" s="80"/>
      <c r="AR40" s="80"/>
      <c r="AS40" s="80" t="s">
        <v>2664</v>
      </c>
      <c r="AT40" s="85" t="str">
        <f>HYPERLINK("https://www.youtube.com/channel/UC5hQmzesQ1Fv6y9dtc3cR2Q")</f>
        <v>https://www.youtube.com/channel/UC5hQmzesQ1Fv6y9dtc3cR2Q</v>
      </c>
      <c r="AU40" s="80" t="str">
        <f>REPLACE(INDEX(GroupVertices[Group],MATCH(Vertices[[#This Row],[Vertex]],GroupVertices[Vertex],0)),1,1,"")</f>
        <v>6</v>
      </c>
      <c r="AV40" s="49">
        <v>0</v>
      </c>
      <c r="AW40" s="50">
        <v>0</v>
      </c>
      <c r="AX40" s="49">
        <v>0</v>
      </c>
      <c r="AY40" s="50">
        <v>0</v>
      </c>
      <c r="AZ40" s="49">
        <v>0</v>
      </c>
      <c r="BA40" s="50">
        <v>0</v>
      </c>
      <c r="BB40" s="49">
        <v>23</v>
      </c>
      <c r="BC40" s="50">
        <v>100</v>
      </c>
      <c r="BD40" s="49">
        <v>23</v>
      </c>
      <c r="BE40" s="49"/>
      <c r="BF40" s="49"/>
      <c r="BG40" s="49"/>
      <c r="BH40" s="49"/>
      <c r="BI40" s="49"/>
      <c r="BJ40" s="49"/>
      <c r="BK40" s="111" t="s">
        <v>3694</v>
      </c>
      <c r="BL40" s="111" t="s">
        <v>3694</v>
      </c>
      <c r="BM40" s="111" t="s">
        <v>4169</v>
      </c>
      <c r="BN40" s="111" t="s">
        <v>4169</v>
      </c>
      <c r="BO40" s="2"/>
      <c r="BP40" s="3"/>
      <c r="BQ40" s="3"/>
      <c r="BR40" s="3"/>
      <c r="BS40" s="3"/>
    </row>
    <row r="41" spans="1:71" ht="15">
      <c r="A41" s="65" t="s">
        <v>248</v>
      </c>
      <c r="B41" s="66"/>
      <c r="C41" s="66"/>
      <c r="D41" s="67">
        <v>150</v>
      </c>
      <c r="E41" s="69"/>
      <c r="F41" s="103" t="str">
        <f>HYPERLINK("https://yt3.ggpht.com/ytc/AAUvwnhpWSoYAqXy05qI3tnhGfLZ3nse9xxIphPqKw=s88-c-k-c0x00ffffff-no-rj")</f>
        <v>https://yt3.ggpht.com/ytc/AAUvwnhpWSoYAqXy05qI3tnhGfLZ3nse9xxIphPqKw=s88-c-k-c0x00ffffff-no-rj</v>
      </c>
      <c r="G41" s="66"/>
      <c r="H41" s="70" t="s">
        <v>1607</v>
      </c>
      <c r="I41" s="71"/>
      <c r="J41" s="71" t="s">
        <v>159</v>
      </c>
      <c r="K41" s="70" t="s">
        <v>1607</v>
      </c>
      <c r="L41" s="74">
        <v>1</v>
      </c>
      <c r="M41" s="75">
        <v>4245.0966796875</v>
      </c>
      <c r="N41" s="75">
        <v>431.5680236816406</v>
      </c>
      <c r="O41" s="76"/>
      <c r="P41" s="77"/>
      <c r="Q41" s="77"/>
      <c r="R41" s="89"/>
      <c r="S41" s="49">
        <v>0</v>
      </c>
      <c r="T41" s="49">
        <v>1</v>
      </c>
      <c r="U41" s="50">
        <v>0</v>
      </c>
      <c r="V41" s="50">
        <v>0.015152</v>
      </c>
      <c r="W41" s="50">
        <v>0</v>
      </c>
      <c r="X41" s="50">
        <v>0.535667</v>
      </c>
      <c r="Y41" s="50">
        <v>0</v>
      </c>
      <c r="Z41" s="50">
        <v>0</v>
      </c>
      <c r="AA41" s="72">
        <v>41</v>
      </c>
      <c r="AB41" s="72"/>
      <c r="AC41" s="73"/>
      <c r="AD41" s="80" t="s">
        <v>1607</v>
      </c>
      <c r="AE41" s="80"/>
      <c r="AF41" s="80"/>
      <c r="AG41" s="80"/>
      <c r="AH41" s="80"/>
      <c r="AI41" s="80"/>
      <c r="AJ41" s="87">
        <v>43934.569768518515</v>
      </c>
      <c r="AK41" s="85" t="str">
        <f>HYPERLINK("https://yt3.ggpht.com/ytc/AAUvwnhpWSoYAqXy05qI3tnhGfLZ3nse9xxIphPqKw=s88-c-k-c0x00ffffff-no-rj")</f>
        <v>https://yt3.ggpht.com/ytc/AAUvwnhpWSoYAqXy05qI3tnhGfLZ3nse9xxIphPqKw=s88-c-k-c0x00ffffff-no-rj</v>
      </c>
      <c r="AL41" s="80">
        <v>180</v>
      </c>
      <c r="AM41" s="80">
        <v>0</v>
      </c>
      <c r="AN41" s="80">
        <v>8</v>
      </c>
      <c r="AO41" s="80" t="b">
        <v>0</v>
      </c>
      <c r="AP41" s="80">
        <v>9</v>
      </c>
      <c r="AQ41" s="80"/>
      <c r="AR41" s="80"/>
      <c r="AS41" s="80" t="s">
        <v>2664</v>
      </c>
      <c r="AT41" s="85" t="str">
        <f>HYPERLINK("https://www.youtube.com/channel/UC7mSYrGLJ10bGDewX51CMNQ")</f>
        <v>https://www.youtube.com/channel/UC7mSYrGLJ10bGDewX51CMNQ</v>
      </c>
      <c r="AU41" s="80" t="str">
        <f>REPLACE(INDEX(GroupVertices[Group],MATCH(Vertices[[#This Row],[Vertex]],GroupVertices[Vertex],0)),1,1,"")</f>
        <v>6</v>
      </c>
      <c r="AV41" s="49">
        <v>0</v>
      </c>
      <c r="AW41" s="50">
        <v>0</v>
      </c>
      <c r="AX41" s="49">
        <v>0</v>
      </c>
      <c r="AY41" s="50">
        <v>0</v>
      </c>
      <c r="AZ41" s="49">
        <v>0</v>
      </c>
      <c r="BA41" s="50">
        <v>0</v>
      </c>
      <c r="BB41" s="49">
        <v>7</v>
      </c>
      <c r="BC41" s="50">
        <v>100</v>
      </c>
      <c r="BD41" s="49">
        <v>7</v>
      </c>
      <c r="BE41" s="49"/>
      <c r="BF41" s="49"/>
      <c r="BG41" s="49"/>
      <c r="BH41" s="49"/>
      <c r="BI41" s="49"/>
      <c r="BJ41" s="49"/>
      <c r="BK41" s="111" t="s">
        <v>3695</v>
      </c>
      <c r="BL41" s="111" t="s">
        <v>3695</v>
      </c>
      <c r="BM41" s="111" t="s">
        <v>4170</v>
      </c>
      <c r="BN41" s="111" t="s">
        <v>4170</v>
      </c>
      <c r="BO41" s="2"/>
      <c r="BP41" s="3"/>
      <c r="BQ41" s="3"/>
      <c r="BR41" s="3"/>
      <c r="BS41" s="3"/>
    </row>
    <row r="42" spans="1:71" ht="15">
      <c r="A42" s="65" t="s">
        <v>249</v>
      </c>
      <c r="B42" s="66"/>
      <c r="C42" s="66"/>
      <c r="D42" s="67">
        <v>150</v>
      </c>
      <c r="E42" s="69"/>
      <c r="F42" s="103" t="str">
        <f>HYPERLINK("https://yt3.ggpht.com/ytc/AAUvwniyiCb93X_jFx3sjT-PKUZCL_X5bmNXKCFDEw=s88-c-k-c0x00ffffff-no-rj")</f>
        <v>https://yt3.ggpht.com/ytc/AAUvwniyiCb93X_jFx3sjT-PKUZCL_X5bmNXKCFDEw=s88-c-k-c0x00ffffff-no-rj</v>
      </c>
      <c r="G42" s="66"/>
      <c r="H42" s="70" t="s">
        <v>1608</v>
      </c>
      <c r="I42" s="71"/>
      <c r="J42" s="71" t="s">
        <v>159</v>
      </c>
      <c r="K42" s="70" t="s">
        <v>1608</v>
      </c>
      <c r="L42" s="74">
        <v>1</v>
      </c>
      <c r="M42" s="75">
        <v>4461.4306640625</v>
      </c>
      <c r="N42" s="75">
        <v>154.10365295410156</v>
      </c>
      <c r="O42" s="76"/>
      <c r="P42" s="77"/>
      <c r="Q42" s="77"/>
      <c r="R42" s="89"/>
      <c r="S42" s="49">
        <v>0</v>
      </c>
      <c r="T42" s="49">
        <v>1</v>
      </c>
      <c r="U42" s="50">
        <v>0</v>
      </c>
      <c r="V42" s="50">
        <v>0.015152</v>
      </c>
      <c r="W42" s="50">
        <v>0</v>
      </c>
      <c r="X42" s="50">
        <v>0.535667</v>
      </c>
      <c r="Y42" s="50">
        <v>0</v>
      </c>
      <c r="Z42" s="50">
        <v>0</v>
      </c>
      <c r="AA42" s="72">
        <v>42</v>
      </c>
      <c r="AB42" s="72"/>
      <c r="AC42" s="73"/>
      <c r="AD42" s="80" t="s">
        <v>1608</v>
      </c>
      <c r="AE42" s="80"/>
      <c r="AF42" s="80"/>
      <c r="AG42" s="80"/>
      <c r="AH42" s="80"/>
      <c r="AI42" s="80"/>
      <c r="AJ42" s="87">
        <v>43534.542233796295</v>
      </c>
      <c r="AK42" s="85" t="str">
        <f>HYPERLINK("https://yt3.ggpht.com/ytc/AAUvwniyiCb93X_jFx3sjT-PKUZCL_X5bmNXKCFDEw=s88-c-k-c0x00ffffff-no-rj")</f>
        <v>https://yt3.ggpht.com/ytc/AAUvwniyiCb93X_jFx3sjT-PKUZCL_X5bmNXKCFDEw=s88-c-k-c0x00ffffff-no-rj</v>
      </c>
      <c r="AL42" s="80">
        <v>2</v>
      </c>
      <c r="AM42" s="80">
        <v>0</v>
      </c>
      <c r="AN42" s="80">
        <v>0</v>
      </c>
      <c r="AO42" s="80" t="b">
        <v>0</v>
      </c>
      <c r="AP42" s="80">
        <v>1</v>
      </c>
      <c r="AQ42" s="80"/>
      <c r="AR42" s="80"/>
      <c r="AS42" s="80" t="s">
        <v>2664</v>
      </c>
      <c r="AT42" s="85" t="str">
        <f>HYPERLINK("https://www.youtube.com/channel/UCV9zUot2FXwMhXpf_mCXfLA")</f>
        <v>https://www.youtube.com/channel/UCV9zUot2FXwMhXpf_mCXfLA</v>
      </c>
      <c r="AU42" s="80" t="str">
        <f>REPLACE(INDEX(GroupVertices[Group],MATCH(Vertices[[#This Row],[Vertex]],GroupVertices[Vertex],0)),1,1,"")</f>
        <v>6</v>
      </c>
      <c r="AV42" s="49">
        <v>0</v>
      </c>
      <c r="AW42" s="50">
        <v>0</v>
      </c>
      <c r="AX42" s="49">
        <v>1</v>
      </c>
      <c r="AY42" s="50">
        <v>10</v>
      </c>
      <c r="AZ42" s="49">
        <v>0</v>
      </c>
      <c r="BA42" s="50">
        <v>0</v>
      </c>
      <c r="BB42" s="49">
        <v>9</v>
      </c>
      <c r="BC42" s="50">
        <v>90</v>
      </c>
      <c r="BD42" s="49">
        <v>10</v>
      </c>
      <c r="BE42" s="49"/>
      <c r="BF42" s="49"/>
      <c r="BG42" s="49"/>
      <c r="BH42" s="49"/>
      <c r="BI42" s="49"/>
      <c r="BJ42" s="49"/>
      <c r="BK42" s="111" t="s">
        <v>3696</v>
      </c>
      <c r="BL42" s="111" t="s">
        <v>3696</v>
      </c>
      <c r="BM42" s="111" t="s">
        <v>4171</v>
      </c>
      <c r="BN42" s="111" t="s">
        <v>4171</v>
      </c>
      <c r="BO42" s="2"/>
      <c r="BP42" s="3"/>
      <c r="BQ42" s="3"/>
      <c r="BR42" s="3"/>
      <c r="BS42" s="3"/>
    </row>
    <row r="43" spans="1:71" ht="15">
      <c r="A43" s="65" t="s">
        <v>250</v>
      </c>
      <c r="B43" s="66"/>
      <c r="C43" s="66"/>
      <c r="D43" s="67">
        <v>150</v>
      </c>
      <c r="E43" s="69"/>
      <c r="F43" s="103" t="str">
        <f>HYPERLINK("https://yt3.ggpht.com/88CSldQKNxh1u9TYslkseJvjyefPvSR2PkhCdT7ZPYWWUBcIvK0Nyy9kINbUV1OPdzG23Q2uUgw=s88-c-k-c0x00ffffff-no-rj")</f>
        <v>https://yt3.ggpht.com/88CSldQKNxh1u9TYslkseJvjyefPvSR2PkhCdT7ZPYWWUBcIvK0Nyy9kINbUV1OPdzG23Q2uUgw=s88-c-k-c0x00ffffff-no-rj</v>
      </c>
      <c r="G43" s="66"/>
      <c r="H43" s="70" t="s">
        <v>1609</v>
      </c>
      <c r="I43" s="71"/>
      <c r="J43" s="71" t="s">
        <v>159</v>
      </c>
      <c r="K43" s="70" t="s">
        <v>1609</v>
      </c>
      <c r="L43" s="74">
        <v>1</v>
      </c>
      <c r="M43" s="75">
        <v>4074.89208984375</v>
      </c>
      <c r="N43" s="75">
        <v>2803.187744140625</v>
      </c>
      <c r="O43" s="76"/>
      <c r="P43" s="77"/>
      <c r="Q43" s="77"/>
      <c r="R43" s="89"/>
      <c r="S43" s="49">
        <v>0</v>
      </c>
      <c r="T43" s="49">
        <v>1</v>
      </c>
      <c r="U43" s="50">
        <v>0</v>
      </c>
      <c r="V43" s="50">
        <v>0.010417</v>
      </c>
      <c r="W43" s="50">
        <v>0</v>
      </c>
      <c r="X43" s="50">
        <v>0.591246</v>
      </c>
      <c r="Y43" s="50">
        <v>0</v>
      </c>
      <c r="Z43" s="50">
        <v>0</v>
      </c>
      <c r="AA43" s="72">
        <v>43</v>
      </c>
      <c r="AB43" s="72"/>
      <c r="AC43" s="73"/>
      <c r="AD43" s="80" t="s">
        <v>1609</v>
      </c>
      <c r="AE43" s="80" t="s">
        <v>2432</v>
      </c>
      <c r="AF43" s="80"/>
      <c r="AG43" s="80"/>
      <c r="AH43" s="80"/>
      <c r="AI43" s="80"/>
      <c r="AJ43" s="87">
        <v>43965.481203703705</v>
      </c>
      <c r="AK43" s="85" t="str">
        <f>HYPERLINK("https://yt3.ggpht.com/88CSldQKNxh1u9TYslkseJvjyefPvSR2PkhCdT7ZPYWWUBcIvK0Nyy9kINbUV1OPdzG23Q2uUgw=s88-c-k-c0x00ffffff-no-rj")</f>
        <v>https://yt3.ggpht.com/88CSldQKNxh1u9TYslkseJvjyefPvSR2PkhCdT7ZPYWWUBcIvK0Nyy9kINbUV1OPdzG23Q2uUgw=s88-c-k-c0x00ffffff-no-rj</v>
      </c>
      <c r="AL43" s="80">
        <v>29</v>
      </c>
      <c r="AM43" s="80">
        <v>0</v>
      </c>
      <c r="AN43" s="80">
        <v>4</v>
      </c>
      <c r="AO43" s="80" t="b">
        <v>0</v>
      </c>
      <c r="AP43" s="80">
        <v>3</v>
      </c>
      <c r="AQ43" s="80"/>
      <c r="AR43" s="80"/>
      <c r="AS43" s="80" t="s">
        <v>2664</v>
      </c>
      <c r="AT43" s="85" t="str">
        <f>HYPERLINK("https://www.youtube.com/channel/UCrKVp1JUCrPxeErnkBi_gwg")</f>
        <v>https://www.youtube.com/channel/UCrKVp1JUCrPxeErnkBi_gwg</v>
      </c>
      <c r="AU43" s="80" t="str">
        <f>REPLACE(INDEX(GroupVertices[Group],MATCH(Vertices[[#This Row],[Vertex]],GroupVertices[Vertex],0)),1,1,"")</f>
        <v>6</v>
      </c>
      <c r="AV43" s="49">
        <v>0</v>
      </c>
      <c r="AW43" s="50">
        <v>0</v>
      </c>
      <c r="AX43" s="49">
        <v>0</v>
      </c>
      <c r="AY43" s="50">
        <v>0</v>
      </c>
      <c r="AZ43" s="49">
        <v>0</v>
      </c>
      <c r="BA43" s="50">
        <v>0</v>
      </c>
      <c r="BB43" s="49">
        <v>1</v>
      </c>
      <c r="BC43" s="50">
        <v>100</v>
      </c>
      <c r="BD43" s="49">
        <v>1</v>
      </c>
      <c r="BE43" s="49"/>
      <c r="BF43" s="49"/>
      <c r="BG43" s="49"/>
      <c r="BH43" s="49"/>
      <c r="BI43" s="49"/>
      <c r="BJ43" s="49"/>
      <c r="BK43" s="111" t="s">
        <v>2845</v>
      </c>
      <c r="BL43" s="111" t="s">
        <v>2845</v>
      </c>
      <c r="BM43" s="111" t="s">
        <v>2390</v>
      </c>
      <c r="BN43" s="111" t="s">
        <v>2390</v>
      </c>
      <c r="BO43" s="2"/>
      <c r="BP43" s="3"/>
      <c r="BQ43" s="3"/>
      <c r="BR43" s="3"/>
      <c r="BS43" s="3"/>
    </row>
    <row r="44" spans="1:71" ht="15">
      <c r="A44" s="65" t="s">
        <v>251</v>
      </c>
      <c r="B44" s="66"/>
      <c r="C44" s="66"/>
      <c r="D44" s="67">
        <v>291.66666666666663</v>
      </c>
      <c r="E44" s="69"/>
      <c r="F44" s="103" t="str">
        <f>HYPERLINK("https://yt3.ggpht.com/ytc/AAUvwnha7rV5iTVyF4A9StSHp9cB8thAialJ5cXoIQ=s88-c-k-c0x00ffffff-no-rj")</f>
        <v>https://yt3.ggpht.com/ytc/AAUvwnha7rV5iTVyF4A9StSHp9cB8thAialJ5cXoIQ=s88-c-k-c0x00ffffff-no-rj</v>
      </c>
      <c r="G44" s="66"/>
      <c r="H44" s="70" t="s">
        <v>1610</v>
      </c>
      <c r="I44" s="71"/>
      <c r="J44" s="71" t="s">
        <v>159</v>
      </c>
      <c r="K44" s="70" t="s">
        <v>1610</v>
      </c>
      <c r="L44" s="74">
        <v>96.21904761904761</v>
      </c>
      <c r="M44" s="75">
        <v>4200.4384765625</v>
      </c>
      <c r="N44" s="75">
        <v>2038.208984375</v>
      </c>
      <c r="O44" s="76"/>
      <c r="P44" s="77"/>
      <c r="Q44" s="77"/>
      <c r="R44" s="89"/>
      <c r="S44" s="49">
        <v>1</v>
      </c>
      <c r="T44" s="49">
        <v>1</v>
      </c>
      <c r="U44" s="50">
        <v>64</v>
      </c>
      <c r="V44" s="50">
        <v>0.015625</v>
      </c>
      <c r="W44" s="50">
        <v>0</v>
      </c>
      <c r="X44" s="50">
        <v>1.038226</v>
      </c>
      <c r="Y44" s="50">
        <v>0</v>
      </c>
      <c r="Z44" s="50">
        <v>0</v>
      </c>
      <c r="AA44" s="72">
        <v>44</v>
      </c>
      <c r="AB44" s="72"/>
      <c r="AC44" s="73"/>
      <c r="AD44" s="80" t="s">
        <v>1610</v>
      </c>
      <c r="AE44" s="80"/>
      <c r="AF44" s="80"/>
      <c r="AG44" s="80"/>
      <c r="AH44" s="80"/>
      <c r="AI44" s="80"/>
      <c r="AJ44" s="87">
        <v>43864.01</v>
      </c>
      <c r="AK44" s="85" t="str">
        <f>HYPERLINK("https://yt3.ggpht.com/ytc/AAUvwnha7rV5iTVyF4A9StSHp9cB8thAialJ5cXoIQ=s88-c-k-c0x00ffffff-no-rj")</f>
        <v>https://yt3.ggpht.com/ytc/AAUvwnha7rV5iTVyF4A9StSHp9cB8thAialJ5cXoIQ=s88-c-k-c0x00ffffff-no-rj</v>
      </c>
      <c r="AL44" s="80">
        <v>0</v>
      </c>
      <c r="AM44" s="80">
        <v>0</v>
      </c>
      <c r="AN44" s="80">
        <v>0</v>
      </c>
      <c r="AO44" s="80" t="b">
        <v>0</v>
      </c>
      <c r="AP44" s="80">
        <v>0</v>
      </c>
      <c r="AQ44" s="80"/>
      <c r="AR44" s="80"/>
      <c r="AS44" s="80" t="s">
        <v>2664</v>
      </c>
      <c r="AT44" s="85" t="str">
        <f>HYPERLINK("https://www.youtube.com/channel/UCEnMPIukh-2_fr6WKr-uIEQ")</f>
        <v>https://www.youtube.com/channel/UCEnMPIukh-2_fr6WKr-uIEQ</v>
      </c>
      <c r="AU44" s="80" t="str">
        <f>REPLACE(INDEX(GroupVertices[Group],MATCH(Vertices[[#This Row],[Vertex]],GroupVertices[Vertex],0)),1,1,"")</f>
        <v>6</v>
      </c>
      <c r="AV44" s="49">
        <v>0</v>
      </c>
      <c r="AW44" s="50">
        <v>0</v>
      </c>
      <c r="AX44" s="49">
        <v>0</v>
      </c>
      <c r="AY44" s="50">
        <v>0</v>
      </c>
      <c r="AZ44" s="49">
        <v>0</v>
      </c>
      <c r="BA44" s="50">
        <v>0</v>
      </c>
      <c r="BB44" s="49">
        <v>17</v>
      </c>
      <c r="BC44" s="50">
        <v>100</v>
      </c>
      <c r="BD44" s="49">
        <v>17</v>
      </c>
      <c r="BE44" s="49" t="s">
        <v>3459</v>
      </c>
      <c r="BF44" s="49" t="s">
        <v>3459</v>
      </c>
      <c r="BG44" s="49" t="s">
        <v>2379</v>
      </c>
      <c r="BH44" s="49" t="s">
        <v>2379</v>
      </c>
      <c r="BI44" s="49"/>
      <c r="BJ44" s="49"/>
      <c r="BK44" s="111" t="s">
        <v>3697</v>
      </c>
      <c r="BL44" s="111" t="s">
        <v>3697</v>
      </c>
      <c r="BM44" s="111" t="s">
        <v>4172</v>
      </c>
      <c r="BN44" s="111" t="s">
        <v>4172</v>
      </c>
      <c r="BO44" s="2"/>
      <c r="BP44" s="3"/>
      <c r="BQ44" s="3"/>
      <c r="BR44" s="3"/>
      <c r="BS44" s="3"/>
    </row>
    <row r="45" spans="1:71" ht="15">
      <c r="A45" s="65" t="s">
        <v>252</v>
      </c>
      <c r="B45" s="66"/>
      <c r="C45" s="66"/>
      <c r="D45" s="67">
        <v>150</v>
      </c>
      <c r="E45" s="69"/>
      <c r="F45" s="103" t="str">
        <f>HYPERLINK("https://yt3.ggpht.com/ytc/AAUvwngsVqjn-K2QasspV8gp_e3Z-Y3wqT1ndafpvKOrSw=s88-c-k-c0x00ffffff-no-rj")</f>
        <v>https://yt3.ggpht.com/ytc/AAUvwngsVqjn-K2QasspV8gp_e3Z-Y3wqT1ndafpvKOrSw=s88-c-k-c0x00ffffff-no-rj</v>
      </c>
      <c r="G45" s="66"/>
      <c r="H45" s="70" t="s">
        <v>1611</v>
      </c>
      <c r="I45" s="71"/>
      <c r="J45" s="71" t="s">
        <v>159</v>
      </c>
      <c r="K45" s="70" t="s">
        <v>1611</v>
      </c>
      <c r="L45" s="74">
        <v>1</v>
      </c>
      <c r="M45" s="75">
        <v>4895.55908203125</v>
      </c>
      <c r="N45" s="75">
        <v>1227.685791015625</v>
      </c>
      <c r="O45" s="76"/>
      <c r="P45" s="77"/>
      <c r="Q45" s="77"/>
      <c r="R45" s="89"/>
      <c r="S45" s="49">
        <v>0</v>
      </c>
      <c r="T45" s="49">
        <v>1</v>
      </c>
      <c r="U45" s="50">
        <v>0</v>
      </c>
      <c r="V45" s="50">
        <v>0.015152</v>
      </c>
      <c r="W45" s="50">
        <v>0</v>
      </c>
      <c r="X45" s="50">
        <v>0.535667</v>
      </c>
      <c r="Y45" s="50">
        <v>0</v>
      </c>
      <c r="Z45" s="50">
        <v>0</v>
      </c>
      <c r="AA45" s="72">
        <v>45</v>
      </c>
      <c r="AB45" s="72"/>
      <c r="AC45" s="73"/>
      <c r="AD45" s="80" t="s">
        <v>1611</v>
      </c>
      <c r="AE45" s="80"/>
      <c r="AF45" s="80"/>
      <c r="AG45" s="80"/>
      <c r="AH45" s="80"/>
      <c r="AI45" s="80"/>
      <c r="AJ45" s="87">
        <v>44081.90599537037</v>
      </c>
      <c r="AK45" s="85" t="str">
        <f>HYPERLINK("https://yt3.ggpht.com/ytc/AAUvwngsVqjn-K2QasspV8gp_e3Z-Y3wqT1ndafpvKOrSw=s88-c-k-c0x00ffffff-no-rj")</f>
        <v>https://yt3.ggpht.com/ytc/AAUvwngsVqjn-K2QasspV8gp_e3Z-Y3wqT1ndafpvKOrSw=s88-c-k-c0x00ffffff-no-rj</v>
      </c>
      <c r="AL45" s="80">
        <v>0</v>
      </c>
      <c r="AM45" s="80">
        <v>0</v>
      </c>
      <c r="AN45" s="80">
        <v>0</v>
      </c>
      <c r="AO45" s="80" t="b">
        <v>0</v>
      </c>
      <c r="AP45" s="80">
        <v>0</v>
      </c>
      <c r="AQ45" s="80"/>
      <c r="AR45" s="80"/>
      <c r="AS45" s="80" t="s">
        <v>2664</v>
      </c>
      <c r="AT45" s="85" t="str">
        <f>HYPERLINK("https://www.youtube.com/channel/UCzE45SQ5TZPTsrUDeAO3-uA")</f>
        <v>https://www.youtube.com/channel/UCzE45SQ5TZPTsrUDeAO3-uA</v>
      </c>
      <c r="AU45" s="80" t="str">
        <f>REPLACE(INDEX(GroupVertices[Group],MATCH(Vertices[[#This Row],[Vertex]],GroupVertices[Vertex],0)),1,1,"")</f>
        <v>6</v>
      </c>
      <c r="AV45" s="49">
        <v>1</v>
      </c>
      <c r="AW45" s="50">
        <v>4.166666666666667</v>
      </c>
      <c r="AX45" s="49">
        <v>1</v>
      </c>
      <c r="AY45" s="50">
        <v>4.166666666666667</v>
      </c>
      <c r="AZ45" s="49">
        <v>0</v>
      </c>
      <c r="BA45" s="50">
        <v>0</v>
      </c>
      <c r="BB45" s="49">
        <v>22</v>
      </c>
      <c r="BC45" s="50">
        <v>91.66666666666667</v>
      </c>
      <c r="BD45" s="49">
        <v>24</v>
      </c>
      <c r="BE45" s="49"/>
      <c r="BF45" s="49"/>
      <c r="BG45" s="49"/>
      <c r="BH45" s="49"/>
      <c r="BI45" s="49"/>
      <c r="BJ45" s="49"/>
      <c r="BK45" s="111" t="s">
        <v>3698</v>
      </c>
      <c r="BL45" s="111" t="s">
        <v>3698</v>
      </c>
      <c r="BM45" s="111" t="s">
        <v>4173</v>
      </c>
      <c r="BN45" s="111" t="s">
        <v>4173</v>
      </c>
      <c r="BO45" s="2"/>
      <c r="BP45" s="3"/>
      <c r="BQ45" s="3"/>
      <c r="BR45" s="3"/>
      <c r="BS45" s="3"/>
    </row>
    <row r="46" spans="1:71" ht="15">
      <c r="A46" s="65" t="s">
        <v>253</v>
      </c>
      <c r="B46" s="66"/>
      <c r="C46" s="66"/>
      <c r="D46" s="67">
        <v>150</v>
      </c>
      <c r="E46" s="69"/>
      <c r="F46" s="103" t="str">
        <f>HYPERLINK("https://yt3.ggpht.com/ytc/AAUvwngwcs0uhNGVADrYqJl-b5c1DtyzAWzYjDG76g=s88-c-k-c0x00ffffff-no-rj")</f>
        <v>https://yt3.ggpht.com/ytc/AAUvwngwcs0uhNGVADrYqJl-b5c1DtyzAWzYjDG76g=s88-c-k-c0x00ffffff-no-rj</v>
      </c>
      <c r="G46" s="66"/>
      <c r="H46" s="70" t="s">
        <v>1612</v>
      </c>
      <c r="I46" s="71"/>
      <c r="J46" s="71" t="s">
        <v>159</v>
      </c>
      <c r="K46" s="70" t="s">
        <v>1612</v>
      </c>
      <c r="L46" s="74">
        <v>1</v>
      </c>
      <c r="M46" s="75">
        <v>4720.2880859375</v>
      </c>
      <c r="N46" s="75">
        <v>1550.025146484375</v>
      </c>
      <c r="O46" s="76"/>
      <c r="P46" s="77"/>
      <c r="Q46" s="77"/>
      <c r="R46" s="89"/>
      <c r="S46" s="49">
        <v>0</v>
      </c>
      <c r="T46" s="49">
        <v>1</v>
      </c>
      <c r="U46" s="50">
        <v>0</v>
      </c>
      <c r="V46" s="50">
        <v>0.015152</v>
      </c>
      <c r="W46" s="50">
        <v>0</v>
      </c>
      <c r="X46" s="50">
        <v>0.535667</v>
      </c>
      <c r="Y46" s="50">
        <v>0</v>
      </c>
      <c r="Z46" s="50">
        <v>0</v>
      </c>
      <c r="AA46" s="72">
        <v>46</v>
      </c>
      <c r="AB46" s="72"/>
      <c r="AC46" s="73"/>
      <c r="AD46" s="80" t="s">
        <v>1612</v>
      </c>
      <c r="AE46" s="80"/>
      <c r="AF46" s="80"/>
      <c r="AG46" s="80"/>
      <c r="AH46" s="80"/>
      <c r="AI46" s="80"/>
      <c r="AJ46" s="87">
        <v>44019.52570601852</v>
      </c>
      <c r="AK46" s="85" t="str">
        <f>HYPERLINK("https://yt3.ggpht.com/ytc/AAUvwngwcs0uhNGVADrYqJl-b5c1DtyzAWzYjDG76g=s88-c-k-c0x00ffffff-no-rj")</f>
        <v>https://yt3.ggpht.com/ytc/AAUvwngwcs0uhNGVADrYqJl-b5c1DtyzAWzYjDG76g=s88-c-k-c0x00ffffff-no-rj</v>
      </c>
      <c r="AL46" s="80">
        <v>0</v>
      </c>
      <c r="AM46" s="80">
        <v>0</v>
      </c>
      <c r="AN46" s="80">
        <v>0</v>
      </c>
      <c r="AO46" s="80" t="b">
        <v>0</v>
      </c>
      <c r="AP46" s="80">
        <v>0</v>
      </c>
      <c r="AQ46" s="80"/>
      <c r="AR46" s="80"/>
      <c r="AS46" s="80" t="s">
        <v>2664</v>
      </c>
      <c r="AT46" s="85" t="str">
        <f>HYPERLINK("https://www.youtube.com/channel/UC5W6WNCv9bCcVuPxP9Pi5eA")</f>
        <v>https://www.youtube.com/channel/UC5W6WNCv9bCcVuPxP9Pi5eA</v>
      </c>
      <c r="AU46" s="80" t="str">
        <f>REPLACE(INDEX(GroupVertices[Group],MATCH(Vertices[[#This Row],[Vertex]],GroupVertices[Vertex],0)),1,1,"")</f>
        <v>6</v>
      </c>
      <c r="AV46" s="49">
        <v>1</v>
      </c>
      <c r="AW46" s="50">
        <v>50</v>
      </c>
      <c r="AX46" s="49">
        <v>0</v>
      </c>
      <c r="AY46" s="50">
        <v>0</v>
      </c>
      <c r="AZ46" s="49">
        <v>0</v>
      </c>
      <c r="BA46" s="50">
        <v>0</v>
      </c>
      <c r="BB46" s="49">
        <v>1</v>
      </c>
      <c r="BC46" s="50">
        <v>50</v>
      </c>
      <c r="BD46" s="49">
        <v>2</v>
      </c>
      <c r="BE46" s="49"/>
      <c r="BF46" s="49"/>
      <c r="BG46" s="49"/>
      <c r="BH46" s="49"/>
      <c r="BI46" s="49"/>
      <c r="BJ46" s="49"/>
      <c r="BK46" s="111" t="s">
        <v>3699</v>
      </c>
      <c r="BL46" s="111" t="s">
        <v>3699</v>
      </c>
      <c r="BM46" s="111" t="s">
        <v>4174</v>
      </c>
      <c r="BN46" s="111" t="s">
        <v>4174</v>
      </c>
      <c r="BO46" s="2"/>
      <c r="BP46" s="3"/>
      <c r="BQ46" s="3"/>
      <c r="BR46" s="3"/>
      <c r="BS46" s="3"/>
    </row>
    <row r="47" spans="1:71" ht="15">
      <c r="A47" s="65" t="s">
        <v>254</v>
      </c>
      <c r="B47" s="66"/>
      <c r="C47" s="66"/>
      <c r="D47" s="67">
        <v>150</v>
      </c>
      <c r="E47" s="69"/>
      <c r="F47" s="103" t="str">
        <f>HYPERLINK("https://yt3.ggpht.com/ytc/AAUvwnga8cQY6zSndMfbS3Tfzlita0bBj-IwqJ2vkw=s88-c-k-c0x00ffffff-no-rj")</f>
        <v>https://yt3.ggpht.com/ytc/AAUvwnga8cQY6zSndMfbS3Tfzlita0bBj-IwqJ2vkw=s88-c-k-c0x00ffffff-no-rj</v>
      </c>
      <c r="G47" s="66"/>
      <c r="H47" s="70" t="s">
        <v>1613</v>
      </c>
      <c r="I47" s="71"/>
      <c r="J47" s="71" t="s">
        <v>159</v>
      </c>
      <c r="K47" s="70" t="s">
        <v>1613</v>
      </c>
      <c r="L47" s="74">
        <v>1</v>
      </c>
      <c r="M47" s="75">
        <v>5161.8349609375</v>
      </c>
      <c r="N47" s="75">
        <v>1471.183837890625</v>
      </c>
      <c r="O47" s="76"/>
      <c r="P47" s="77"/>
      <c r="Q47" s="77"/>
      <c r="R47" s="89"/>
      <c r="S47" s="49">
        <v>0</v>
      </c>
      <c r="T47" s="49">
        <v>1</v>
      </c>
      <c r="U47" s="50">
        <v>0</v>
      </c>
      <c r="V47" s="50">
        <v>0.015152</v>
      </c>
      <c r="W47" s="50">
        <v>0</v>
      </c>
      <c r="X47" s="50">
        <v>0.535667</v>
      </c>
      <c r="Y47" s="50">
        <v>0</v>
      </c>
      <c r="Z47" s="50">
        <v>0</v>
      </c>
      <c r="AA47" s="72">
        <v>47</v>
      </c>
      <c r="AB47" s="72"/>
      <c r="AC47" s="73"/>
      <c r="AD47" s="80" t="s">
        <v>1613</v>
      </c>
      <c r="AE47" s="80"/>
      <c r="AF47" s="80"/>
      <c r="AG47" s="80"/>
      <c r="AH47" s="80"/>
      <c r="AI47" s="80"/>
      <c r="AJ47" s="87">
        <v>44141.240902777776</v>
      </c>
      <c r="AK47" s="85" t="str">
        <f>HYPERLINK("https://yt3.ggpht.com/ytc/AAUvwnga8cQY6zSndMfbS3Tfzlita0bBj-IwqJ2vkw=s88-c-k-c0x00ffffff-no-rj")</f>
        <v>https://yt3.ggpht.com/ytc/AAUvwnga8cQY6zSndMfbS3Tfzlita0bBj-IwqJ2vkw=s88-c-k-c0x00ffffff-no-rj</v>
      </c>
      <c r="AL47" s="80">
        <v>0</v>
      </c>
      <c r="AM47" s="80">
        <v>0</v>
      </c>
      <c r="AN47" s="80">
        <v>0</v>
      </c>
      <c r="AO47" s="80" t="b">
        <v>0</v>
      </c>
      <c r="AP47" s="80">
        <v>0</v>
      </c>
      <c r="AQ47" s="80"/>
      <c r="AR47" s="80"/>
      <c r="AS47" s="80" t="s">
        <v>2664</v>
      </c>
      <c r="AT47" s="85" t="str">
        <f>HYPERLINK("https://www.youtube.com/channel/UCT4BT7IzxI6WhH6ga32D0AA")</f>
        <v>https://www.youtube.com/channel/UCT4BT7IzxI6WhH6ga32D0AA</v>
      </c>
      <c r="AU47" s="80" t="str">
        <f>REPLACE(INDEX(GroupVertices[Group],MATCH(Vertices[[#This Row],[Vertex]],GroupVertices[Vertex],0)),1,1,"")</f>
        <v>6</v>
      </c>
      <c r="AV47" s="49">
        <v>0</v>
      </c>
      <c r="AW47" s="50">
        <v>0</v>
      </c>
      <c r="AX47" s="49">
        <v>0</v>
      </c>
      <c r="AY47" s="50">
        <v>0</v>
      </c>
      <c r="AZ47" s="49">
        <v>0</v>
      </c>
      <c r="BA47" s="50">
        <v>0</v>
      </c>
      <c r="BB47" s="49">
        <v>28</v>
      </c>
      <c r="BC47" s="50">
        <v>100</v>
      </c>
      <c r="BD47" s="49">
        <v>28</v>
      </c>
      <c r="BE47" s="49"/>
      <c r="BF47" s="49"/>
      <c r="BG47" s="49"/>
      <c r="BH47" s="49"/>
      <c r="BI47" s="49"/>
      <c r="BJ47" s="49"/>
      <c r="BK47" s="111" t="s">
        <v>3700</v>
      </c>
      <c r="BL47" s="111" t="s">
        <v>3700</v>
      </c>
      <c r="BM47" s="111" t="s">
        <v>4175</v>
      </c>
      <c r="BN47" s="111" t="s">
        <v>4175</v>
      </c>
      <c r="BO47" s="2"/>
      <c r="BP47" s="3"/>
      <c r="BQ47" s="3"/>
      <c r="BR47" s="3"/>
      <c r="BS47" s="3"/>
    </row>
    <row r="48" spans="1:71" ht="15">
      <c r="A48" s="65" t="s">
        <v>255</v>
      </c>
      <c r="B48" s="66"/>
      <c r="C48" s="66"/>
      <c r="D48" s="67">
        <v>150</v>
      </c>
      <c r="E48" s="69"/>
      <c r="F48" s="103" t="str">
        <f>HYPERLINK("https://yt3.ggpht.com/ytc/AAUvwnjHcW42n4yag3Bgfc2MpxjsDw4NvrxcRwjyKtdY2w=s88-c-k-c0x00ffffff-no-rj")</f>
        <v>https://yt3.ggpht.com/ytc/AAUvwnjHcW42n4yag3Bgfc2MpxjsDw4NvrxcRwjyKtdY2w=s88-c-k-c0x00ffffff-no-rj</v>
      </c>
      <c r="G48" s="66"/>
      <c r="H48" s="70" t="s">
        <v>1614</v>
      </c>
      <c r="I48" s="71"/>
      <c r="J48" s="71" t="s">
        <v>159</v>
      </c>
      <c r="K48" s="70" t="s">
        <v>1614</v>
      </c>
      <c r="L48" s="74">
        <v>1</v>
      </c>
      <c r="M48" s="75">
        <v>3559.848876953125</v>
      </c>
      <c r="N48" s="75">
        <v>1439.587158203125</v>
      </c>
      <c r="O48" s="76"/>
      <c r="P48" s="77"/>
      <c r="Q48" s="77"/>
      <c r="R48" s="89"/>
      <c r="S48" s="49">
        <v>0</v>
      </c>
      <c r="T48" s="49">
        <v>1</v>
      </c>
      <c r="U48" s="50">
        <v>0</v>
      </c>
      <c r="V48" s="50">
        <v>0.015152</v>
      </c>
      <c r="W48" s="50">
        <v>0</v>
      </c>
      <c r="X48" s="50">
        <v>0.535667</v>
      </c>
      <c r="Y48" s="50">
        <v>0</v>
      </c>
      <c r="Z48" s="50">
        <v>0</v>
      </c>
      <c r="AA48" s="72">
        <v>48</v>
      </c>
      <c r="AB48" s="72"/>
      <c r="AC48" s="73"/>
      <c r="AD48" s="80" t="s">
        <v>1614</v>
      </c>
      <c r="AE48" s="80"/>
      <c r="AF48" s="80"/>
      <c r="AG48" s="80"/>
      <c r="AH48" s="80"/>
      <c r="AI48" s="80"/>
      <c r="AJ48" s="87">
        <v>41833.83085648148</v>
      </c>
      <c r="AK48" s="85" t="str">
        <f>HYPERLINK("https://yt3.ggpht.com/ytc/AAUvwnjHcW42n4yag3Bgfc2MpxjsDw4NvrxcRwjyKtdY2w=s88-c-k-c0x00ffffff-no-rj")</f>
        <v>https://yt3.ggpht.com/ytc/AAUvwnjHcW42n4yag3Bgfc2MpxjsDw4NvrxcRwjyKtdY2w=s88-c-k-c0x00ffffff-no-rj</v>
      </c>
      <c r="AL48" s="80">
        <v>0</v>
      </c>
      <c r="AM48" s="80">
        <v>0</v>
      </c>
      <c r="AN48" s="80">
        <v>0</v>
      </c>
      <c r="AO48" s="80" t="b">
        <v>0</v>
      </c>
      <c r="AP48" s="80">
        <v>0</v>
      </c>
      <c r="AQ48" s="80"/>
      <c r="AR48" s="80"/>
      <c r="AS48" s="80" t="s">
        <v>2664</v>
      </c>
      <c r="AT48" s="85" t="str">
        <f>HYPERLINK("https://www.youtube.com/channel/UCXwH9WULW-ZTkmtuLdSNLiA")</f>
        <v>https://www.youtube.com/channel/UCXwH9WULW-ZTkmtuLdSNLiA</v>
      </c>
      <c r="AU48" s="80" t="str">
        <f>REPLACE(INDEX(GroupVertices[Group],MATCH(Vertices[[#This Row],[Vertex]],GroupVertices[Vertex],0)),1,1,"")</f>
        <v>6</v>
      </c>
      <c r="AV48" s="49">
        <v>1</v>
      </c>
      <c r="AW48" s="50">
        <v>50</v>
      </c>
      <c r="AX48" s="49">
        <v>0</v>
      </c>
      <c r="AY48" s="50">
        <v>0</v>
      </c>
      <c r="AZ48" s="49">
        <v>0</v>
      </c>
      <c r="BA48" s="50">
        <v>0</v>
      </c>
      <c r="BB48" s="49">
        <v>1</v>
      </c>
      <c r="BC48" s="50">
        <v>50</v>
      </c>
      <c r="BD48" s="49">
        <v>2</v>
      </c>
      <c r="BE48" s="49"/>
      <c r="BF48" s="49"/>
      <c r="BG48" s="49"/>
      <c r="BH48" s="49"/>
      <c r="BI48" s="49"/>
      <c r="BJ48" s="49"/>
      <c r="BK48" s="111" t="s">
        <v>1110</v>
      </c>
      <c r="BL48" s="111" t="s">
        <v>1110</v>
      </c>
      <c r="BM48" s="111" t="s">
        <v>2390</v>
      </c>
      <c r="BN48" s="111" t="s">
        <v>2390</v>
      </c>
      <c r="BO48" s="2"/>
      <c r="BP48" s="3"/>
      <c r="BQ48" s="3"/>
      <c r="BR48" s="3"/>
      <c r="BS48" s="3"/>
    </row>
    <row r="49" spans="1:71" ht="15">
      <c r="A49" s="65" t="s">
        <v>256</v>
      </c>
      <c r="B49" s="66"/>
      <c r="C49" s="66"/>
      <c r="D49" s="67">
        <v>150</v>
      </c>
      <c r="E49" s="69"/>
      <c r="F49" s="103" t="str">
        <f>HYPERLINK("https://yt3.ggpht.com/ytc/AAUvwnibhIft8zsw0oURuhAr831mgaoq_4SlHFbpsvMb7g=s88-c-k-c0x00ffffff-no-rj")</f>
        <v>https://yt3.ggpht.com/ytc/AAUvwnibhIft8zsw0oURuhAr831mgaoq_4SlHFbpsvMb7g=s88-c-k-c0x00ffffff-no-rj</v>
      </c>
      <c r="G49" s="66"/>
      <c r="H49" s="70" t="s">
        <v>1615</v>
      </c>
      <c r="I49" s="71"/>
      <c r="J49" s="71" t="s">
        <v>159</v>
      </c>
      <c r="K49" s="70" t="s">
        <v>1615</v>
      </c>
      <c r="L49" s="74">
        <v>1</v>
      </c>
      <c r="M49" s="75">
        <v>3537.80517578125</v>
      </c>
      <c r="N49" s="75">
        <v>671.3707275390625</v>
      </c>
      <c r="O49" s="76"/>
      <c r="P49" s="77"/>
      <c r="Q49" s="77"/>
      <c r="R49" s="89"/>
      <c r="S49" s="49">
        <v>0</v>
      </c>
      <c r="T49" s="49">
        <v>1</v>
      </c>
      <c r="U49" s="50">
        <v>0</v>
      </c>
      <c r="V49" s="50">
        <v>0.015152</v>
      </c>
      <c r="W49" s="50">
        <v>0</v>
      </c>
      <c r="X49" s="50">
        <v>0.535667</v>
      </c>
      <c r="Y49" s="50">
        <v>0</v>
      </c>
      <c r="Z49" s="50">
        <v>0</v>
      </c>
      <c r="AA49" s="72">
        <v>49</v>
      </c>
      <c r="AB49" s="72"/>
      <c r="AC49" s="73"/>
      <c r="AD49" s="80" t="s">
        <v>1615</v>
      </c>
      <c r="AE49" s="80"/>
      <c r="AF49" s="80"/>
      <c r="AG49" s="80"/>
      <c r="AH49" s="80"/>
      <c r="AI49" s="80"/>
      <c r="AJ49" s="87">
        <v>43998.2328587963</v>
      </c>
      <c r="AK49" s="85" t="str">
        <f>HYPERLINK("https://yt3.ggpht.com/ytc/AAUvwnibhIft8zsw0oURuhAr831mgaoq_4SlHFbpsvMb7g=s88-c-k-c0x00ffffff-no-rj")</f>
        <v>https://yt3.ggpht.com/ytc/AAUvwnibhIft8zsw0oURuhAr831mgaoq_4SlHFbpsvMb7g=s88-c-k-c0x00ffffff-no-rj</v>
      </c>
      <c r="AL49" s="80">
        <v>2</v>
      </c>
      <c r="AM49" s="80">
        <v>0</v>
      </c>
      <c r="AN49" s="80">
        <v>1</v>
      </c>
      <c r="AO49" s="80" t="b">
        <v>0</v>
      </c>
      <c r="AP49" s="80">
        <v>1</v>
      </c>
      <c r="AQ49" s="80"/>
      <c r="AR49" s="80"/>
      <c r="AS49" s="80" t="s">
        <v>2664</v>
      </c>
      <c r="AT49" s="85" t="str">
        <f>HYPERLINK("https://www.youtube.com/channel/UCUDSOXPIsHHXL-EEaCIDKBg")</f>
        <v>https://www.youtube.com/channel/UCUDSOXPIsHHXL-EEaCIDKBg</v>
      </c>
      <c r="AU49" s="80" t="str">
        <f>REPLACE(INDEX(GroupVertices[Group],MATCH(Vertices[[#This Row],[Vertex]],GroupVertices[Vertex],0)),1,1,"")</f>
        <v>6</v>
      </c>
      <c r="AV49" s="49">
        <v>1</v>
      </c>
      <c r="AW49" s="50">
        <v>100</v>
      </c>
      <c r="AX49" s="49">
        <v>0</v>
      </c>
      <c r="AY49" s="50">
        <v>0</v>
      </c>
      <c r="AZ49" s="49">
        <v>0</v>
      </c>
      <c r="BA49" s="50">
        <v>0</v>
      </c>
      <c r="BB49" s="49">
        <v>0</v>
      </c>
      <c r="BC49" s="50">
        <v>0</v>
      </c>
      <c r="BD49" s="49">
        <v>1</v>
      </c>
      <c r="BE49" s="49"/>
      <c r="BF49" s="49"/>
      <c r="BG49" s="49"/>
      <c r="BH49" s="49"/>
      <c r="BI49" s="49"/>
      <c r="BJ49" s="49"/>
      <c r="BK49" s="111" t="s">
        <v>1110</v>
      </c>
      <c r="BL49" s="111" t="s">
        <v>1110</v>
      </c>
      <c r="BM49" s="111" t="s">
        <v>2390</v>
      </c>
      <c r="BN49" s="111" t="s">
        <v>2390</v>
      </c>
      <c r="BO49" s="2"/>
      <c r="BP49" s="3"/>
      <c r="BQ49" s="3"/>
      <c r="BR49" s="3"/>
      <c r="BS49" s="3"/>
    </row>
    <row r="50" spans="1:71" ht="15">
      <c r="A50" s="65" t="s">
        <v>257</v>
      </c>
      <c r="B50" s="66"/>
      <c r="C50" s="66"/>
      <c r="D50" s="67">
        <v>150</v>
      </c>
      <c r="E50" s="69"/>
      <c r="F50" s="103" t="str">
        <f>HYPERLINK("https://yt3.ggpht.com/ytc/AAUvwni9CuVXas-Btg6o-ph9gI5nFcXrs2yVOl3nt3Et=s88-c-k-c0x00ffffff-no-rj")</f>
        <v>https://yt3.ggpht.com/ytc/AAUvwni9CuVXas-Btg6o-ph9gI5nFcXrs2yVOl3nt3Et=s88-c-k-c0x00ffffff-no-rj</v>
      </c>
      <c r="G50" s="66"/>
      <c r="H50" s="70" t="s">
        <v>1616</v>
      </c>
      <c r="I50" s="71"/>
      <c r="J50" s="71" t="s">
        <v>159</v>
      </c>
      <c r="K50" s="70" t="s">
        <v>1616</v>
      </c>
      <c r="L50" s="74">
        <v>1</v>
      </c>
      <c r="M50" s="75">
        <v>4377.31787109375</v>
      </c>
      <c r="N50" s="75">
        <v>1423.052001953125</v>
      </c>
      <c r="O50" s="76"/>
      <c r="P50" s="77"/>
      <c r="Q50" s="77"/>
      <c r="R50" s="89"/>
      <c r="S50" s="49">
        <v>0</v>
      </c>
      <c r="T50" s="49">
        <v>1</v>
      </c>
      <c r="U50" s="50">
        <v>0</v>
      </c>
      <c r="V50" s="50">
        <v>0.015152</v>
      </c>
      <c r="W50" s="50">
        <v>0</v>
      </c>
      <c r="X50" s="50">
        <v>0.535667</v>
      </c>
      <c r="Y50" s="50">
        <v>0</v>
      </c>
      <c r="Z50" s="50">
        <v>0</v>
      </c>
      <c r="AA50" s="72">
        <v>50</v>
      </c>
      <c r="AB50" s="72"/>
      <c r="AC50" s="73"/>
      <c r="AD50" s="80" t="s">
        <v>1616</v>
      </c>
      <c r="AE50" s="80"/>
      <c r="AF50" s="80"/>
      <c r="AG50" s="80"/>
      <c r="AH50" s="80"/>
      <c r="AI50" s="80"/>
      <c r="AJ50" s="87">
        <v>42703.79723379629</v>
      </c>
      <c r="AK50" s="85" t="str">
        <f>HYPERLINK("https://yt3.ggpht.com/ytc/AAUvwni9CuVXas-Btg6o-ph9gI5nFcXrs2yVOl3nt3Et=s88-c-k-c0x00ffffff-no-rj")</f>
        <v>https://yt3.ggpht.com/ytc/AAUvwni9CuVXas-Btg6o-ph9gI5nFcXrs2yVOl3nt3Et=s88-c-k-c0x00ffffff-no-rj</v>
      </c>
      <c r="AL50" s="80">
        <v>0</v>
      </c>
      <c r="AM50" s="80">
        <v>0</v>
      </c>
      <c r="AN50" s="80">
        <v>0</v>
      </c>
      <c r="AO50" s="80" t="b">
        <v>0</v>
      </c>
      <c r="AP50" s="80">
        <v>0</v>
      </c>
      <c r="AQ50" s="80"/>
      <c r="AR50" s="80"/>
      <c r="AS50" s="80" t="s">
        <v>2664</v>
      </c>
      <c r="AT50" s="85" t="str">
        <f>HYPERLINK("https://www.youtube.com/channel/UCAI-AnI40vDGPZubkywkEaQ")</f>
        <v>https://www.youtube.com/channel/UCAI-AnI40vDGPZubkywkEaQ</v>
      </c>
      <c r="AU50" s="80" t="str">
        <f>REPLACE(INDEX(GroupVertices[Group],MATCH(Vertices[[#This Row],[Vertex]],GroupVertices[Vertex],0)),1,1,"")</f>
        <v>6</v>
      </c>
      <c r="AV50" s="49">
        <v>0</v>
      </c>
      <c r="AW50" s="50">
        <v>0</v>
      </c>
      <c r="AX50" s="49">
        <v>0</v>
      </c>
      <c r="AY50" s="50">
        <v>0</v>
      </c>
      <c r="AZ50" s="49">
        <v>0</v>
      </c>
      <c r="BA50" s="50">
        <v>0</v>
      </c>
      <c r="BB50" s="49">
        <v>8</v>
      </c>
      <c r="BC50" s="50">
        <v>100</v>
      </c>
      <c r="BD50" s="49">
        <v>8</v>
      </c>
      <c r="BE50" s="49"/>
      <c r="BF50" s="49"/>
      <c r="BG50" s="49"/>
      <c r="BH50" s="49"/>
      <c r="BI50" s="49"/>
      <c r="BJ50" s="49"/>
      <c r="BK50" s="111" t="s">
        <v>3701</v>
      </c>
      <c r="BL50" s="111" t="s">
        <v>3701</v>
      </c>
      <c r="BM50" s="111" t="s">
        <v>4176</v>
      </c>
      <c r="BN50" s="111" t="s">
        <v>4176</v>
      </c>
      <c r="BO50" s="2"/>
      <c r="BP50" s="3"/>
      <c r="BQ50" s="3"/>
      <c r="BR50" s="3"/>
      <c r="BS50" s="3"/>
    </row>
    <row r="51" spans="1:71" ht="15">
      <c r="A51" s="65" t="s">
        <v>258</v>
      </c>
      <c r="B51" s="66"/>
      <c r="C51" s="66"/>
      <c r="D51" s="67">
        <v>150</v>
      </c>
      <c r="E51" s="69"/>
      <c r="F51" s="103" t="str">
        <f>HYPERLINK("https://yt3.ggpht.com/ytc/AAUvwng0MO-SVDmly5-u8QysQnrR5DPO7D7VOyEdsuWT=s88-c-k-c0x00ffffff-no-rj")</f>
        <v>https://yt3.ggpht.com/ytc/AAUvwng0MO-SVDmly5-u8QysQnrR5DPO7D7VOyEdsuWT=s88-c-k-c0x00ffffff-no-rj</v>
      </c>
      <c r="G51" s="66"/>
      <c r="H51" s="70" t="s">
        <v>1617</v>
      </c>
      <c r="I51" s="71"/>
      <c r="J51" s="71" t="s">
        <v>159</v>
      </c>
      <c r="K51" s="70" t="s">
        <v>1617</v>
      </c>
      <c r="L51" s="74">
        <v>1</v>
      </c>
      <c r="M51" s="75">
        <v>4584.2412109375</v>
      </c>
      <c r="N51" s="75">
        <v>599.0557250976562</v>
      </c>
      <c r="O51" s="76"/>
      <c r="P51" s="77"/>
      <c r="Q51" s="77"/>
      <c r="R51" s="89"/>
      <c r="S51" s="49">
        <v>0</v>
      </c>
      <c r="T51" s="49">
        <v>1</v>
      </c>
      <c r="U51" s="50">
        <v>0</v>
      </c>
      <c r="V51" s="50">
        <v>0.015152</v>
      </c>
      <c r="W51" s="50">
        <v>0</v>
      </c>
      <c r="X51" s="50">
        <v>0.535667</v>
      </c>
      <c r="Y51" s="50">
        <v>0</v>
      </c>
      <c r="Z51" s="50">
        <v>0</v>
      </c>
      <c r="AA51" s="72">
        <v>51</v>
      </c>
      <c r="AB51" s="72"/>
      <c r="AC51" s="73"/>
      <c r="AD51" s="80" t="s">
        <v>1617</v>
      </c>
      <c r="AE51" s="80"/>
      <c r="AF51" s="80"/>
      <c r="AG51" s="80"/>
      <c r="AH51" s="80"/>
      <c r="AI51" s="80"/>
      <c r="AJ51" s="87">
        <v>43621.56361111111</v>
      </c>
      <c r="AK51" s="85" t="str">
        <f>HYPERLINK("https://yt3.ggpht.com/ytc/AAUvwng0MO-SVDmly5-u8QysQnrR5DPO7D7VOyEdsuWT=s88-c-k-c0x00ffffff-no-rj")</f>
        <v>https://yt3.ggpht.com/ytc/AAUvwng0MO-SVDmly5-u8QysQnrR5DPO7D7VOyEdsuWT=s88-c-k-c0x00ffffff-no-rj</v>
      </c>
      <c r="AL51" s="80">
        <v>0</v>
      </c>
      <c r="AM51" s="80">
        <v>0</v>
      </c>
      <c r="AN51" s="80">
        <v>1</v>
      </c>
      <c r="AO51" s="80" t="b">
        <v>0</v>
      </c>
      <c r="AP51" s="80">
        <v>0</v>
      </c>
      <c r="AQ51" s="80"/>
      <c r="AR51" s="80"/>
      <c r="AS51" s="80" t="s">
        <v>2664</v>
      </c>
      <c r="AT51" s="85" t="str">
        <f>HYPERLINK("https://www.youtube.com/channel/UCTN22SieDcp5m3-HcQIbHGA")</f>
        <v>https://www.youtube.com/channel/UCTN22SieDcp5m3-HcQIbHGA</v>
      </c>
      <c r="AU51" s="80" t="str">
        <f>REPLACE(INDEX(GroupVertices[Group],MATCH(Vertices[[#This Row],[Vertex]],GroupVertices[Vertex],0)),1,1,"")</f>
        <v>6</v>
      </c>
      <c r="AV51" s="49">
        <v>0</v>
      </c>
      <c r="AW51" s="50">
        <v>0</v>
      </c>
      <c r="AX51" s="49">
        <v>0</v>
      </c>
      <c r="AY51" s="50">
        <v>0</v>
      </c>
      <c r="AZ51" s="49">
        <v>0</v>
      </c>
      <c r="BA51" s="50">
        <v>0</v>
      </c>
      <c r="BB51" s="49">
        <v>1</v>
      </c>
      <c r="BC51" s="50">
        <v>100</v>
      </c>
      <c r="BD51" s="49">
        <v>1</v>
      </c>
      <c r="BE51" s="49"/>
      <c r="BF51" s="49"/>
      <c r="BG51" s="49"/>
      <c r="BH51" s="49"/>
      <c r="BI51" s="49"/>
      <c r="BJ51" s="49"/>
      <c r="BK51" s="111" t="s">
        <v>2390</v>
      </c>
      <c r="BL51" s="111" t="s">
        <v>2390</v>
      </c>
      <c r="BM51" s="111" t="s">
        <v>2390</v>
      </c>
      <c r="BN51" s="111" t="s">
        <v>2390</v>
      </c>
      <c r="BO51" s="2"/>
      <c r="BP51" s="3"/>
      <c r="BQ51" s="3"/>
      <c r="BR51" s="3"/>
      <c r="BS51" s="3"/>
    </row>
    <row r="52" spans="1:71" ht="15">
      <c r="A52" s="65" t="s">
        <v>259</v>
      </c>
      <c r="B52" s="66"/>
      <c r="C52" s="66"/>
      <c r="D52" s="67">
        <v>150</v>
      </c>
      <c r="E52" s="69"/>
      <c r="F52" s="103" t="str">
        <f>HYPERLINK("https://yt3.ggpht.com/ytc/AAUvwnjHOQ2zsrIWmuTSTY3jGB9ORN7RgjjCWwCV_Q=s88-c-k-c0x00ffffff-no-rj")</f>
        <v>https://yt3.ggpht.com/ytc/AAUvwnjHOQ2zsrIWmuTSTY3jGB9ORN7RgjjCWwCV_Q=s88-c-k-c0x00ffffff-no-rj</v>
      </c>
      <c r="G52" s="66"/>
      <c r="H52" s="70" t="s">
        <v>1618</v>
      </c>
      <c r="I52" s="71"/>
      <c r="J52" s="71" t="s">
        <v>159</v>
      </c>
      <c r="K52" s="70" t="s">
        <v>1618</v>
      </c>
      <c r="L52" s="74">
        <v>1</v>
      </c>
      <c r="M52" s="75">
        <v>3494.588623046875</v>
      </c>
      <c r="N52" s="75">
        <v>941.3219604492188</v>
      </c>
      <c r="O52" s="76"/>
      <c r="P52" s="77"/>
      <c r="Q52" s="77"/>
      <c r="R52" s="89"/>
      <c r="S52" s="49">
        <v>0</v>
      </c>
      <c r="T52" s="49">
        <v>1</v>
      </c>
      <c r="U52" s="50">
        <v>0</v>
      </c>
      <c r="V52" s="50">
        <v>0.015152</v>
      </c>
      <c r="W52" s="50">
        <v>0</v>
      </c>
      <c r="X52" s="50">
        <v>0.535667</v>
      </c>
      <c r="Y52" s="50">
        <v>0</v>
      </c>
      <c r="Z52" s="50">
        <v>0</v>
      </c>
      <c r="AA52" s="72">
        <v>52</v>
      </c>
      <c r="AB52" s="72"/>
      <c r="AC52" s="73"/>
      <c r="AD52" s="80" t="s">
        <v>1618</v>
      </c>
      <c r="AE52" s="80"/>
      <c r="AF52" s="80"/>
      <c r="AG52" s="80"/>
      <c r="AH52" s="80"/>
      <c r="AI52" s="80"/>
      <c r="AJ52" s="87">
        <v>44294.22592592592</v>
      </c>
      <c r="AK52" s="85" t="str">
        <f>HYPERLINK("https://yt3.ggpht.com/ytc/AAUvwnjHOQ2zsrIWmuTSTY3jGB9ORN7RgjjCWwCV_Q=s88-c-k-c0x00ffffff-no-rj")</f>
        <v>https://yt3.ggpht.com/ytc/AAUvwnjHOQ2zsrIWmuTSTY3jGB9ORN7RgjjCWwCV_Q=s88-c-k-c0x00ffffff-no-rj</v>
      </c>
      <c r="AL52" s="80">
        <v>0</v>
      </c>
      <c r="AM52" s="80">
        <v>0</v>
      </c>
      <c r="AN52" s="80">
        <v>0</v>
      </c>
      <c r="AO52" s="80" t="b">
        <v>0</v>
      </c>
      <c r="AP52" s="80">
        <v>0</v>
      </c>
      <c r="AQ52" s="80"/>
      <c r="AR52" s="80"/>
      <c r="AS52" s="80" t="s">
        <v>2664</v>
      </c>
      <c r="AT52" s="85" t="str">
        <f>HYPERLINK("https://www.youtube.com/channel/UCcd2GcYNu_n7ibQIAdq1ySA")</f>
        <v>https://www.youtube.com/channel/UCcd2GcYNu_n7ibQIAdq1ySA</v>
      </c>
      <c r="AU52" s="80" t="str">
        <f>REPLACE(INDEX(GroupVertices[Group],MATCH(Vertices[[#This Row],[Vertex]],GroupVertices[Vertex],0)),1,1,"")</f>
        <v>6</v>
      </c>
      <c r="AV52" s="49">
        <v>0</v>
      </c>
      <c r="AW52" s="50">
        <v>0</v>
      </c>
      <c r="AX52" s="49">
        <v>0</v>
      </c>
      <c r="AY52" s="50">
        <v>0</v>
      </c>
      <c r="AZ52" s="49">
        <v>0</v>
      </c>
      <c r="BA52" s="50">
        <v>0</v>
      </c>
      <c r="BB52" s="49">
        <v>10</v>
      </c>
      <c r="BC52" s="50">
        <v>100</v>
      </c>
      <c r="BD52" s="49">
        <v>10</v>
      </c>
      <c r="BE52" s="49"/>
      <c r="BF52" s="49"/>
      <c r="BG52" s="49"/>
      <c r="BH52" s="49"/>
      <c r="BI52" s="49"/>
      <c r="BJ52" s="49"/>
      <c r="BK52" s="111" t="s">
        <v>3702</v>
      </c>
      <c r="BL52" s="111" t="s">
        <v>3702</v>
      </c>
      <c r="BM52" s="111" t="s">
        <v>4177</v>
      </c>
      <c r="BN52" s="111" t="s">
        <v>4177</v>
      </c>
      <c r="BO52" s="2"/>
      <c r="BP52" s="3"/>
      <c r="BQ52" s="3"/>
      <c r="BR52" s="3"/>
      <c r="BS52" s="3"/>
    </row>
    <row r="53" spans="1:71" ht="15">
      <c r="A53" s="65" t="s">
        <v>260</v>
      </c>
      <c r="B53" s="66"/>
      <c r="C53" s="66"/>
      <c r="D53" s="67">
        <v>150</v>
      </c>
      <c r="E53" s="69"/>
      <c r="F53" s="103" t="str">
        <f>HYPERLINK("https://yt3.ggpht.com/ytc/AAUvwnj4OuU2crPdiMiO8ylIk_fxuEvZGdwU32AEJw=s88-c-k-c0x00ffffff-no-rj")</f>
        <v>https://yt3.ggpht.com/ytc/AAUvwnj4OuU2crPdiMiO8ylIk_fxuEvZGdwU32AEJw=s88-c-k-c0x00ffffff-no-rj</v>
      </c>
      <c r="G53" s="66"/>
      <c r="H53" s="70" t="s">
        <v>1619</v>
      </c>
      <c r="I53" s="71"/>
      <c r="J53" s="71" t="s">
        <v>159</v>
      </c>
      <c r="K53" s="70" t="s">
        <v>1619</v>
      </c>
      <c r="L53" s="74">
        <v>1</v>
      </c>
      <c r="M53" s="75">
        <v>3723.113525390625</v>
      </c>
      <c r="N53" s="75">
        <v>414.0318298339844</v>
      </c>
      <c r="O53" s="76"/>
      <c r="P53" s="77"/>
      <c r="Q53" s="77"/>
      <c r="R53" s="89"/>
      <c r="S53" s="49">
        <v>0</v>
      </c>
      <c r="T53" s="49">
        <v>1</v>
      </c>
      <c r="U53" s="50">
        <v>0</v>
      </c>
      <c r="V53" s="50">
        <v>0.015152</v>
      </c>
      <c r="W53" s="50">
        <v>0</v>
      </c>
      <c r="X53" s="50">
        <v>0.535667</v>
      </c>
      <c r="Y53" s="50">
        <v>0</v>
      </c>
      <c r="Z53" s="50">
        <v>0</v>
      </c>
      <c r="AA53" s="72">
        <v>53</v>
      </c>
      <c r="AB53" s="72"/>
      <c r="AC53" s="73"/>
      <c r="AD53" s="80" t="s">
        <v>1619</v>
      </c>
      <c r="AE53" s="80"/>
      <c r="AF53" s="80"/>
      <c r="AG53" s="80"/>
      <c r="AH53" s="80"/>
      <c r="AI53" s="80"/>
      <c r="AJ53" s="87">
        <v>42810.208078703705</v>
      </c>
      <c r="AK53" s="85" t="str">
        <f>HYPERLINK("https://yt3.ggpht.com/ytc/AAUvwnj4OuU2crPdiMiO8ylIk_fxuEvZGdwU32AEJw=s88-c-k-c0x00ffffff-no-rj")</f>
        <v>https://yt3.ggpht.com/ytc/AAUvwnj4OuU2crPdiMiO8ylIk_fxuEvZGdwU32AEJw=s88-c-k-c0x00ffffff-no-rj</v>
      </c>
      <c r="AL53" s="80">
        <v>0</v>
      </c>
      <c r="AM53" s="80">
        <v>0</v>
      </c>
      <c r="AN53" s="80">
        <v>0</v>
      </c>
      <c r="AO53" s="80" t="b">
        <v>0</v>
      </c>
      <c r="AP53" s="80">
        <v>0</v>
      </c>
      <c r="AQ53" s="80"/>
      <c r="AR53" s="80"/>
      <c r="AS53" s="80" t="s">
        <v>2664</v>
      </c>
      <c r="AT53" s="85" t="str">
        <f>HYPERLINK("https://www.youtube.com/channel/UCj5snfisk52ZiIiADGqPKWg")</f>
        <v>https://www.youtube.com/channel/UCj5snfisk52ZiIiADGqPKWg</v>
      </c>
      <c r="AU53" s="80" t="str">
        <f>REPLACE(INDEX(GroupVertices[Group],MATCH(Vertices[[#This Row],[Vertex]],GroupVertices[Vertex],0)),1,1,"")</f>
        <v>6</v>
      </c>
      <c r="AV53" s="49">
        <v>0</v>
      </c>
      <c r="AW53" s="50">
        <v>0</v>
      </c>
      <c r="AX53" s="49">
        <v>0</v>
      </c>
      <c r="AY53" s="50">
        <v>0</v>
      </c>
      <c r="AZ53" s="49">
        <v>0</v>
      </c>
      <c r="BA53" s="50">
        <v>0</v>
      </c>
      <c r="BB53" s="49">
        <v>17</v>
      </c>
      <c r="BC53" s="50">
        <v>100</v>
      </c>
      <c r="BD53" s="49">
        <v>17</v>
      </c>
      <c r="BE53" s="49"/>
      <c r="BF53" s="49"/>
      <c r="BG53" s="49"/>
      <c r="BH53" s="49"/>
      <c r="BI53" s="49"/>
      <c r="BJ53" s="49"/>
      <c r="BK53" s="111" t="s">
        <v>3703</v>
      </c>
      <c r="BL53" s="111" t="s">
        <v>3703</v>
      </c>
      <c r="BM53" s="111" t="s">
        <v>4178</v>
      </c>
      <c r="BN53" s="111" t="s">
        <v>4178</v>
      </c>
      <c r="BO53" s="2"/>
      <c r="BP53" s="3"/>
      <c r="BQ53" s="3"/>
      <c r="BR53" s="3"/>
      <c r="BS53" s="3"/>
    </row>
    <row r="54" spans="1:71" ht="15">
      <c r="A54" s="65" t="s">
        <v>261</v>
      </c>
      <c r="B54" s="66"/>
      <c r="C54" s="66"/>
      <c r="D54" s="67">
        <v>150</v>
      </c>
      <c r="E54" s="69"/>
      <c r="F54" s="103" t="str">
        <f>HYPERLINK("https://yt3.ggpht.com/ytc/AAUvwni0RjmcZ58HkFABthu9XtDCq_qpJgh-m5xTGMq7WA=s88-c-k-c0x00ffffff-no-rj")</f>
        <v>https://yt3.ggpht.com/ytc/AAUvwni0RjmcZ58HkFABthu9XtDCq_qpJgh-m5xTGMq7WA=s88-c-k-c0x00ffffff-no-rj</v>
      </c>
      <c r="G54" s="66"/>
      <c r="H54" s="70" t="s">
        <v>1620</v>
      </c>
      <c r="I54" s="71"/>
      <c r="J54" s="71" t="s">
        <v>159</v>
      </c>
      <c r="K54" s="70" t="s">
        <v>1620</v>
      </c>
      <c r="L54" s="74">
        <v>1</v>
      </c>
      <c r="M54" s="75">
        <v>4274.10693359375</v>
      </c>
      <c r="N54" s="75">
        <v>1760.8275146484375</v>
      </c>
      <c r="O54" s="76"/>
      <c r="P54" s="77"/>
      <c r="Q54" s="77"/>
      <c r="R54" s="89"/>
      <c r="S54" s="49">
        <v>0</v>
      </c>
      <c r="T54" s="49">
        <v>1</v>
      </c>
      <c r="U54" s="50">
        <v>0</v>
      </c>
      <c r="V54" s="50">
        <v>0.015152</v>
      </c>
      <c r="W54" s="50">
        <v>0</v>
      </c>
      <c r="X54" s="50">
        <v>0.535667</v>
      </c>
      <c r="Y54" s="50">
        <v>0</v>
      </c>
      <c r="Z54" s="50">
        <v>0</v>
      </c>
      <c r="AA54" s="72">
        <v>54</v>
      </c>
      <c r="AB54" s="72"/>
      <c r="AC54" s="73"/>
      <c r="AD54" s="80" t="s">
        <v>1620</v>
      </c>
      <c r="AE54" s="80" t="s">
        <v>2433</v>
      </c>
      <c r="AF54" s="80"/>
      <c r="AG54" s="80"/>
      <c r="AH54" s="80"/>
      <c r="AI54" s="80"/>
      <c r="AJ54" s="87">
        <v>42863.32309027778</v>
      </c>
      <c r="AK54" s="85" t="str">
        <f>HYPERLINK("https://yt3.ggpht.com/ytc/AAUvwni0RjmcZ58HkFABthu9XtDCq_qpJgh-m5xTGMq7WA=s88-c-k-c0x00ffffff-no-rj")</f>
        <v>https://yt3.ggpht.com/ytc/AAUvwni0RjmcZ58HkFABthu9XtDCq_qpJgh-m5xTGMq7WA=s88-c-k-c0x00ffffff-no-rj</v>
      </c>
      <c r="AL54" s="80">
        <v>2229</v>
      </c>
      <c r="AM54" s="80">
        <v>0</v>
      </c>
      <c r="AN54" s="80">
        <v>0</v>
      </c>
      <c r="AO54" s="80" t="b">
        <v>1</v>
      </c>
      <c r="AP54" s="80">
        <v>140</v>
      </c>
      <c r="AQ54" s="80"/>
      <c r="AR54" s="80"/>
      <c r="AS54" s="80" t="s">
        <v>2664</v>
      </c>
      <c r="AT54" s="85" t="str">
        <f>HYPERLINK("https://www.youtube.com/channel/UCoFfJgEEMYLWWUkitmc4qWw")</f>
        <v>https://www.youtube.com/channel/UCoFfJgEEMYLWWUkitmc4qWw</v>
      </c>
      <c r="AU54" s="80" t="str">
        <f>REPLACE(INDEX(GroupVertices[Group],MATCH(Vertices[[#This Row],[Vertex]],GroupVertices[Vertex],0)),1,1,"")</f>
        <v>6</v>
      </c>
      <c r="AV54" s="49">
        <v>1</v>
      </c>
      <c r="AW54" s="50">
        <v>50</v>
      </c>
      <c r="AX54" s="49">
        <v>0</v>
      </c>
      <c r="AY54" s="50">
        <v>0</v>
      </c>
      <c r="AZ54" s="49">
        <v>0</v>
      </c>
      <c r="BA54" s="50">
        <v>0</v>
      </c>
      <c r="BB54" s="49">
        <v>1</v>
      </c>
      <c r="BC54" s="50">
        <v>50</v>
      </c>
      <c r="BD54" s="49">
        <v>2</v>
      </c>
      <c r="BE54" s="49"/>
      <c r="BF54" s="49"/>
      <c r="BG54" s="49"/>
      <c r="BH54" s="49"/>
      <c r="BI54" s="49"/>
      <c r="BJ54" s="49"/>
      <c r="BK54" s="111" t="s">
        <v>899</v>
      </c>
      <c r="BL54" s="111" t="s">
        <v>899</v>
      </c>
      <c r="BM54" s="111" t="s">
        <v>4179</v>
      </c>
      <c r="BN54" s="111" t="s">
        <v>4179</v>
      </c>
      <c r="BO54" s="2"/>
      <c r="BP54" s="3"/>
      <c r="BQ54" s="3"/>
      <c r="BR54" s="3"/>
      <c r="BS54" s="3"/>
    </row>
    <row r="55" spans="1:71" ht="15">
      <c r="A55" s="65" t="s">
        <v>262</v>
      </c>
      <c r="B55" s="66"/>
      <c r="C55" s="66"/>
      <c r="D55" s="67">
        <v>150</v>
      </c>
      <c r="E55" s="69"/>
      <c r="F55" s="103" t="str">
        <f>HYPERLINK("https://yt3.ggpht.com/ytc/AAUvwnjZA5opg7eLOzX4noQus0P7gX3BxVKrVGtG=s88-c-k-c0x00ffffff-no-rj")</f>
        <v>https://yt3.ggpht.com/ytc/AAUvwnjZA5opg7eLOzX4noQus0P7gX3BxVKrVGtG=s88-c-k-c0x00ffffff-no-rj</v>
      </c>
      <c r="G55" s="66"/>
      <c r="H55" s="70" t="s">
        <v>1621</v>
      </c>
      <c r="I55" s="71"/>
      <c r="J55" s="71" t="s">
        <v>159</v>
      </c>
      <c r="K55" s="70" t="s">
        <v>1621</v>
      </c>
      <c r="L55" s="74">
        <v>1</v>
      </c>
      <c r="M55" s="75">
        <v>5023.54638671875</v>
      </c>
      <c r="N55" s="75">
        <v>1691.6318359375</v>
      </c>
      <c r="O55" s="76"/>
      <c r="P55" s="77"/>
      <c r="Q55" s="77"/>
      <c r="R55" s="89"/>
      <c r="S55" s="49">
        <v>0</v>
      </c>
      <c r="T55" s="49">
        <v>1</v>
      </c>
      <c r="U55" s="50">
        <v>0</v>
      </c>
      <c r="V55" s="50">
        <v>0.015152</v>
      </c>
      <c r="W55" s="50">
        <v>0</v>
      </c>
      <c r="X55" s="50">
        <v>0.535667</v>
      </c>
      <c r="Y55" s="50">
        <v>0</v>
      </c>
      <c r="Z55" s="50">
        <v>0</v>
      </c>
      <c r="AA55" s="72">
        <v>55</v>
      </c>
      <c r="AB55" s="72"/>
      <c r="AC55" s="73"/>
      <c r="AD55" s="80" t="s">
        <v>1621</v>
      </c>
      <c r="AE55" s="80"/>
      <c r="AF55" s="80"/>
      <c r="AG55" s="80"/>
      <c r="AH55" s="80"/>
      <c r="AI55" s="80"/>
      <c r="AJ55" s="87">
        <v>43682.503912037035</v>
      </c>
      <c r="AK55" s="85" t="str">
        <f>HYPERLINK("https://yt3.ggpht.com/ytc/AAUvwnjZA5opg7eLOzX4noQus0P7gX3BxVKrVGtG=s88-c-k-c0x00ffffff-no-rj")</f>
        <v>https://yt3.ggpht.com/ytc/AAUvwnjZA5opg7eLOzX4noQus0P7gX3BxVKrVGtG=s88-c-k-c0x00ffffff-no-rj</v>
      </c>
      <c r="AL55" s="80">
        <v>0</v>
      </c>
      <c r="AM55" s="80">
        <v>0</v>
      </c>
      <c r="AN55" s="80">
        <v>0</v>
      </c>
      <c r="AO55" s="80" t="b">
        <v>0</v>
      </c>
      <c r="AP55" s="80">
        <v>0</v>
      </c>
      <c r="AQ55" s="80"/>
      <c r="AR55" s="80"/>
      <c r="AS55" s="80" t="s">
        <v>2664</v>
      </c>
      <c r="AT55" s="85" t="str">
        <f>HYPERLINK("https://www.youtube.com/channel/UCLhVgpWa8lCp2nS3QWg7hUg")</f>
        <v>https://www.youtube.com/channel/UCLhVgpWa8lCp2nS3QWg7hUg</v>
      </c>
      <c r="AU55" s="80" t="str">
        <f>REPLACE(INDEX(GroupVertices[Group],MATCH(Vertices[[#This Row],[Vertex]],GroupVertices[Vertex],0)),1,1,"")</f>
        <v>6</v>
      </c>
      <c r="AV55" s="49">
        <v>1</v>
      </c>
      <c r="AW55" s="50">
        <v>33.333333333333336</v>
      </c>
      <c r="AX55" s="49">
        <v>0</v>
      </c>
      <c r="AY55" s="50">
        <v>0</v>
      </c>
      <c r="AZ55" s="49">
        <v>0</v>
      </c>
      <c r="BA55" s="50">
        <v>0</v>
      </c>
      <c r="BB55" s="49">
        <v>2</v>
      </c>
      <c r="BC55" s="50">
        <v>66.66666666666667</v>
      </c>
      <c r="BD55" s="49">
        <v>3</v>
      </c>
      <c r="BE55" s="49"/>
      <c r="BF55" s="49"/>
      <c r="BG55" s="49"/>
      <c r="BH55" s="49"/>
      <c r="BI55" s="49"/>
      <c r="BJ55" s="49"/>
      <c r="BK55" s="111" t="s">
        <v>3704</v>
      </c>
      <c r="BL55" s="111" t="s">
        <v>3704</v>
      </c>
      <c r="BM55" s="111" t="s">
        <v>4180</v>
      </c>
      <c r="BN55" s="111" t="s">
        <v>4180</v>
      </c>
      <c r="BO55" s="2"/>
      <c r="BP55" s="3"/>
      <c r="BQ55" s="3"/>
      <c r="BR55" s="3"/>
      <c r="BS55" s="3"/>
    </row>
    <row r="56" spans="1:71" ht="15">
      <c r="A56" s="65" t="s">
        <v>263</v>
      </c>
      <c r="B56" s="66"/>
      <c r="C56" s="66"/>
      <c r="D56" s="67">
        <v>150</v>
      </c>
      <c r="E56" s="69"/>
      <c r="F56" s="103" t="str">
        <f>HYPERLINK("https://yt3.ggpht.com/ytc/AAUvwnhc8s4u3lDTUFyD3SdYdd2FVTVP_xeYhuOkfIPsDA=s88-c-k-c0x00ffffff-no-rj")</f>
        <v>https://yt3.ggpht.com/ytc/AAUvwnhc8s4u3lDTUFyD3SdYdd2FVTVP_xeYhuOkfIPsDA=s88-c-k-c0x00ffffff-no-rj</v>
      </c>
      <c r="G56" s="66"/>
      <c r="H56" s="70" t="s">
        <v>1622</v>
      </c>
      <c r="I56" s="71"/>
      <c r="J56" s="71" t="s">
        <v>159</v>
      </c>
      <c r="K56" s="70" t="s">
        <v>1622</v>
      </c>
      <c r="L56" s="74">
        <v>1</v>
      </c>
      <c r="M56" s="75">
        <v>3481.60498046875</v>
      </c>
      <c r="N56" s="75">
        <v>1196.4287109375</v>
      </c>
      <c r="O56" s="76"/>
      <c r="P56" s="77"/>
      <c r="Q56" s="77"/>
      <c r="R56" s="89"/>
      <c r="S56" s="49">
        <v>0</v>
      </c>
      <c r="T56" s="49">
        <v>1</v>
      </c>
      <c r="U56" s="50">
        <v>0</v>
      </c>
      <c r="V56" s="50">
        <v>0.015152</v>
      </c>
      <c r="W56" s="50">
        <v>0</v>
      </c>
      <c r="X56" s="50">
        <v>0.535667</v>
      </c>
      <c r="Y56" s="50">
        <v>0</v>
      </c>
      <c r="Z56" s="50">
        <v>0</v>
      </c>
      <c r="AA56" s="72">
        <v>56</v>
      </c>
      <c r="AB56" s="72"/>
      <c r="AC56" s="73"/>
      <c r="AD56" s="80" t="s">
        <v>1622</v>
      </c>
      <c r="AE56" s="80" t="s">
        <v>2434</v>
      </c>
      <c r="AF56" s="80"/>
      <c r="AG56" s="80"/>
      <c r="AH56" s="80"/>
      <c r="AI56" s="80"/>
      <c r="AJ56" s="87">
        <v>42796.44232638889</v>
      </c>
      <c r="AK56" s="85" t="str">
        <f>HYPERLINK("https://yt3.ggpht.com/ytc/AAUvwnhc8s4u3lDTUFyD3SdYdd2FVTVP_xeYhuOkfIPsDA=s88-c-k-c0x00ffffff-no-rj")</f>
        <v>https://yt3.ggpht.com/ytc/AAUvwnhc8s4u3lDTUFyD3SdYdd2FVTVP_xeYhuOkfIPsDA=s88-c-k-c0x00ffffff-no-rj</v>
      </c>
      <c r="AL56" s="80">
        <v>9</v>
      </c>
      <c r="AM56" s="80">
        <v>0</v>
      </c>
      <c r="AN56" s="80">
        <v>0</v>
      </c>
      <c r="AO56" s="80" t="b">
        <v>0</v>
      </c>
      <c r="AP56" s="80">
        <v>1</v>
      </c>
      <c r="AQ56" s="80"/>
      <c r="AR56" s="80"/>
      <c r="AS56" s="80" t="s">
        <v>2664</v>
      </c>
      <c r="AT56" s="85" t="str">
        <f>HYPERLINK("https://www.youtube.com/channel/UCLDIAVidJKT_P0hmLl_FTjQ")</f>
        <v>https://www.youtube.com/channel/UCLDIAVidJKT_P0hmLl_FTjQ</v>
      </c>
      <c r="AU56" s="80" t="str">
        <f>REPLACE(INDEX(GroupVertices[Group],MATCH(Vertices[[#This Row],[Vertex]],GroupVertices[Vertex],0)),1,1,"")</f>
        <v>6</v>
      </c>
      <c r="AV56" s="49">
        <v>0</v>
      </c>
      <c r="AW56" s="50">
        <v>0</v>
      </c>
      <c r="AX56" s="49">
        <v>0</v>
      </c>
      <c r="AY56" s="50">
        <v>0</v>
      </c>
      <c r="AZ56" s="49">
        <v>0</v>
      </c>
      <c r="BA56" s="50">
        <v>0</v>
      </c>
      <c r="BB56" s="49">
        <v>2</v>
      </c>
      <c r="BC56" s="50">
        <v>100</v>
      </c>
      <c r="BD56" s="49">
        <v>2</v>
      </c>
      <c r="BE56" s="49"/>
      <c r="BF56" s="49"/>
      <c r="BG56" s="49"/>
      <c r="BH56" s="49"/>
      <c r="BI56" s="49"/>
      <c r="BJ56" s="49"/>
      <c r="BK56" s="111" t="s">
        <v>2716</v>
      </c>
      <c r="BL56" s="111" t="s">
        <v>2716</v>
      </c>
      <c r="BM56" s="111" t="s">
        <v>2390</v>
      </c>
      <c r="BN56" s="111" t="s">
        <v>2390</v>
      </c>
      <c r="BO56" s="2"/>
      <c r="BP56" s="3"/>
      <c r="BQ56" s="3"/>
      <c r="BR56" s="3"/>
      <c r="BS56" s="3"/>
    </row>
    <row r="57" spans="1:71" ht="15">
      <c r="A57" s="65" t="s">
        <v>264</v>
      </c>
      <c r="B57" s="66"/>
      <c r="C57" s="66"/>
      <c r="D57" s="67">
        <v>150</v>
      </c>
      <c r="E57" s="69"/>
      <c r="F57" s="103" t="str">
        <f>HYPERLINK("https://yt3.ggpht.com/ytc/AAUvwniYfu486RTVomw8sONVTLP5vulyPRimcckK8w=s88-c-k-c0x00ffffff-no-rj")</f>
        <v>https://yt3.ggpht.com/ytc/AAUvwniYfu486RTVomw8sONVTLP5vulyPRimcckK8w=s88-c-k-c0x00ffffff-no-rj</v>
      </c>
      <c r="G57" s="66"/>
      <c r="H57" s="70" t="s">
        <v>1623</v>
      </c>
      <c r="I57" s="71"/>
      <c r="J57" s="71" t="s">
        <v>159</v>
      </c>
      <c r="K57" s="70" t="s">
        <v>1623</v>
      </c>
      <c r="L57" s="74">
        <v>1</v>
      </c>
      <c r="M57" s="75">
        <v>4137.72216796875</v>
      </c>
      <c r="N57" s="75">
        <v>787.3973999023438</v>
      </c>
      <c r="O57" s="76"/>
      <c r="P57" s="77"/>
      <c r="Q57" s="77"/>
      <c r="R57" s="89"/>
      <c r="S57" s="49">
        <v>0</v>
      </c>
      <c r="T57" s="49">
        <v>1</v>
      </c>
      <c r="U57" s="50">
        <v>0</v>
      </c>
      <c r="V57" s="50">
        <v>0.015152</v>
      </c>
      <c r="W57" s="50">
        <v>0</v>
      </c>
      <c r="X57" s="50">
        <v>0.535667</v>
      </c>
      <c r="Y57" s="50">
        <v>0</v>
      </c>
      <c r="Z57" s="50">
        <v>0</v>
      </c>
      <c r="AA57" s="72">
        <v>57</v>
      </c>
      <c r="AB57" s="72"/>
      <c r="AC57" s="73"/>
      <c r="AD57" s="80" t="s">
        <v>1623</v>
      </c>
      <c r="AE57" s="80"/>
      <c r="AF57" s="80"/>
      <c r="AG57" s="80"/>
      <c r="AH57" s="80"/>
      <c r="AI57" s="80"/>
      <c r="AJ57" s="87">
        <v>43044.34380787037</v>
      </c>
      <c r="AK57" s="85" t="str">
        <f>HYPERLINK("https://yt3.ggpht.com/ytc/AAUvwniYfu486RTVomw8sONVTLP5vulyPRimcckK8w=s88-c-k-c0x00ffffff-no-rj")</f>
        <v>https://yt3.ggpht.com/ytc/AAUvwniYfu486RTVomw8sONVTLP5vulyPRimcckK8w=s88-c-k-c0x00ffffff-no-rj</v>
      </c>
      <c r="AL57" s="80">
        <v>0</v>
      </c>
      <c r="AM57" s="80">
        <v>0</v>
      </c>
      <c r="AN57" s="80">
        <v>0</v>
      </c>
      <c r="AO57" s="80" t="b">
        <v>0</v>
      </c>
      <c r="AP57" s="80">
        <v>0</v>
      </c>
      <c r="AQ57" s="80"/>
      <c r="AR57" s="80"/>
      <c r="AS57" s="80" t="s">
        <v>2664</v>
      </c>
      <c r="AT57" s="85" t="str">
        <f>HYPERLINK("https://www.youtube.com/channel/UCDmdHkPKAJXcbU5LHMfGt-w")</f>
        <v>https://www.youtube.com/channel/UCDmdHkPKAJXcbU5LHMfGt-w</v>
      </c>
      <c r="AU57" s="80" t="str">
        <f>REPLACE(INDEX(GroupVertices[Group],MATCH(Vertices[[#This Row],[Vertex]],GroupVertices[Vertex],0)),1,1,"")</f>
        <v>6</v>
      </c>
      <c r="AV57" s="49">
        <v>0</v>
      </c>
      <c r="AW57" s="50">
        <v>0</v>
      </c>
      <c r="AX57" s="49">
        <v>0</v>
      </c>
      <c r="AY57" s="50">
        <v>0</v>
      </c>
      <c r="AZ57" s="49">
        <v>0</v>
      </c>
      <c r="BA57" s="50">
        <v>0</v>
      </c>
      <c r="BB57" s="49">
        <v>2</v>
      </c>
      <c r="BC57" s="50">
        <v>100</v>
      </c>
      <c r="BD57" s="49">
        <v>2</v>
      </c>
      <c r="BE57" s="49"/>
      <c r="BF57" s="49"/>
      <c r="BG57" s="49"/>
      <c r="BH57" s="49"/>
      <c r="BI57" s="49"/>
      <c r="BJ57" s="49"/>
      <c r="BK57" s="111" t="s">
        <v>3705</v>
      </c>
      <c r="BL57" s="111" t="s">
        <v>3705</v>
      </c>
      <c r="BM57" s="111" t="s">
        <v>4181</v>
      </c>
      <c r="BN57" s="111" t="s">
        <v>4181</v>
      </c>
      <c r="BO57" s="2"/>
      <c r="BP57" s="3"/>
      <c r="BQ57" s="3"/>
      <c r="BR57" s="3"/>
      <c r="BS57" s="3"/>
    </row>
    <row r="58" spans="1:71" ht="15">
      <c r="A58" s="65" t="s">
        <v>265</v>
      </c>
      <c r="B58" s="66"/>
      <c r="C58" s="66"/>
      <c r="D58" s="67">
        <v>150</v>
      </c>
      <c r="E58" s="69"/>
      <c r="F58" s="103" t="str">
        <f>HYPERLINK("https://yt3.ggpht.com/ytc/AAUvwnhpRC8HulBTA43S0p7scfBm6yOSnkKrf7UBidUXHw=s88-c-k-c0x00ffffff-no-rj")</f>
        <v>https://yt3.ggpht.com/ytc/AAUvwnhpRC8HulBTA43S0p7scfBm6yOSnkKrf7UBidUXHw=s88-c-k-c0x00ffffff-no-rj</v>
      </c>
      <c r="G58" s="66"/>
      <c r="H58" s="70" t="s">
        <v>1624</v>
      </c>
      <c r="I58" s="71"/>
      <c r="J58" s="71" t="s">
        <v>159</v>
      </c>
      <c r="K58" s="70" t="s">
        <v>1624</v>
      </c>
      <c r="L58" s="74">
        <v>1</v>
      </c>
      <c r="M58" s="75">
        <v>4810.3037109375</v>
      </c>
      <c r="N58" s="75">
        <v>1866.8133544921875</v>
      </c>
      <c r="O58" s="76"/>
      <c r="P58" s="77"/>
      <c r="Q58" s="77"/>
      <c r="R58" s="89"/>
      <c r="S58" s="49">
        <v>0</v>
      </c>
      <c r="T58" s="49">
        <v>1</v>
      </c>
      <c r="U58" s="50">
        <v>0</v>
      </c>
      <c r="V58" s="50">
        <v>0.015152</v>
      </c>
      <c r="W58" s="50">
        <v>0</v>
      </c>
      <c r="X58" s="50">
        <v>0.535667</v>
      </c>
      <c r="Y58" s="50">
        <v>0</v>
      </c>
      <c r="Z58" s="50">
        <v>0</v>
      </c>
      <c r="AA58" s="72">
        <v>58</v>
      </c>
      <c r="AB58" s="72"/>
      <c r="AC58" s="73"/>
      <c r="AD58" s="80" t="s">
        <v>1624</v>
      </c>
      <c r="AE58" s="80" t="s">
        <v>2435</v>
      </c>
      <c r="AF58" s="80"/>
      <c r="AG58" s="80"/>
      <c r="AH58" s="80"/>
      <c r="AI58" s="80"/>
      <c r="AJ58" s="87">
        <v>42229.56570601852</v>
      </c>
      <c r="AK58" s="85" t="str">
        <f>HYPERLINK("https://yt3.ggpht.com/ytc/AAUvwnhpRC8HulBTA43S0p7scfBm6yOSnkKrf7UBidUXHw=s88-c-k-c0x00ffffff-no-rj")</f>
        <v>https://yt3.ggpht.com/ytc/AAUvwnhpRC8HulBTA43S0p7scfBm6yOSnkKrf7UBidUXHw=s88-c-k-c0x00ffffff-no-rj</v>
      </c>
      <c r="AL58" s="80">
        <v>0</v>
      </c>
      <c r="AM58" s="80">
        <v>0</v>
      </c>
      <c r="AN58" s="80">
        <v>0</v>
      </c>
      <c r="AO58" s="80" t="b">
        <v>0</v>
      </c>
      <c r="AP58" s="80">
        <v>0</v>
      </c>
      <c r="AQ58" s="80"/>
      <c r="AR58" s="80"/>
      <c r="AS58" s="80" t="s">
        <v>2664</v>
      </c>
      <c r="AT58" s="85" t="str">
        <f>HYPERLINK("https://www.youtube.com/channel/UC6ttFk4vCfkPUbeU2eEjiXg")</f>
        <v>https://www.youtube.com/channel/UC6ttFk4vCfkPUbeU2eEjiXg</v>
      </c>
      <c r="AU58" s="80" t="str">
        <f>REPLACE(INDEX(GroupVertices[Group],MATCH(Vertices[[#This Row],[Vertex]],GroupVertices[Vertex],0)),1,1,"")</f>
        <v>6</v>
      </c>
      <c r="AV58" s="49">
        <v>0</v>
      </c>
      <c r="AW58" s="50">
        <v>0</v>
      </c>
      <c r="AX58" s="49">
        <v>0</v>
      </c>
      <c r="AY58" s="50">
        <v>0</v>
      </c>
      <c r="AZ58" s="49">
        <v>0</v>
      </c>
      <c r="BA58" s="50">
        <v>0</v>
      </c>
      <c r="BB58" s="49">
        <v>9</v>
      </c>
      <c r="BC58" s="50">
        <v>100</v>
      </c>
      <c r="BD58" s="49">
        <v>9</v>
      </c>
      <c r="BE58" s="49"/>
      <c r="BF58" s="49"/>
      <c r="BG58" s="49"/>
      <c r="BH58" s="49"/>
      <c r="BI58" s="49"/>
      <c r="BJ58" s="49"/>
      <c r="BK58" s="111" t="s">
        <v>3706</v>
      </c>
      <c r="BL58" s="111" t="s">
        <v>3706</v>
      </c>
      <c r="BM58" s="111" t="s">
        <v>4182</v>
      </c>
      <c r="BN58" s="111" t="s">
        <v>4182</v>
      </c>
      <c r="BO58" s="2"/>
      <c r="BP58" s="3"/>
      <c r="BQ58" s="3"/>
      <c r="BR58" s="3"/>
      <c r="BS58" s="3"/>
    </row>
    <row r="59" spans="1:71" ht="15">
      <c r="A59" s="65" t="s">
        <v>266</v>
      </c>
      <c r="B59" s="66"/>
      <c r="C59" s="66"/>
      <c r="D59" s="67">
        <v>150</v>
      </c>
      <c r="E59" s="69"/>
      <c r="F59" s="103" t="str">
        <f>HYPERLINK("https://yt3.ggpht.com/ytc/AAUvwnh1E94WP3OzqpfoDXlsEfWFC0lNHhVJH-7HKA=s88-c-k-c0x00ffffff-no-rj")</f>
        <v>https://yt3.ggpht.com/ytc/AAUvwnh1E94WP3OzqpfoDXlsEfWFC0lNHhVJH-7HKA=s88-c-k-c0x00ffffff-no-rj</v>
      </c>
      <c r="G59" s="66"/>
      <c r="H59" s="70" t="s">
        <v>1625</v>
      </c>
      <c r="I59" s="71"/>
      <c r="J59" s="71" t="s">
        <v>159</v>
      </c>
      <c r="K59" s="70" t="s">
        <v>1625</v>
      </c>
      <c r="L59" s="74">
        <v>1</v>
      </c>
      <c r="M59" s="75">
        <v>3689.059326171875</v>
      </c>
      <c r="N59" s="75">
        <v>1665.05078125</v>
      </c>
      <c r="O59" s="76"/>
      <c r="P59" s="77"/>
      <c r="Q59" s="77"/>
      <c r="R59" s="89"/>
      <c r="S59" s="49">
        <v>0</v>
      </c>
      <c r="T59" s="49">
        <v>1</v>
      </c>
      <c r="U59" s="50">
        <v>0</v>
      </c>
      <c r="V59" s="50">
        <v>0.015152</v>
      </c>
      <c r="W59" s="50">
        <v>0</v>
      </c>
      <c r="X59" s="50">
        <v>0.535667</v>
      </c>
      <c r="Y59" s="50">
        <v>0</v>
      </c>
      <c r="Z59" s="50">
        <v>0</v>
      </c>
      <c r="AA59" s="72">
        <v>59</v>
      </c>
      <c r="AB59" s="72"/>
      <c r="AC59" s="73"/>
      <c r="AD59" s="80" t="s">
        <v>1625</v>
      </c>
      <c r="AE59" s="80"/>
      <c r="AF59" s="80"/>
      <c r="AG59" s="80"/>
      <c r="AH59" s="80"/>
      <c r="AI59" s="80"/>
      <c r="AJ59" s="87">
        <v>42210.71171296296</v>
      </c>
      <c r="AK59" s="85" t="str">
        <f>HYPERLINK("https://yt3.ggpht.com/ytc/AAUvwnh1E94WP3OzqpfoDXlsEfWFC0lNHhVJH-7HKA=s88-c-k-c0x00ffffff-no-rj")</f>
        <v>https://yt3.ggpht.com/ytc/AAUvwnh1E94WP3OzqpfoDXlsEfWFC0lNHhVJH-7HKA=s88-c-k-c0x00ffffff-no-rj</v>
      </c>
      <c r="AL59" s="80">
        <v>170</v>
      </c>
      <c r="AM59" s="80">
        <v>0</v>
      </c>
      <c r="AN59" s="80">
        <v>9</v>
      </c>
      <c r="AO59" s="80" t="b">
        <v>0</v>
      </c>
      <c r="AP59" s="80">
        <v>1</v>
      </c>
      <c r="AQ59" s="80"/>
      <c r="AR59" s="80"/>
      <c r="AS59" s="80" t="s">
        <v>2664</v>
      </c>
      <c r="AT59" s="85" t="str">
        <f>HYPERLINK("https://www.youtube.com/channel/UC9oS5EybP3wJiFN56fnrJcw")</f>
        <v>https://www.youtube.com/channel/UC9oS5EybP3wJiFN56fnrJcw</v>
      </c>
      <c r="AU59" s="80" t="str">
        <f>REPLACE(INDEX(GroupVertices[Group],MATCH(Vertices[[#This Row],[Vertex]],GroupVertices[Vertex],0)),1,1,"")</f>
        <v>6</v>
      </c>
      <c r="AV59" s="49">
        <v>2</v>
      </c>
      <c r="AW59" s="50">
        <v>28.571428571428573</v>
      </c>
      <c r="AX59" s="49">
        <v>0</v>
      </c>
      <c r="AY59" s="50">
        <v>0</v>
      </c>
      <c r="AZ59" s="49">
        <v>0</v>
      </c>
      <c r="BA59" s="50">
        <v>0</v>
      </c>
      <c r="BB59" s="49">
        <v>5</v>
      </c>
      <c r="BC59" s="50">
        <v>71.42857142857143</v>
      </c>
      <c r="BD59" s="49">
        <v>7</v>
      </c>
      <c r="BE59" s="49"/>
      <c r="BF59" s="49"/>
      <c r="BG59" s="49"/>
      <c r="BH59" s="49"/>
      <c r="BI59" s="49"/>
      <c r="BJ59" s="49"/>
      <c r="BK59" s="111" t="s">
        <v>3707</v>
      </c>
      <c r="BL59" s="111" t="s">
        <v>3707</v>
      </c>
      <c r="BM59" s="111" t="s">
        <v>4183</v>
      </c>
      <c r="BN59" s="111" t="s">
        <v>4183</v>
      </c>
      <c r="BO59" s="2"/>
      <c r="BP59" s="3"/>
      <c r="BQ59" s="3"/>
      <c r="BR59" s="3"/>
      <c r="BS59" s="3"/>
    </row>
    <row r="60" spans="1:71" ht="15">
      <c r="A60" s="65" t="s">
        <v>267</v>
      </c>
      <c r="B60" s="66"/>
      <c r="C60" s="66"/>
      <c r="D60" s="67">
        <v>150</v>
      </c>
      <c r="E60" s="69"/>
      <c r="F60" s="103" t="str">
        <f>HYPERLINK("https://yt3.ggpht.com/ytc/AAUvwniMns6PHZxEYrGamnGqRjvnPhKQty1EfekbuQ=s88-c-k-c0x00ffffff-no-rj")</f>
        <v>https://yt3.ggpht.com/ytc/AAUvwniMns6PHZxEYrGamnGqRjvnPhKQty1EfekbuQ=s88-c-k-c0x00ffffff-no-rj</v>
      </c>
      <c r="G60" s="66"/>
      <c r="H60" s="70" t="s">
        <v>1626</v>
      </c>
      <c r="I60" s="71"/>
      <c r="J60" s="71" t="s">
        <v>159</v>
      </c>
      <c r="K60" s="70" t="s">
        <v>1626</v>
      </c>
      <c r="L60" s="74">
        <v>1</v>
      </c>
      <c r="M60" s="75">
        <v>3966.169677734375</v>
      </c>
      <c r="N60" s="75">
        <v>1463.953857421875</v>
      </c>
      <c r="O60" s="76"/>
      <c r="P60" s="77"/>
      <c r="Q60" s="77"/>
      <c r="R60" s="89"/>
      <c r="S60" s="49">
        <v>0</v>
      </c>
      <c r="T60" s="49">
        <v>1</v>
      </c>
      <c r="U60" s="50">
        <v>0</v>
      </c>
      <c r="V60" s="50">
        <v>0.015152</v>
      </c>
      <c r="W60" s="50">
        <v>0</v>
      </c>
      <c r="X60" s="50">
        <v>0.535667</v>
      </c>
      <c r="Y60" s="50">
        <v>0</v>
      </c>
      <c r="Z60" s="50">
        <v>0</v>
      </c>
      <c r="AA60" s="72">
        <v>60</v>
      </c>
      <c r="AB60" s="72"/>
      <c r="AC60" s="73"/>
      <c r="AD60" s="80" t="s">
        <v>1626</v>
      </c>
      <c r="AE60" s="80"/>
      <c r="AF60" s="80"/>
      <c r="AG60" s="80"/>
      <c r="AH60" s="80"/>
      <c r="AI60" s="80"/>
      <c r="AJ60" s="87">
        <v>43456.10864583333</v>
      </c>
      <c r="AK60" s="85" t="str">
        <f>HYPERLINK("https://yt3.ggpht.com/ytc/AAUvwniMns6PHZxEYrGamnGqRjvnPhKQty1EfekbuQ=s88-c-k-c0x00ffffff-no-rj")</f>
        <v>https://yt3.ggpht.com/ytc/AAUvwniMns6PHZxEYrGamnGqRjvnPhKQty1EfekbuQ=s88-c-k-c0x00ffffff-no-rj</v>
      </c>
      <c r="AL60" s="80">
        <v>0</v>
      </c>
      <c r="AM60" s="80">
        <v>0</v>
      </c>
      <c r="AN60" s="80">
        <v>0</v>
      </c>
      <c r="AO60" s="80" t="b">
        <v>0</v>
      </c>
      <c r="AP60" s="80">
        <v>0</v>
      </c>
      <c r="AQ60" s="80"/>
      <c r="AR60" s="80"/>
      <c r="AS60" s="80" t="s">
        <v>2664</v>
      </c>
      <c r="AT60" s="85" t="str">
        <f>HYPERLINK("https://www.youtube.com/channel/UCkjCRdjjNJOna_mCd6P7Zpw")</f>
        <v>https://www.youtube.com/channel/UCkjCRdjjNJOna_mCd6P7Zpw</v>
      </c>
      <c r="AU60" s="80" t="str">
        <f>REPLACE(INDEX(GroupVertices[Group],MATCH(Vertices[[#This Row],[Vertex]],GroupVertices[Vertex],0)),1,1,"")</f>
        <v>6</v>
      </c>
      <c r="AV60" s="49">
        <v>1</v>
      </c>
      <c r="AW60" s="50">
        <v>4</v>
      </c>
      <c r="AX60" s="49">
        <v>1</v>
      </c>
      <c r="AY60" s="50">
        <v>4</v>
      </c>
      <c r="AZ60" s="49">
        <v>0</v>
      </c>
      <c r="BA60" s="50">
        <v>0</v>
      </c>
      <c r="BB60" s="49">
        <v>23</v>
      </c>
      <c r="BC60" s="50">
        <v>92</v>
      </c>
      <c r="BD60" s="49">
        <v>25</v>
      </c>
      <c r="BE60" s="49"/>
      <c r="BF60" s="49"/>
      <c r="BG60" s="49"/>
      <c r="BH60" s="49"/>
      <c r="BI60" s="49"/>
      <c r="BJ60" s="49"/>
      <c r="BK60" s="111" t="s">
        <v>3708</v>
      </c>
      <c r="BL60" s="111" t="s">
        <v>3708</v>
      </c>
      <c r="BM60" s="111" t="s">
        <v>4184</v>
      </c>
      <c r="BN60" s="111" t="s">
        <v>4184</v>
      </c>
      <c r="BO60" s="2"/>
      <c r="BP60" s="3"/>
      <c r="BQ60" s="3"/>
      <c r="BR60" s="3"/>
      <c r="BS60" s="3"/>
    </row>
    <row r="61" spans="1:71" ht="15">
      <c r="A61" s="65" t="s">
        <v>268</v>
      </c>
      <c r="B61" s="66"/>
      <c r="C61" s="66"/>
      <c r="D61" s="67">
        <v>150</v>
      </c>
      <c r="E61" s="69"/>
      <c r="F61" s="103" t="str">
        <f>HYPERLINK("https://yt3.ggpht.com/ytc/AAUvwnjvVzVrQsf6RBceIpDLDA3VpDZoJ73QrNhTrQ=s88-c-k-c0x00ffffff-no-rj")</f>
        <v>https://yt3.ggpht.com/ytc/AAUvwnjvVzVrQsf6RBceIpDLDA3VpDZoJ73QrNhTrQ=s88-c-k-c0x00ffffff-no-rj</v>
      </c>
      <c r="G61" s="66"/>
      <c r="H61" s="70" t="s">
        <v>1627</v>
      </c>
      <c r="I61" s="71"/>
      <c r="J61" s="71" t="s">
        <v>159</v>
      </c>
      <c r="K61" s="70" t="s">
        <v>1627</v>
      </c>
      <c r="L61" s="74">
        <v>1</v>
      </c>
      <c r="M61" s="75">
        <v>4181.60302734375</v>
      </c>
      <c r="N61" s="75">
        <v>144.4942169189453</v>
      </c>
      <c r="O61" s="76"/>
      <c r="P61" s="77"/>
      <c r="Q61" s="77"/>
      <c r="R61" s="89"/>
      <c r="S61" s="49">
        <v>0</v>
      </c>
      <c r="T61" s="49">
        <v>1</v>
      </c>
      <c r="U61" s="50">
        <v>0</v>
      </c>
      <c r="V61" s="50">
        <v>0.015152</v>
      </c>
      <c r="W61" s="50">
        <v>0</v>
      </c>
      <c r="X61" s="50">
        <v>0.535667</v>
      </c>
      <c r="Y61" s="50">
        <v>0</v>
      </c>
      <c r="Z61" s="50">
        <v>0</v>
      </c>
      <c r="AA61" s="72">
        <v>61</v>
      </c>
      <c r="AB61" s="72"/>
      <c r="AC61" s="73"/>
      <c r="AD61" s="80" t="s">
        <v>1627</v>
      </c>
      <c r="AE61" s="80"/>
      <c r="AF61" s="80"/>
      <c r="AG61" s="80"/>
      <c r="AH61" s="80"/>
      <c r="AI61" s="80"/>
      <c r="AJ61" s="87">
        <v>43797.556284722225</v>
      </c>
      <c r="AK61" s="85" t="str">
        <f>HYPERLINK("https://yt3.ggpht.com/ytc/AAUvwnjvVzVrQsf6RBceIpDLDA3VpDZoJ73QrNhTrQ=s88-c-k-c0x00ffffff-no-rj")</f>
        <v>https://yt3.ggpht.com/ytc/AAUvwnjvVzVrQsf6RBceIpDLDA3VpDZoJ73QrNhTrQ=s88-c-k-c0x00ffffff-no-rj</v>
      </c>
      <c r="AL61" s="80">
        <v>0</v>
      </c>
      <c r="AM61" s="80">
        <v>0</v>
      </c>
      <c r="AN61" s="80">
        <v>0</v>
      </c>
      <c r="AO61" s="80" t="b">
        <v>0</v>
      </c>
      <c r="AP61" s="80">
        <v>0</v>
      </c>
      <c r="AQ61" s="80"/>
      <c r="AR61" s="80"/>
      <c r="AS61" s="80" t="s">
        <v>2664</v>
      </c>
      <c r="AT61" s="85" t="str">
        <f>HYPERLINK("https://www.youtube.com/channel/UC_Y_86BAtwlLH75k1z7QVmA")</f>
        <v>https://www.youtube.com/channel/UC_Y_86BAtwlLH75k1z7QVmA</v>
      </c>
      <c r="AU61" s="80" t="str">
        <f>REPLACE(INDEX(GroupVertices[Group],MATCH(Vertices[[#This Row],[Vertex]],GroupVertices[Vertex],0)),1,1,"")</f>
        <v>6</v>
      </c>
      <c r="AV61" s="49">
        <v>0</v>
      </c>
      <c r="AW61" s="50">
        <v>0</v>
      </c>
      <c r="AX61" s="49">
        <v>0</v>
      </c>
      <c r="AY61" s="50">
        <v>0</v>
      </c>
      <c r="AZ61" s="49">
        <v>0</v>
      </c>
      <c r="BA61" s="50">
        <v>0</v>
      </c>
      <c r="BB61" s="49">
        <v>6</v>
      </c>
      <c r="BC61" s="50">
        <v>100</v>
      </c>
      <c r="BD61" s="49">
        <v>6</v>
      </c>
      <c r="BE61" s="49"/>
      <c r="BF61" s="49"/>
      <c r="BG61" s="49"/>
      <c r="BH61" s="49"/>
      <c r="BI61" s="49"/>
      <c r="BJ61" s="49"/>
      <c r="BK61" s="111" t="s">
        <v>3709</v>
      </c>
      <c r="BL61" s="111" t="s">
        <v>3709</v>
      </c>
      <c r="BM61" s="111" t="s">
        <v>4185</v>
      </c>
      <c r="BN61" s="111" t="s">
        <v>4185</v>
      </c>
      <c r="BO61" s="2"/>
      <c r="BP61" s="3"/>
      <c r="BQ61" s="3"/>
      <c r="BR61" s="3"/>
      <c r="BS61" s="3"/>
    </row>
    <row r="62" spans="1:71" ht="15">
      <c r="A62" s="65" t="s">
        <v>269</v>
      </c>
      <c r="B62" s="66"/>
      <c r="C62" s="66"/>
      <c r="D62" s="67">
        <v>150</v>
      </c>
      <c r="E62" s="69"/>
      <c r="F62" s="103" t="str">
        <f>HYPERLINK("https://yt3.ggpht.com/ytc/AAUvwnjhE20xjcR9WFFJYIdnZtqY_oHr4q47dheU7i-dMw=s88-c-k-c0x00ffffff-no-rj")</f>
        <v>https://yt3.ggpht.com/ytc/AAUvwnjhE20xjcR9WFFJYIdnZtqY_oHr4q47dheU7i-dMw=s88-c-k-c0x00ffffff-no-rj</v>
      </c>
      <c r="G62" s="66"/>
      <c r="H62" s="70" t="s">
        <v>1628</v>
      </c>
      <c r="I62" s="71"/>
      <c r="J62" s="71" t="s">
        <v>159</v>
      </c>
      <c r="K62" s="70" t="s">
        <v>1628</v>
      </c>
      <c r="L62" s="74">
        <v>1</v>
      </c>
      <c r="M62" s="75">
        <v>5182.4140625</v>
      </c>
      <c r="N62" s="75">
        <v>719.9117431640625</v>
      </c>
      <c r="O62" s="76"/>
      <c r="P62" s="77"/>
      <c r="Q62" s="77"/>
      <c r="R62" s="89"/>
      <c r="S62" s="49">
        <v>0</v>
      </c>
      <c r="T62" s="49">
        <v>1</v>
      </c>
      <c r="U62" s="50">
        <v>0</v>
      </c>
      <c r="V62" s="50">
        <v>0.015152</v>
      </c>
      <c r="W62" s="50">
        <v>0</v>
      </c>
      <c r="X62" s="50">
        <v>0.535667</v>
      </c>
      <c r="Y62" s="50">
        <v>0</v>
      </c>
      <c r="Z62" s="50">
        <v>0</v>
      </c>
      <c r="AA62" s="72">
        <v>62</v>
      </c>
      <c r="AB62" s="72"/>
      <c r="AC62" s="73"/>
      <c r="AD62" s="80" t="s">
        <v>1628</v>
      </c>
      <c r="AE62" s="80" t="s">
        <v>2436</v>
      </c>
      <c r="AF62" s="80"/>
      <c r="AG62" s="80"/>
      <c r="AH62" s="80"/>
      <c r="AI62" s="80" t="s">
        <v>2632</v>
      </c>
      <c r="AJ62" s="87">
        <v>43435.44572916667</v>
      </c>
      <c r="AK62" s="85" t="str">
        <f>HYPERLINK("https://yt3.ggpht.com/ytc/AAUvwnjhE20xjcR9WFFJYIdnZtqY_oHr4q47dheU7i-dMw=s88-c-k-c0x00ffffff-no-rj")</f>
        <v>https://yt3.ggpht.com/ytc/AAUvwnjhE20xjcR9WFFJYIdnZtqY_oHr4q47dheU7i-dMw=s88-c-k-c0x00ffffff-no-rj</v>
      </c>
      <c r="AL62" s="80">
        <v>1599653</v>
      </c>
      <c r="AM62" s="80">
        <v>0</v>
      </c>
      <c r="AN62" s="80">
        <v>0</v>
      </c>
      <c r="AO62" s="80" t="b">
        <v>1</v>
      </c>
      <c r="AP62" s="80">
        <v>113</v>
      </c>
      <c r="AQ62" s="80"/>
      <c r="AR62" s="80"/>
      <c r="AS62" s="80" t="s">
        <v>2664</v>
      </c>
      <c r="AT62" s="85" t="str">
        <f>HYPERLINK("https://www.youtube.com/channel/UCmpeF05gyl2aq-ptkasSa7w")</f>
        <v>https://www.youtube.com/channel/UCmpeF05gyl2aq-ptkasSa7w</v>
      </c>
      <c r="AU62" s="80" t="str">
        <f>REPLACE(INDEX(GroupVertices[Group],MATCH(Vertices[[#This Row],[Vertex]],GroupVertices[Vertex],0)),1,1,"")</f>
        <v>6</v>
      </c>
      <c r="AV62" s="49">
        <v>0</v>
      </c>
      <c r="AW62" s="50">
        <v>0</v>
      </c>
      <c r="AX62" s="49">
        <v>0</v>
      </c>
      <c r="AY62" s="50">
        <v>0</v>
      </c>
      <c r="AZ62" s="49">
        <v>0</v>
      </c>
      <c r="BA62" s="50">
        <v>0</v>
      </c>
      <c r="BB62" s="49">
        <v>2</v>
      </c>
      <c r="BC62" s="50">
        <v>100</v>
      </c>
      <c r="BD62" s="49">
        <v>2</v>
      </c>
      <c r="BE62" s="49"/>
      <c r="BF62" s="49"/>
      <c r="BG62" s="49"/>
      <c r="BH62" s="49"/>
      <c r="BI62" s="49"/>
      <c r="BJ62" s="49"/>
      <c r="BK62" s="111" t="s">
        <v>3710</v>
      </c>
      <c r="BL62" s="111" t="s">
        <v>3710</v>
      </c>
      <c r="BM62" s="111" t="s">
        <v>4186</v>
      </c>
      <c r="BN62" s="111" t="s">
        <v>4186</v>
      </c>
      <c r="BO62" s="2"/>
      <c r="BP62" s="3"/>
      <c r="BQ62" s="3"/>
      <c r="BR62" s="3"/>
      <c r="BS62" s="3"/>
    </row>
    <row r="63" spans="1:71" ht="15">
      <c r="A63" s="65" t="s">
        <v>270</v>
      </c>
      <c r="B63" s="66"/>
      <c r="C63" s="66"/>
      <c r="D63" s="67">
        <v>150</v>
      </c>
      <c r="E63" s="69"/>
      <c r="F63" s="103" t="str">
        <f>HYPERLINK("https://yt3.ggpht.com/ytc/AAUvwngLWLnKOuYYN8cyAqvYPrHgbiPt0q0I-A1jFKkLgA=s88-c-k-c0x00ffffff-no-rj")</f>
        <v>https://yt3.ggpht.com/ytc/AAUvwngLWLnKOuYYN8cyAqvYPrHgbiPt0q0I-A1jFKkLgA=s88-c-k-c0x00ffffff-no-rj</v>
      </c>
      <c r="G63" s="66"/>
      <c r="H63" s="70" t="s">
        <v>1629</v>
      </c>
      <c r="I63" s="71"/>
      <c r="J63" s="71" t="s">
        <v>159</v>
      </c>
      <c r="K63" s="70" t="s">
        <v>1629</v>
      </c>
      <c r="L63" s="74">
        <v>1</v>
      </c>
      <c r="M63" s="75">
        <v>4802.9755859375</v>
      </c>
      <c r="N63" s="75">
        <v>889.6201171875</v>
      </c>
      <c r="O63" s="76"/>
      <c r="P63" s="77"/>
      <c r="Q63" s="77"/>
      <c r="R63" s="89"/>
      <c r="S63" s="49">
        <v>0</v>
      </c>
      <c r="T63" s="49">
        <v>1</v>
      </c>
      <c r="U63" s="50">
        <v>0</v>
      </c>
      <c r="V63" s="50">
        <v>0.015152</v>
      </c>
      <c r="W63" s="50">
        <v>0</v>
      </c>
      <c r="X63" s="50">
        <v>0.535667</v>
      </c>
      <c r="Y63" s="50">
        <v>0</v>
      </c>
      <c r="Z63" s="50">
        <v>0</v>
      </c>
      <c r="AA63" s="72">
        <v>63</v>
      </c>
      <c r="AB63" s="72"/>
      <c r="AC63" s="73"/>
      <c r="AD63" s="80" t="s">
        <v>1629</v>
      </c>
      <c r="AE63" s="80" t="s">
        <v>2437</v>
      </c>
      <c r="AF63" s="80"/>
      <c r="AG63" s="80"/>
      <c r="AH63" s="80"/>
      <c r="AI63" s="80"/>
      <c r="AJ63" s="87">
        <v>42744.5278125</v>
      </c>
      <c r="AK63" s="85" t="str">
        <f>HYPERLINK("https://yt3.ggpht.com/ytc/AAUvwngLWLnKOuYYN8cyAqvYPrHgbiPt0q0I-A1jFKkLgA=s88-c-k-c0x00ffffff-no-rj")</f>
        <v>https://yt3.ggpht.com/ytc/AAUvwngLWLnKOuYYN8cyAqvYPrHgbiPt0q0I-A1jFKkLgA=s88-c-k-c0x00ffffff-no-rj</v>
      </c>
      <c r="AL63" s="80">
        <v>5285</v>
      </c>
      <c r="AM63" s="80">
        <v>0</v>
      </c>
      <c r="AN63" s="80">
        <v>137</v>
      </c>
      <c r="AO63" s="80" t="b">
        <v>0</v>
      </c>
      <c r="AP63" s="80">
        <v>37</v>
      </c>
      <c r="AQ63" s="80"/>
      <c r="AR63" s="80"/>
      <c r="AS63" s="80" t="s">
        <v>2664</v>
      </c>
      <c r="AT63" s="85" t="str">
        <f>HYPERLINK("https://www.youtube.com/channel/UCOfVfWf8jMT4ouAJeEJ-K1Q")</f>
        <v>https://www.youtube.com/channel/UCOfVfWf8jMT4ouAJeEJ-K1Q</v>
      </c>
      <c r="AU63" s="80" t="str">
        <f>REPLACE(INDEX(GroupVertices[Group],MATCH(Vertices[[#This Row],[Vertex]],GroupVertices[Vertex],0)),1,1,"")</f>
        <v>6</v>
      </c>
      <c r="AV63" s="49">
        <v>2</v>
      </c>
      <c r="AW63" s="50">
        <v>50</v>
      </c>
      <c r="AX63" s="49">
        <v>0</v>
      </c>
      <c r="AY63" s="50">
        <v>0</v>
      </c>
      <c r="AZ63" s="49">
        <v>0</v>
      </c>
      <c r="BA63" s="50">
        <v>0</v>
      </c>
      <c r="BB63" s="49">
        <v>2</v>
      </c>
      <c r="BC63" s="50">
        <v>50</v>
      </c>
      <c r="BD63" s="49">
        <v>4</v>
      </c>
      <c r="BE63" s="49"/>
      <c r="BF63" s="49"/>
      <c r="BG63" s="49"/>
      <c r="BH63" s="49"/>
      <c r="BI63" s="49"/>
      <c r="BJ63" s="49"/>
      <c r="BK63" s="111" t="s">
        <v>2732</v>
      </c>
      <c r="BL63" s="111" t="s">
        <v>2732</v>
      </c>
      <c r="BM63" s="111" t="s">
        <v>2390</v>
      </c>
      <c r="BN63" s="111" t="s">
        <v>2390</v>
      </c>
      <c r="BO63" s="2"/>
      <c r="BP63" s="3"/>
      <c r="BQ63" s="3"/>
      <c r="BR63" s="3"/>
      <c r="BS63" s="3"/>
    </row>
    <row r="64" spans="1:71" ht="15">
      <c r="A64" s="65" t="s">
        <v>271</v>
      </c>
      <c r="B64" s="66"/>
      <c r="C64" s="66"/>
      <c r="D64" s="67">
        <v>150</v>
      </c>
      <c r="E64" s="69"/>
      <c r="F64" s="103" t="str">
        <f>HYPERLINK("https://yt3.ggpht.com/ytc/AAUvwnhRtKvq86hNEjYAvZzWQu5EcvdCKCejmY5d8KDi=s88-c-k-c0x00ffffff-no-rj")</f>
        <v>https://yt3.ggpht.com/ytc/AAUvwnhRtKvq86hNEjYAvZzWQu5EcvdCKCejmY5d8KDi=s88-c-k-c0x00ffffff-no-rj</v>
      </c>
      <c r="G64" s="66"/>
      <c r="H64" s="70" t="s">
        <v>1630</v>
      </c>
      <c r="I64" s="71"/>
      <c r="J64" s="71" t="s">
        <v>159</v>
      </c>
      <c r="K64" s="70" t="s">
        <v>1630</v>
      </c>
      <c r="L64" s="74">
        <v>1</v>
      </c>
      <c r="M64" s="75">
        <v>5221.896484375</v>
      </c>
      <c r="N64" s="75">
        <v>964.3286743164062</v>
      </c>
      <c r="O64" s="76"/>
      <c r="P64" s="77"/>
      <c r="Q64" s="77"/>
      <c r="R64" s="89"/>
      <c r="S64" s="49">
        <v>0</v>
      </c>
      <c r="T64" s="49">
        <v>1</v>
      </c>
      <c r="U64" s="50">
        <v>0</v>
      </c>
      <c r="V64" s="50">
        <v>0.015152</v>
      </c>
      <c r="W64" s="50">
        <v>0</v>
      </c>
      <c r="X64" s="50">
        <v>0.535667</v>
      </c>
      <c r="Y64" s="50">
        <v>0</v>
      </c>
      <c r="Z64" s="50">
        <v>0</v>
      </c>
      <c r="AA64" s="72">
        <v>64</v>
      </c>
      <c r="AB64" s="72"/>
      <c r="AC64" s="73"/>
      <c r="AD64" s="80" t="s">
        <v>1630</v>
      </c>
      <c r="AE64" s="80" t="s">
        <v>2438</v>
      </c>
      <c r="AF64" s="80"/>
      <c r="AG64" s="80"/>
      <c r="AH64" s="80"/>
      <c r="AI64" s="80"/>
      <c r="AJ64" s="87">
        <v>42593.65392361111</v>
      </c>
      <c r="AK64" s="85" t="str">
        <f>HYPERLINK("https://yt3.ggpht.com/ytc/AAUvwnhRtKvq86hNEjYAvZzWQu5EcvdCKCejmY5d8KDi=s88-c-k-c0x00ffffff-no-rj")</f>
        <v>https://yt3.ggpht.com/ytc/AAUvwnhRtKvq86hNEjYAvZzWQu5EcvdCKCejmY5d8KDi=s88-c-k-c0x00ffffff-no-rj</v>
      </c>
      <c r="AL64" s="80">
        <v>0</v>
      </c>
      <c r="AM64" s="80">
        <v>0</v>
      </c>
      <c r="AN64" s="80">
        <v>2</v>
      </c>
      <c r="AO64" s="80" t="b">
        <v>0</v>
      </c>
      <c r="AP64" s="80">
        <v>0</v>
      </c>
      <c r="AQ64" s="80"/>
      <c r="AR64" s="80"/>
      <c r="AS64" s="80" t="s">
        <v>2664</v>
      </c>
      <c r="AT64" s="85" t="str">
        <f>HYPERLINK("https://www.youtube.com/channel/UCmUFhJtrl73v6pSC9_aiHWw")</f>
        <v>https://www.youtube.com/channel/UCmUFhJtrl73v6pSC9_aiHWw</v>
      </c>
      <c r="AU64" s="80" t="str">
        <f>REPLACE(INDEX(GroupVertices[Group],MATCH(Vertices[[#This Row],[Vertex]],GroupVertices[Vertex],0)),1,1,"")</f>
        <v>6</v>
      </c>
      <c r="AV64" s="49">
        <v>0</v>
      </c>
      <c r="AW64" s="50">
        <v>0</v>
      </c>
      <c r="AX64" s="49">
        <v>0</v>
      </c>
      <c r="AY64" s="50">
        <v>0</v>
      </c>
      <c r="AZ64" s="49">
        <v>0</v>
      </c>
      <c r="BA64" s="50">
        <v>0</v>
      </c>
      <c r="BB64" s="49">
        <v>17</v>
      </c>
      <c r="BC64" s="50">
        <v>100</v>
      </c>
      <c r="BD64" s="49">
        <v>17</v>
      </c>
      <c r="BE64" s="49" t="s">
        <v>3458</v>
      </c>
      <c r="BF64" s="49" t="s">
        <v>3458</v>
      </c>
      <c r="BG64" s="49" t="s">
        <v>2379</v>
      </c>
      <c r="BH64" s="49" t="s">
        <v>2379</v>
      </c>
      <c r="BI64" s="49"/>
      <c r="BJ64" s="49"/>
      <c r="BK64" s="111" t="s">
        <v>3711</v>
      </c>
      <c r="BL64" s="111" t="s">
        <v>3711</v>
      </c>
      <c r="BM64" s="111" t="s">
        <v>4187</v>
      </c>
      <c r="BN64" s="111" t="s">
        <v>4187</v>
      </c>
      <c r="BO64" s="2"/>
      <c r="BP64" s="3"/>
      <c r="BQ64" s="3"/>
      <c r="BR64" s="3"/>
      <c r="BS64" s="3"/>
    </row>
    <row r="65" spans="1:71" ht="15">
      <c r="A65" s="65" t="s">
        <v>272</v>
      </c>
      <c r="B65" s="66"/>
      <c r="C65" s="66"/>
      <c r="D65" s="67">
        <v>150</v>
      </c>
      <c r="E65" s="69"/>
      <c r="F65" s="103" t="str">
        <f>HYPERLINK("https://yt3.ggpht.com/ytc/AAUvwnjLqJmgw75GpY1CYWvUXFtXpF_FJ0Oeevt3tQ=s88-c-k-c0x00ffffff-no-rj")</f>
        <v>https://yt3.ggpht.com/ytc/AAUvwnjLqJmgw75GpY1CYWvUXFtXpF_FJ0Oeevt3tQ=s88-c-k-c0x00ffffff-no-rj</v>
      </c>
      <c r="G65" s="66"/>
      <c r="H65" s="70" t="s">
        <v>1631</v>
      </c>
      <c r="I65" s="71"/>
      <c r="J65" s="71" t="s">
        <v>159</v>
      </c>
      <c r="K65" s="70" t="s">
        <v>1631</v>
      </c>
      <c r="L65" s="74">
        <v>1</v>
      </c>
      <c r="M65" s="75">
        <v>3906.127685546875</v>
      </c>
      <c r="N65" s="75">
        <v>7624.4091796875</v>
      </c>
      <c r="O65" s="76"/>
      <c r="P65" s="77"/>
      <c r="Q65" s="77"/>
      <c r="R65" s="89"/>
      <c r="S65" s="49">
        <v>0</v>
      </c>
      <c r="T65" s="49">
        <v>1</v>
      </c>
      <c r="U65" s="50">
        <v>0</v>
      </c>
      <c r="V65" s="50">
        <v>0.000852</v>
      </c>
      <c r="W65" s="50">
        <v>0</v>
      </c>
      <c r="X65" s="50">
        <v>0.517516</v>
      </c>
      <c r="Y65" s="50">
        <v>0</v>
      </c>
      <c r="Z65" s="50">
        <v>0</v>
      </c>
      <c r="AA65" s="72">
        <v>65</v>
      </c>
      <c r="AB65" s="72"/>
      <c r="AC65" s="73"/>
      <c r="AD65" s="80" t="s">
        <v>1631</v>
      </c>
      <c r="AE65" s="80"/>
      <c r="AF65" s="80"/>
      <c r="AG65" s="80"/>
      <c r="AH65" s="80"/>
      <c r="AI65" s="80"/>
      <c r="AJ65" s="87">
        <v>43561.38180555555</v>
      </c>
      <c r="AK65" s="85" t="str">
        <f>HYPERLINK("https://yt3.ggpht.com/ytc/AAUvwnjLqJmgw75GpY1CYWvUXFtXpF_FJ0Oeevt3tQ=s88-c-k-c0x00ffffff-no-rj")</f>
        <v>https://yt3.ggpht.com/ytc/AAUvwnjLqJmgw75GpY1CYWvUXFtXpF_FJ0Oeevt3tQ=s88-c-k-c0x00ffffff-no-rj</v>
      </c>
      <c r="AL65" s="80">
        <v>0</v>
      </c>
      <c r="AM65" s="80">
        <v>0</v>
      </c>
      <c r="AN65" s="80">
        <v>3</v>
      </c>
      <c r="AO65" s="80" t="b">
        <v>0</v>
      </c>
      <c r="AP65" s="80">
        <v>0</v>
      </c>
      <c r="AQ65" s="80"/>
      <c r="AR65" s="80"/>
      <c r="AS65" s="80" t="s">
        <v>2664</v>
      </c>
      <c r="AT65" s="85" t="str">
        <f>HYPERLINK("https://www.youtube.com/channel/UC6VRkxwooMQZLgKrbCW_FSA")</f>
        <v>https://www.youtube.com/channel/UC6VRkxwooMQZLgKrbCW_FSA</v>
      </c>
      <c r="AU65" s="80" t="str">
        <f>REPLACE(INDEX(GroupVertices[Group],MATCH(Vertices[[#This Row],[Vertex]],GroupVertices[Vertex],0)),1,1,"")</f>
        <v>3</v>
      </c>
      <c r="AV65" s="49">
        <v>0</v>
      </c>
      <c r="AW65" s="50">
        <v>0</v>
      </c>
      <c r="AX65" s="49">
        <v>0</v>
      </c>
      <c r="AY65" s="50">
        <v>0</v>
      </c>
      <c r="AZ65" s="49">
        <v>0</v>
      </c>
      <c r="BA65" s="50">
        <v>0</v>
      </c>
      <c r="BB65" s="49">
        <v>1</v>
      </c>
      <c r="BC65" s="50">
        <v>100</v>
      </c>
      <c r="BD65" s="49">
        <v>1</v>
      </c>
      <c r="BE65" s="49"/>
      <c r="BF65" s="49"/>
      <c r="BG65" s="49"/>
      <c r="BH65" s="49"/>
      <c r="BI65" s="49"/>
      <c r="BJ65" s="49"/>
      <c r="BK65" s="111" t="s">
        <v>3712</v>
      </c>
      <c r="BL65" s="111" t="s">
        <v>3712</v>
      </c>
      <c r="BM65" s="111" t="s">
        <v>2390</v>
      </c>
      <c r="BN65" s="111" t="s">
        <v>2390</v>
      </c>
      <c r="BO65" s="2"/>
      <c r="BP65" s="3"/>
      <c r="BQ65" s="3"/>
      <c r="BR65" s="3"/>
      <c r="BS65" s="3"/>
    </row>
    <row r="66" spans="1:71" ht="15">
      <c r="A66" s="65" t="s">
        <v>828</v>
      </c>
      <c r="B66" s="66"/>
      <c r="C66" s="66"/>
      <c r="D66" s="67">
        <v>1000</v>
      </c>
      <c r="E66" s="69"/>
      <c r="F66" s="103" t="str">
        <f>HYPERLINK("https://yt3.ggpht.com/ytc/AAUvwnjTIrv8y2_MQbYGWixdhojIqSisPuXuZgs1jjjMtA=s88-c-k-c0x00ffffff-no-rj")</f>
        <v>https://yt3.ggpht.com/ytc/AAUvwnjTIrv8y2_MQbYGWixdhojIqSisPuXuZgs1jjjMtA=s88-c-k-c0x00ffffff-no-rj</v>
      </c>
      <c r="G66" s="66"/>
      <c r="H66" s="70" t="s">
        <v>2406</v>
      </c>
      <c r="I66" s="71"/>
      <c r="J66" s="71" t="s">
        <v>75</v>
      </c>
      <c r="K66" s="70" t="s">
        <v>2406</v>
      </c>
      <c r="L66" s="74">
        <v>6285.457142857143</v>
      </c>
      <c r="M66" s="75">
        <v>4626.697265625</v>
      </c>
      <c r="N66" s="75">
        <v>8164.1220703125</v>
      </c>
      <c r="O66" s="76"/>
      <c r="P66" s="77"/>
      <c r="Q66" s="77"/>
      <c r="R66" s="89"/>
      <c r="S66" s="49">
        <v>66</v>
      </c>
      <c r="T66" s="49">
        <v>1</v>
      </c>
      <c r="U66" s="50">
        <v>32485.066667</v>
      </c>
      <c r="V66" s="50">
        <v>0.0011</v>
      </c>
      <c r="W66" s="50">
        <v>0</v>
      </c>
      <c r="X66" s="50">
        <v>28.536553</v>
      </c>
      <c r="Y66" s="50">
        <v>0</v>
      </c>
      <c r="Z66" s="50">
        <v>0</v>
      </c>
      <c r="AA66" s="72">
        <v>66</v>
      </c>
      <c r="AB66" s="72"/>
      <c r="AC66" s="73"/>
      <c r="AD66" s="80" t="s">
        <v>2406</v>
      </c>
      <c r="AE66" s="80" t="s">
        <v>2439</v>
      </c>
      <c r="AF66" s="80"/>
      <c r="AG66" s="80"/>
      <c r="AH66" s="80"/>
      <c r="AI66" s="80"/>
      <c r="AJ66" s="87">
        <v>42747.76755787037</v>
      </c>
      <c r="AK66" s="85" t="str">
        <f>HYPERLINK("https://yt3.ggpht.com/ytc/AAUvwnjTIrv8y2_MQbYGWixdhojIqSisPuXuZgs1jjjMtA=s88-c-k-c0x00ffffff-no-rj")</f>
        <v>https://yt3.ggpht.com/ytc/AAUvwnjTIrv8y2_MQbYGWixdhojIqSisPuXuZgs1jjjMtA=s88-c-k-c0x00ffffff-no-rj</v>
      </c>
      <c r="AL66" s="80">
        <v>448969</v>
      </c>
      <c r="AM66" s="80">
        <v>0</v>
      </c>
      <c r="AN66" s="80">
        <v>0</v>
      </c>
      <c r="AO66" s="80" t="b">
        <v>1</v>
      </c>
      <c r="AP66" s="80">
        <v>130</v>
      </c>
      <c r="AQ66" s="80"/>
      <c r="AR66" s="80"/>
      <c r="AS66" s="80" t="s">
        <v>2664</v>
      </c>
      <c r="AT66" s="85" t="str">
        <f>HYPERLINK("https://www.youtube.com/channel/UC5VEXHfh6kXP2d8EkFx16sw")</f>
        <v>https://www.youtube.com/channel/UC5VEXHfh6kXP2d8EkFx16sw</v>
      </c>
      <c r="AU66" s="80" t="str">
        <f>REPLACE(INDEX(GroupVertices[Group],MATCH(Vertices[[#This Row],[Vertex]],GroupVertices[Vertex],0)),1,1,"")</f>
        <v>3</v>
      </c>
      <c r="AV66" s="49"/>
      <c r="AW66" s="50"/>
      <c r="AX66" s="49"/>
      <c r="AY66" s="50"/>
      <c r="AZ66" s="49"/>
      <c r="BA66" s="50"/>
      <c r="BB66" s="49"/>
      <c r="BC66" s="50"/>
      <c r="BD66" s="49"/>
      <c r="BE66" s="49"/>
      <c r="BF66" s="49"/>
      <c r="BG66" s="49"/>
      <c r="BH66" s="49"/>
      <c r="BI66" s="49"/>
      <c r="BJ66" s="49"/>
      <c r="BK66" s="111" t="s">
        <v>2390</v>
      </c>
      <c r="BL66" s="111" t="s">
        <v>2390</v>
      </c>
      <c r="BM66" s="111" t="s">
        <v>2390</v>
      </c>
      <c r="BN66" s="111" t="s">
        <v>2390</v>
      </c>
      <c r="BO66" s="2"/>
      <c r="BP66" s="3"/>
      <c r="BQ66" s="3"/>
      <c r="BR66" s="3"/>
      <c r="BS66" s="3"/>
    </row>
    <row r="67" spans="1:71" ht="15">
      <c r="A67" s="65" t="s">
        <v>273</v>
      </c>
      <c r="B67" s="66"/>
      <c r="C67" s="66"/>
      <c r="D67" s="67">
        <v>150</v>
      </c>
      <c r="E67" s="69"/>
      <c r="F67" s="103" t="str">
        <f>HYPERLINK("https://yt3.ggpht.com/ytc/AAUvwngyAPq29o-wTbPv1kCnGkvY5qqsEh_gVAYZCA=s88-c-k-c0x00ffffff-no-rj")</f>
        <v>https://yt3.ggpht.com/ytc/AAUvwngyAPq29o-wTbPv1kCnGkvY5qqsEh_gVAYZCA=s88-c-k-c0x00ffffff-no-rj</v>
      </c>
      <c r="G67" s="66"/>
      <c r="H67" s="70" t="s">
        <v>1632</v>
      </c>
      <c r="I67" s="71"/>
      <c r="J67" s="71" t="s">
        <v>159</v>
      </c>
      <c r="K67" s="70" t="s">
        <v>1632</v>
      </c>
      <c r="L67" s="74">
        <v>1</v>
      </c>
      <c r="M67" s="75">
        <v>4789.359375</v>
      </c>
      <c r="N67" s="75">
        <v>9854.505859375</v>
      </c>
      <c r="O67" s="76"/>
      <c r="P67" s="77"/>
      <c r="Q67" s="77"/>
      <c r="R67" s="89"/>
      <c r="S67" s="49">
        <v>0</v>
      </c>
      <c r="T67" s="49">
        <v>2</v>
      </c>
      <c r="U67" s="50">
        <v>1</v>
      </c>
      <c r="V67" s="50">
        <v>0.000697</v>
      </c>
      <c r="W67" s="50">
        <v>0</v>
      </c>
      <c r="X67" s="50">
        <v>0.923505</v>
      </c>
      <c r="Y67" s="50">
        <v>0</v>
      </c>
      <c r="Z67" s="50">
        <v>0</v>
      </c>
      <c r="AA67" s="72">
        <v>67</v>
      </c>
      <c r="AB67" s="72"/>
      <c r="AC67" s="73"/>
      <c r="AD67" s="80" t="s">
        <v>1632</v>
      </c>
      <c r="AE67" s="80"/>
      <c r="AF67" s="80"/>
      <c r="AG67" s="80"/>
      <c r="AH67" s="80"/>
      <c r="AI67" s="80"/>
      <c r="AJ67" s="87">
        <v>42917.48751157407</v>
      </c>
      <c r="AK67" s="85" t="str">
        <f>HYPERLINK("https://yt3.ggpht.com/ytc/AAUvwngyAPq29o-wTbPv1kCnGkvY5qqsEh_gVAYZCA=s88-c-k-c0x00ffffff-no-rj")</f>
        <v>https://yt3.ggpht.com/ytc/AAUvwngyAPq29o-wTbPv1kCnGkvY5qqsEh_gVAYZCA=s88-c-k-c0x00ffffff-no-rj</v>
      </c>
      <c r="AL67" s="80">
        <v>8</v>
      </c>
      <c r="AM67" s="80">
        <v>0</v>
      </c>
      <c r="AN67" s="80">
        <v>1</v>
      </c>
      <c r="AO67" s="80" t="b">
        <v>0</v>
      </c>
      <c r="AP67" s="80">
        <v>1</v>
      </c>
      <c r="AQ67" s="80"/>
      <c r="AR67" s="80"/>
      <c r="AS67" s="80" t="s">
        <v>2664</v>
      </c>
      <c r="AT67" s="85" t="str">
        <f>HYPERLINK("https://www.youtube.com/channel/UCo08T_MPUyNbixbGtoQ3Rlw")</f>
        <v>https://www.youtube.com/channel/UCo08T_MPUyNbixbGtoQ3Rlw</v>
      </c>
      <c r="AU67" s="80" t="str">
        <f>REPLACE(INDEX(GroupVertices[Group],MATCH(Vertices[[#This Row],[Vertex]],GroupVertices[Vertex],0)),1,1,"")</f>
        <v>3</v>
      </c>
      <c r="AV67" s="49">
        <v>0</v>
      </c>
      <c r="AW67" s="50">
        <v>0</v>
      </c>
      <c r="AX67" s="49">
        <v>0</v>
      </c>
      <c r="AY67" s="50">
        <v>0</v>
      </c>
      <c r="AZ67" s="49">
        <v>0</v>
      </c>
      <c r="BA67" s="50">
        <v>0</v>
      </c>
      <c r="BB67" s="49">
        <v>2</v>
      </c>
      <c r="BC67" s="50">
        <v>100</v>
      </c>
      <c r="BD67" s="49">
        <v>2</v>
      </c>
      <c r="BE67" s="49"/>
      <c r="BF67" s="49"/>
      <c r="BG67" s="49"/>
      <c r="BH67" s="49"/>
      <c r="BI67" s="49"/>
      <c r="BJ67" s="49"/>
      <c r="BK67" s="111" t="s">
        <v>2917</v>
      </c>
      <c r="BL67" s="111" t="s">
        <v>2917</v>
      </c>
      <c r="BM67" s="111" t="s">
        <v>2390</v>
      </c>
      <c r="BN67" s="111" t="s">
        <v>2390</v>
      </c>
      <c r="BO67" s="2"/>
      <c r="BP67" s="3"/>
      <c r="BQ67" s="3"/>
      <c r="BR67" s="3"/>
      <c r="BS67" s="3"/>
    </row>
    <row r="68" spans="1:71" ht="15">
      <c r="A68" s="65" t="s">
        <v>274</v>
      </c>
      <c r="B68" s="66"/>
      <c r="C68" s="66"/>
      <c r="D68" s="67">
        <v>291.66666666666663</v>
      </c>
      <c r="E68" s="69"/>
      <c r="F68" s="103" t="str">
        <f>HYPERLINK("https://yt3.ggpht.com/ytc/AAUvwniEUfTNz7YtjtQoHryrQUPm1W-GPt2WYtKu50efnA=s88-c-k-c0x00ffffff-no-rj")</f>
        <v>https://yt3.ggpht.com/ytc/AAUvwniEUfTNz7YtjtQoHryrQUPm1W-GPt2WYtKu50efnA=s88-c-k-c0x00ffffff-no-rj</v>
      </c>
      <c r="G68" s="66"/>
      <c r="H68" s="70" t="s">
        <v>1633</v>
      </c>
      <c r="I68" s="71"/>
      <c r="J68" s="71" t="s">
        <v>159</v>
      </c>
      <c r="K68" s="70" t="s">
        <v>1633</v>
      </c>
      <c r="L68" s="74">
        <v>96.21904761904761</v>
      </c>
      <c r="M68" s="75">
        <v>4878.044921875</v>
      </c>
      <c r="N68" s="75">
        <v>9055.7412109375</v>
      </c>
      <c r="O68" s="76"/>
      <c r="P68" s="77"/>
      <c r="Q68" s="77"/>
      <c r="R68" s="89"/>
      <c r="S68" s="49">
        <v>1</v>
      </c>
      <c r="T68" s="49">
        <v>1</v>
      </c>
      <c r="U68" s="50">
        <v>264</v>
      </c>
      <c r="V68" s="50">
        <v>0.000853</v>
      </c>
      <c r="W68" s="50">
        <v>0</v>
      </c>
      <c r="X68" s="50">
        <v>0.910006</v>
      </c>
      <c r="Y68" s="50">
        <v>0</v>
      </c>
      <c r="Z68" s="50">
        <v>0</v>
      </c>
      <c r="AA68" s="72">
        <v>68</v>
      </c>
      <c r="AB68" s="72"/>
      <c r="AC68" s="73"/>
      <c r="AD68" s="80" t="s">
        <v>1633</v>
      </c>
      <c r="AE68" s="80"/>
      <c r="AF68" s="80"/>
      <c r="AG68" s="80"/>
      <c r="AH68" s="80"/>
      <c r="AI68" s="80"/>
      <c r="AJ68" s="87">
        <v>41502.49548611111</v>
      </c>
      <c r="AK68" s="85" t="str">
        <f>HYPERLINK("https://yt3.ggpht.com/ytc/AAUvwniEUfTNz7YtjtQoHryrQUPm1W-GPt2WYtKu50efnA=s88-c-k-c0x00ffffff-no-rj")</f>
        <v>https://yt3.ggpht.com/ytc/AAUvwniEUfTNz7YtjtQoHryrQUPm1W-GPt2WYtKu50efnA=s88-c-k-c0x00ffffff-no-rj</v>
      </c>
      <c r="AL68" s="80">
        <v>0</v>
      </c>
      <c r="AM68" s="80">
        <v>0</v>
      </c>
      <c r="AN68" s="80">
        <v>1</v>
      </c>
      <c r="AO68" s="80" t="b">
        <v>0</v>
      </c>
      <c r="AP68" s="80">
        <v>0</v>
      </c>
      <c r="AQ68" s="80"/>
      <c r="AR68" s="80"/>
      <c r="AS68" s="80" t="s">
        <v>2664</v>
      </c>
      <c r="AT68" s="85" t="str">
        <f>HYPERLINK("https://www.youtube.com/channel/UCwxpRcCsoT-kG0kw9PQIetg")</f>
        <v>https://www.youtube.com/channel/UCwxpRcCsoT-kG0kw9PQIetg</v>
      </c>
      <c r="AU68" s="80" t="str">
        <f>REPLACE(INDEX(GroupVertices[Group],MATCH(Vertices[[#This Row],[Vertex]],GroupVertices[Vertex],0)),1,1,"")</f>
        <v>3</v>
      </c>
      <c r="AV68" s="49">
        <v>1</v>
      </c>
      <c r="AW68" s="50">
        <v>14.285714285714286</v>
      </c>
      <c r="AX68" s="49">
        <v>0</v>
      </c>
      <c r="AY68" s="50">
        <v>0</v>
      </c>
      <c r="AZ68" s="49">
        <v>0</v>
      </c>
      <c r="BA68" s="50">
        <v>0</v>
      </c>
      <c r="BB68" s="49">
        <v>6</v>
      </c>
      <c r="BC68" s="50">
        <v>85.71428571428571</v>
      </c>
      <c r="BD68" s="49">
        <v>7</v>
      </c>
      <c r="BE68" s="49"/>
      <c r="BF68" s="49"/>
      <c r="BG68" s="49"/>
      <c r="BH68" s="49"/>
      <c r="BI68" s="49"/>
      <c r="BJ68" s="49"/>
      <c r="BK68" s="111" t="s">
        <v>3713</v>
      </c>
      <c r="BL68" s="111" t="s">
        <v>3713</v>
      </c>
      <c r="BM68" s="111" t="s">
        <v>4188</v>
      </c>
      <c r="BN68" s="111" t="s">
        <v>4188</v>
      </c>
      <c r="BO68" s="2"/>
      <c r="BP68" s="3"/>
      <c r="BQ68" s="3"/>
      <c r="BR68" s="3"/>
      <c r="BS68" s="3"/>
    </row>
    <row r="69" spans="1:71" ht="15">
      <c r="A69" s="65" t="s">
        <v>275</v>
      </c>
      <c r="B69" s="66"/>
      <c r="C69" s="66"/>
      <c r="D69" s="67">
        <v>150</v>
      </c>
      <c r="E69" s="69"/>
      <c r="F69" s="103" t="str">
        <f>HYPERLINK("https://yt3.ggpht.com/ytc/AAUvwnjfUMvneXD2O_reZnvBxgttzSHgNEgP9KUm9w=s88-c-k-c0x00ffffff-no-rj")</f>
        <v>https://yt3.ggpht.com/ytc/AAUvwnjfUMvneXD2O_reZnvBxgttzSHgNEgP9KUm9w=s88-c-k-c0x00ffffff-no-rj</v>
      </c>
      <c r="G69" s="66"/>
      <c r="H69" s="70" t="s">
        <v>1634</v>
      </c>
      <c r="I69" s="71"/>
      <c r="J69" s="71" t="s">
        <v>159</v>
      </c>
      <c r="K69" s="70" t="s">
        <v>1634</v>
      </c>
      <c r="L69" s="74">
        <v>1</v>
      </c>
      <c r="M69" s="75">
        <v>4958.59130859375</v>
      </c>
      <c r="N69" s="75">
        <v>8645.720703125</v>
      </c>
      <c r="O69" s="76"/>
      <c r="P69" s="77"/>
      <c r="Q69" s="77"/>
      <c r="R69" s="89"/>
      <c r="S69" s="49">
        <v>0</v>
      </c>
      <c r="T69" s="49">
        <v>1</v>
      </c>
      <c r="U69" s="50">
        <v>0</v>
      </c>
      <c r="V69" s="50">
        <v>0.000852</v>
      </c>
      <c r="W69" s="50">
        <v>0</v>
      </c>
      <c r="X69" s="50">
        <v>0.517516</v>
      </c>
      <c r="Y69" s="50">
        <v>0</v>
      </c>
      <c r="Z69" s="50">
        <v>0</v>
      </c>
      <c r="AA69" s="72">
        <v>69</v>
      </c>
      <c r="AB69" s="72"/>
      <c r="AC69" s="73"/>
      <c r="AD69" s="80" t="s">
        <v>1634</v>
      </c>
      <c r="AE69" s="80" t="s">
        <v>2440</v>
      </c>
      <c r="AF69" s="80"/>
      <c r="AG69" s="80"/>
      <c r="AH69" s="80"/>
      <c r="AI69" s="80"/>
      <c r="AJ69" s="87">
        <v>43114.59688657407</v>
      </c>
      <c r="AK69" s="85" t="str">
        <f>HYPERLINK("https://yt3.ggpht.com/ytc/AAUvwnjfUMvneXD2O_reZnvBxgttzSHgNEgP9KUm9w=s88-c-k-c0x00ffffff-no-rj")</f>
        <v>https://yt3.ggpht.com/ytc/AAUvwnjfUMvneXD2O_reZnvBxgttzSHgNEgP9KUm9w=s88-c-k-c0x00ffffff-no-rj</v>
      </c>
      <c r="AL69" s="80">
        <v>0</v>
      </c>
      <c r="AM69" s="80">
        <v>0</v>
      </c>
      <c r="AN69" s="80">
        <v>7</v>
      </c>
      <c r="AO69" s="80" t="b">
        <v>0</v>
      </c>
      <c r="AP69" s="80">
        <v>0</v>
      </c>
      <c r="AQ69" s="80"/>
      <c r="AR69" s="80"/>
      <c r="AS69" s="80" t="s">
        <v>2664</v>
      </c>
      <c r="AT69" s="85" t="str">
        <f>HYPERLINK("https://www.youtube.com/channel/UC1puFizBB5Q0oC9N2w_gBgg")</f>
        <v>https://www.youtube.com/channel/UC1puFizBB5Q0oC9N2w_gBgg</v>
      </c>
      <c r="AU69" s="80" t="str">
        <f>REPLACE(INDEX(GroupVertices[Group],MATCH(Vertices[[#This Row],[Vertex]],GroupVertices[Vertex],0)),1,1,"")</f>
        <v>3</v>
      </c>
      <c r="AV69" s="49">
        <v>0</v>
      </c>
      <c r="AW69" s="50">
        <v>0</v>
      </c>
      <c r="AX69" s="49">
        <v>0</v>
      </c>
      <c r="AY69" s="50">
        <v>0</v>
      </c>
      <c r="AZ69" s="49">
        <v>0</v>
      </c>
      <c r="BA69" s="50">
        <v>0</v>
      </c>
      <c r="BB69" s="49">
        <v>6</v>
      </c>
      <c r="BC69" s="50">
        <v>100</v>
      </c>
      <c r="BD69" s="49">
        <v>6</v>
      </c>
      <c r="BE69" s="49"/>
      <c r="BF69" s="49"/>
      <c r="BG69" s="49"/>
      <c r="BH69" s="49"/>
      <c r="BI69" s="49"/>
      <c r="BJ69" s="49"/>
      <c r="BK69" s="111" t="s">
        <v>3714</v>
      </c>
      <c r="BL69" s="111" t="s">
        <v>3714</v>
      </c>
      <c r="BM69" s="111" t="s">
        <v>4189</v>
      </c>
      <c r="BN69" s="111" t="s">
        <v>4189</v>
      </c>
      <c r="BO69" s="2"/>
      <c r="BP69" s="3"/>
      <c r="BQ69" s="3"/>
      <c r="BR69" s="3"/>
      <c r="BS69" s="3"/>
    </row>
    <row r="70" spans="1:71" ht="15">
      <c r="A70" s="65" t="s">
        <v>276</v>
      </c>
      <c r="B70" s="66"/>
      <c r="C70" s="66"/>
      <c r="D70" s="67">
        <v>150</v>
      </c>
      <c r="E70" s="69"/>
      <c r="F70" s="103" t="str">
        <f>HYPERLINK("https://yt3.ggpht.com/ytc/AAUvwnhQw_GgZiIC_g7F-O0mK1OLmzG7Oe2aCTm1kmTb=s88-c-k-c0x00ffffff-no-rj")</f>
        <v>https://yt3.ggpht.com/ytc/AAUvwnhQw_GgZiIC_g7F-O0mK1OLmzG7Oe2aCTm1kmTb=s88-c-k-c0x00ffffff-no-rj</v>
      </c>
      <c r="G70" s="66"/>
      <c r="H70" s="70" t="s">
        <v>1635</v>
      </c>
      <c r="I70" s="71"/>
      <c r="J70" s="71" t="s">
        <v>159</v>
      </c>
      <c r="K70" s="70" t="s">
        <v>1635</v>
      </c>
      <c r="L70" s="74">
        <v>1</v>
      </c>
      <c r="M70" s="75">
        <v>3594.124267578125</v>
      </c>
      <c r="N70" s="75">
        <v>6791.89306640625</v>
      </c>
      <c r="O70" s="76"/>
      <c r="P70" s="77"/>
      <c r="Q70" s="77"/>
      <c r="R70" s="89"/>
      <c r="S70" s="49">
        <v>0</v>
      </c>
      <c r="T70" s="49">
        <v>1</v>
      </c>
      <c r="U70" s="50">
        <v>0</v>
      </c>
      <c r="V70" s="50">
        <v>0.000697</v>
      </c>
      <c r="W70" s="50">
        <v>0</v>
      </c>
      <c r="X70" s="50">
        <v>0.535125</v>
      </c>
      <c r="Y70" s="50">
        <v>0</v>
      </c>
      <c r="Z70" s="50">
        <v>0</v>
      </c>
      <c r="AA70" s="72">
        <v>70</v>
      </c>
      <c r="AB70" s="72"/>
      <c r="AC70" s="73"/>
      <c r="AD70" s="80" t="s">
        <v>1635</v>
      </c>
      <c r="AE70" s="80"/>
      <c r="AF70" s="80"/>
      <c r="AG70" s="80"/>
      <c r="AH70" s="80"/>
      <c r="AI70" s="80"/>
      <c r="AJ70" s="87">
        <v>43949.87207175926</v>
      </c>
      <c r="AK70" s="85" t="str">
        <f>HYPERLINK("https://yt3.ggpht.com/ytc/AAUvwnhQw_GgZiIC_g7F-O0mK1OLmzG7Oe2aCTm1kmTb=s88-c-k-c0x00ffffff-no-rj")</f>
        <v>https://yt3.ggpht.com/ytc/AAUvwnhQw_GgZiIC_g7F-O0mK1OLmzG7Oe2aCTm1kmTb=s88-c-k-c0x00ffffff-no-rj</v>
      </c>
      <c r="AL70" s="80">
        <v>57</v>
      </c>
      <c r="AM70" s="80">
        <v>0</v>
      </c>
      <c r="AN70" s="80">
        <v>2</v>
      </c>
      <c r="AO70" s="80" t="b">
        <v>0</v>
      </c>
      <c r="AP70" s="80">
        <v>2</v>
      </c>
      <c r="AQ70" s="80"/>
      <c r="AR70" s="80"/>
      <c r="AS70" s="80" t="s">
        <v>2664</v>
      </c>
      <c r="AT70" s="85" t="str">
        <f>HYPERLINK("https://www.youtube.com/channel/UCuORhab6yzFvslf7K4hf-JA")</f>
        <v>https://www.youtube.com/channel/UCuORhab6yzFvslf7K4hf-JA</v>
      </c>
      <c r="AU70" s="80" t="str">
        <f>REPLACE(INDEX(GroupVertices[Group],MATCH(Vertices[[#This Row],[Vertex]],GroupVertices[Vertex],0)),1,1,"")</f>
        <v>3</v>
      </c>
      <c r="AV70" s="49">
        <v>0</v>
      </c>
      <c r="AW70" s="50">
        <v>0</v>
      </c>
      <c r="AX70" s="49">
        <v>0</v>
      </c>
      <c r="AY70" s="50">
        <v>0</v>
      </c>
      <c r="AZ70" s="49">
        <v>0</v>
      </c>
      <c r="BA70" s="50">
        <v>0</v>
      </c>
      <c r="BB70" s="49">
        <v>1</v>
      </c>
      <c r="BC70" s="50">
        <v>100</v>
      </c>
      <c r="BD70" s="49">
        <v>1</v>
      </c>
      <c r="BE70" s="49"/>
      <c r="BF70" s="49"/>
      <c r="BG70" s="49"/>
      <c r="BH70" s="49"/>
      <c r="BI70" s="49"/>
      <c r="BJ70" s="49"/>
      <c r="BK70" s="111" t="s">
        <v>2390</v>
      </c>
      <c r="BL70" s="111" t="s">
        <v>2390</v>
      </c>
      <c r="BM70" s="111" t="s">
        <v>2390</v>
      </c>
      <c r="BN70" s="111" t="s">
        <v>2390</v>
      </c>
      <c r="BO70" s="2"/>
      <c r="BP70" s="3"/>
      <c r="BQ70" s="3"/>
      <c r="BR70" s="3"/>
      <c r="BS70" s="3"/>
    </row>
    <row r="71" spans="1:71" ht="15">
      <c r="A71" s="65" t="s">
        <v>278</v>
      </c>
      <c r="B71" s="66"/>
      <c r="C71" s="66"/>
      <c r="D71" s="67">
        <v>575</v>
      </c>
      <c r="E71" s="69"/>
      <c r="F71" s="103" t="str">
        <f>HYPERLINK("https://yt3.ggpht.com/ytc/AAUvwnhhV54RoJWVXRP6HHiivomJGLTCy2ykOnIl9Q=s88-c-k-c0x00ffffff-no-rj")</f>
        <v>https://yt3.ggpht.com/ytc/AAUvwnhhV54RoJWVXRP6HHiivomJGLTCy2ykOnIl9Q=s88-c-k-c0x00ffffff-no-rj</v>
      </c>
      <c r="G71" s="66"/>
      <c r="H71" s="70" t="s">
        <v>1637</v>
      </c>
      <c r="I71" s="71"/>
      <c r="J71" s="71" t="s">
        <v>75</v>
      </c>
      <c r="K71" s="70" t="s">
        <v>1637</v>
      </c>
      <c r="L71" s="74">
        <v>286.65714285714284</v>
      </c>
      <c r="M71" s="75">
        <v>4268.2919921875</v>
      </c>
      <c r="N71" s="75">
        <v>7253.224609375</v>
      </c>
      <c r="O71" s="76"/>
      <c r="P71" s="77"/>
      <c r="Q71" s="77"/>
      <c r="R71" s="89"/>
      <c r="S71" s="49">
        <v>3</v>
      </c>
      <c r="T71" s="49">
        <v>2</v>
      </c>
      <c r="U71" s="50">
        <v>1058</v>
      </c>
      <c r="V71" s="50">
        <v>0.000855</v>
      </c>
      <c r="W71" s="50">
        <v>0</v>
      </c>
      <c r="X71" s="50">
        <v>1.812354</v>
      </c>
      <c r="Y71" s="50">
        <v>0</v>
      </c>
      <c r="Z71" s="50">
        <v>0</v>
      </c>
      <c r="AA71" s="72">
        <v>71</v>
      </c>
      <c r="AB71" s="72"/>
      <c r="AC71" s="73"/>
      <c r="AD71" s="80" t="s">
        <v>1637</v>
      </c>
      <c r="AE71" s="80"/>
      <c r="AF71" s="80"/>
      <c r="AG71" s="80"/>
      <c r="AH71" s="80"/>
      <c r="AI71" s="80"/>
      <c r="AJ71" s="87">
        <v>43301.224027777775</v>
      </c>
      <c r="AK71" s="85" t="str">
        <f>HYPERLINK("https://yt3.ggpht.com/ytc/AAUvwnhhV54RoJWVXRP6HHiivomJGLTCy2ykOnIl9Q=s88-c-k-c0x00ffffff-no-rj")</f>
        <v>https://yt3.ggpht.com/ytc/AAUvwnhhV54RoJWVXRP6HHiivomJGLTCy2ykOnIl9Q=s88-c-k-c0x00ffffff-no-rj</v>
      </c>
      <c r="AL71" s="80">
        <v>0</v>
      </c>
      <c r="AM71" s="80">
        <v>0</v>
      </c>
      <c r="AN71" s="80">
        <v>0</v>
      </c>
      <c r="AO71" s="80" t="b">
        <v>0</v>
      </c>
      <c r="AP71" s="80">
        <v>0</v>
      </c>
      <c r="AQ71" s="80"/>
      <c r="AR71" s="80"/>
      <c r="AS71" s="80" t="s">
        <v>2664</v>
      </c>
      <c r="AT71" s="85" t="str">
        <f>HYPERLINK("https://www.youtube.com/channel/UC2n-crjvBxftpzxRnMeX3aQ")</f>
        <v>https://www.youtube.com/channel/UC2n-crjvBxftpzxRnMeX3aQ</v>
      </c>
      <c r="AU71" s="80" t="str">
        <f>REPLACE(INDEX(GroupVertices[Group],MATCH(Vertices[[#This Row],[Vertex]],GroupVertices[Vertex],0)),1,1,"")</f>
        <v>3</v>
      </c>
      <c r="AV71" s="49">
        <v>0</v>
      </c>
      <c r="AW71" s="50">
        <v>0</v>
      </c>
      <c r="AX71" s="49">
        <v>0</v>
      </c>
      <c r="AY71" s="50">
        <v>0</v>
      </c>
      <c r="AZ71" s="49">
        <v>0</v>
      </c>
      <c r="BA71" s="50">
        <v>0</v>
      </c>
      <c r="BB71" s="49">
        <v>44</v>
      </c>
      <c r="BC71" s="50">
        <v>100</v>
      </c>
      <c r="BD71" s="49">
        <v>44</v>
      </c>
      <c r="BE71" s="49" t="s">
        <v>3658</v>
      </c>
      <c r="BF71" s="49" t="s">
        <v>3658</v>
      </c>
      <c r="BG71" s="49" t="s">
        <v>2379</v>
      </c>
      <c r="BH71" s="49" t="s">
        <v>2379</v>
      </c>
      <c r="BI71" s="49"/>
      <c r="BJ71" s="49"/>
      <c r="BK71" s="111" t="s">
        <v>3715</v>
      </c>
      <c r="BL71" s="111" t="s">
        <v>4120</v>
      </c>
      <c r="BM71" s="111" t="s">
        <v>4190</v>
      </c>
      <c r="BN71" s="111" t="s">
        <v>4190</v>
      </c>
      <c r="BO71" s="2"/>
      <c r="BP71" s="3"/>
      <c r="BQ71" s="3"/>
      <c r="BR71" s="3"/>
      <c r="BS71" s="3"/>
    </row>
    <row r="72" spans="1:71" ht="15">
      <c r="A72" s="65" t="s">
        <v>277</v>
      </c>
      <c r="B72" s="66"/>
      <c r="C72" s="66"/>
      <c r="D72" s="67">
        <v>150</v>
      </c>
      <c r="E72" s="69"/>
      <c r="F72" s="103" t="str">
        <f>HYPERLINK("https://yt3.ggpht.com/ytc/AAUvwniglt08TdDCdY3gvvbpjMDAzhuJt6R3DP9KWv8U=s88-c-k-c0x00ffffff-no-rj")</f>
        <v>https://yt3.ggpht.com/ytc/AAUvwniglt08TdDCdY3gvvbpjMDAzhuJt6R3DP9KWv8U=s88-c-k-c0x00ffffff-no-rj</v>
      </c>
      <c r="G72" s="66"/>
      <c r="H72" s="70" t="s">
        <v>1636</v>
      </c>
      <c r="I72" s="71"/>
      <c r="J72" s="71" t="s">
        <v>159</v>
      </c>
      <c r="K72" s="70" t="s">
        <v>1636</v>
      </c>
      <c r="L72" s="74">
        <v>1</v>
      </c>
      <c r="M72" s="75">
        <v>4231.2978515625</v>
      </c>
      <c r="N72" s="75">
        <v>6487.79052734375</v>
      </c>
      <c r="O72" s="76"/>
      <c r="P72" s="77"/>
      <c r="Q72" s="77"/>
      <c r="R72" s="89"/>
      <c r="S72" s="49">
        <v>0</v>
      </c>
      <c r="T72" s="49">
        <v>1</v>
      </c>
      <c r="U72" s="50">
        <v>0</v>
      </c>
      <c r="V72" s="50">
        <v>0.000697</v>
      </c>
      <c r="W72" s="50">
        <v>0</v>
      </c>
      <c r="X72" s="50">
        <v>0.535125</v>
      </c>
      <c r="Y72" s="50">
        <v>0</v>
      </c>
      <c r="Z72" s="50">
        <v>0</v>
      </c>
      <c r="AA72" s="72">
        <v>72</v>
      </c>
      <c r="AB72" s="72"/>
      <c r="AC72" s="73"/>
      <c r="AD72" s="80" t="s">
        <v>1636</v>
      </c>
      <c r="AE72" s="80" t="s">
        <v>2441</v>
      </c>
      <c r="AF72" s="80"/>
      <c r="AG72" s="80"/>
      <c r="AH72" s="80"/>
      <c r="AI72" s="80"/>
      <c r="AJ72" s="87">
        <v>43101.7840162037</v>
      </c>
      <c r="AK72" s="85" t="str">
        <f>HYPERLINK("https://yt3.ggpht.com/ytc/AAUvwniglt08TdDCdY3gvvbpjMDAzhuJt6R3DP9KWv8U=s88-c-k-c0x00ffffff-no-rj")</f>
        <v>https://yt3.ggpht.com/ytc/AAUvwniglt08TdDCdY3gvvbpjMDAzhuJt6R3DP9KWv8U=s88-c-k-c0x00ffffff-no-rj</v>
      </c>
      <c r="AL72" s="80">
        <v>47</v>
      </c>
      <c r="AM72" s="80">
        <v>0</v>
      </c>
      <c r="AN72" s="80">
        <v>7</v>
      </c>
      <c r="AO72" s="80" t="b">
        <v>0</v>
      </c>
      <c r="AP72" s="80">
        <v>5</v>
      </c>
      <c r="AQ72" s="80"/>
      <c r="AR72" s="80"/>
      <c r="AS72" s="80" t="s">
        <v>2664</v>
      </c>
      <c r="AT72" s="85" t="str">
        <f>HYPERLINK("https://www.youtube.com/channel/UCTVBReUiRCcbH515R0A3H5g")</f>
        <v>https://www.youtube.com/channel/UCTVBReUiRCcbH515R0A3H5g</v>
      </c>
      <c r="AU72" s="80" t="str">
        <f>REPLACE(INDEX(GroupVertices[Group],MATCH(Vertices[[#This Row],[Vertex]],GroupVertices[Vertex],0)),1,1,"")</f>
        <v>3</v>
      </c>
      <c r="AV72" s="49">
        <v>0</v>
      </c>
      <c r="AW72" s="50">
        <v>0</v>
      </c>
      <c r="AX72" s="49">
        <v>0</v>
      </c>
      <c r="AY72" s="50">
        <v>0</v>
      </c>
      <c r="AZ72" s="49">
        <v>0</v>
      </c>
      <c r="BA72" s="50">
        <v>0</v>
      </c>
      <c r="BB72" s="49">
        <v>1</v>
      </c>
      <c r="BC72" s="50">
        <v>100</v>
      </c>
      <c r="BD72" s="49">
        <v>1</v>
      </c>
      <c r="BE72" s="49"/>
      <c r="BF72" s="49"/>
      <c r="BG72" s="49"/>
      <c r="BH72" s="49"/>
      <c r="BI72" s="49"/>
      <c r="BJ72" s="49"/>
      <c r="BK72" s="111" t="s">
        <v>3716</v>
      </c>
      <c r="BL72" s="111" t="s">
        <v>3716</v>
      </c>
      <c r="BM72" s="111" t="s">
        <v>2390</v>
      </c>
      <c r="BN72" s="111" t="s">
        <v>2390</v>
      </c>
      <c r="BO72" s="2"/>
      <c r="BP72" s="3"/>
      <c r="BQ72" s="3"/>
      <c r="BR72" s="3"/>
      <c r="BS72" s="3"/>
    </row>
    <row r="73" spans="1:71" ht="15">
      <c r="A73" s="65" t="s">
        <v>279</v>
      </c>
      <c r="B73" s="66"/>
      <c r="C73" s="66"/>
      <c r="D73" s="67">
        <v>150</v>
      </c>
      <c r="E73" s="69"/>
      <c r="F73" s="103" t="str">
        <f>HYPERLINK("https://yt3.ggpht.com/ytc/AAUvwnjim2skGjYDMvONPPQb8nhF_rCOta7OFZeveKzB4w=s88-c-k-c0x00ffffff-no-rj")</f>
        <v>https://yt3.ggpht.com/ytc/AAUvwnjim2skGjYDMvONPPQb8nhF_rCOta7OFZeveKzB4w=s88-c-k-c0x00ffffff-no-rj</v>
      </c>
      <c r="G73" s="66"/>
      <c r="H73" s="70" t="s">
        <v>1638</v>
      </c>
      <c r="I73" s="71"/>
      <c r="J73" s="71" t="s">
        <v>159</v>
      </c>
      <c r="K73" s="70" t="s">
        <v>1638</v>
      </c>
      <c r="L73" s="74">
        <v>1</v>
      </c>
      <c r="M73" s="75">
        <v>3745.181640625</v>
      </c>
      <c r="N73" s="75">
        <v>8428.1435546875</v>
      </c>
      <c r="O73" s="76"/>
      <c r="P73" s="77"/>
      <c r="Q73" s="77"/>
      <c r="R73" s="89"/>
      <c r="S73" s="49">
        <v>0</v>
      </c>
      <c r="T73" s="49">
        <v>1</v>
      </c>
      <c r="U73" s="50">
        <v>0</v>
      </c>
      <c r="V73" s="50">
        <v>0.000852</v>
      </c>
      <c r="W73" s="50">
        <v>0</v>
      </c>
      <c r="X73" s="50">
        <v>0.517516</v>
      </c>
      <c r="Y73" s="50">
        <v>0</v>
      </c>
      <c r="Z73" s="50">
        <v>0</v>
      </c>
      <c r="AA73" s="72">
        <v>73</v>
      </c>
      <c r="AB73" s="72"/>
      <c r="AC73" s="73"/>
      <c r="AD73" s="80" t="s">
        <v>1638</v>
      </c>
      <c r="AE73" s="80"/>
      <c r="AF73" s="80"/>
      <c r="AG73" s="80"/>
      <c r="AH73" s="80"/>
      <c r="AI73" s="80"/>
      <c r="AJ73" s="87">
        <v>43440.6628125</v>
      </c>
      <c r="AK73" s="85" t="str">
        <f>HYPERLINK("https://yt3.ggpht.com/ytc/AAUvwnjim2skGjYDMvONPPQb8nhF_rCOta7OFZeveKzB4w=s88-c-k-c0x00ffffff-no-rj")</f>
        <v>https://yt3.ggpht.com/ytc/AAUvwnjim2skGjYDMvONPPQb8nhF_rCOta7OFZeveKzB4w=s88-c-k-c0x00ffffff-no-rj</v>
      </c>
      <c r="AL73" s="80">
        <v>294</v>
      </c>
      <c r="AM73" s="80">
        <v>0</v>
      </c>
      <c r="AN73" s="80">
        <v>13</v>
      </c>
      <c r="AO73" s="80" t="b">
        <v>0</v>
      </c>
      <c r="AP73" s="80">
        <v>8</v>
      </c>
      <c r="AQ73" s="80"/>
      <c r="AR73" s="80"/>
      <c r="AS73" s="80" t="s">
        <v>2664</v>
      </c>
      <c r="AT73" s="85" t="str">
        <f>HYPERLINK("https://www.youtube.com/channel/UCnTRh4faSwpb4I1Ll1-0bxQ")</f>
        <v>https://www.youtube.com/channel/UCnTRh4faSwpb4I1Ll1-0bxQ</v>
      </c>
      <c r="AU73" s="80" t="str">
        <f>REPLACE(INDEX(GroupVertices[Group],MATCH(Vertices[[#This Row],[Vertex]],GroupVertices[Vertex],0)),1,1,"")</f>
        <v>3</v>
      </c>
      <c r="AV73" s="49">
        <v>1</v>
      </c>
      <c r="AW73" s="50">
        <v>3.8461538461538463</v>
      </c>
      <c r="AX73" s="49">
        <v>1</v>
      </c>
      <c r="AY73" s="50">
        <v>3.8461538461538463</v>
      </c>
      <c r="AZ73" s="49">
        <v>0</v>
      </c>
      <c r="BA73" s="50">
        <v>0</v>
      </c>
      <c r="BB73" s="49">
        <v>24</v>
      </c>
      <c r="BC73" s="50">
        <v>92.3076923076923</v>
      </c>
      <c r="BD73" s="49">
        <v>26</v>
      </c>
      <c r="BE73" s="49" t="s">
        <v>3443</v>
      </c>
      <c r="BF73" s="49" t="s">
        <v>3443</v>
      </c>
      <c r="BG73" s="49" t="s">
        <v>2380</v>
      </c>
      <c r="BH73" s="49" t="s">
        <v>2380</v>
      </c>
      <c r="BI73" s="49"/>
      <c r="BJ73" s="49"/>
      <c r="BK73" s="111" t="s">
        <v>3717</v>
      </c>
      <c r="BL73" s="111" t="s">
        <v>3717</v>
      </c>
      <c r="BM73" s="111" t="s">
        <v>4191</v>
      </c>
      <c r="BN73" s="111" t="s">
        <v>4191</v>
      </c>
      <c r="BO73" s="2"/>
      <c r="BP73" s="3"/>
      <c r="BQ73" s="3"/>
      <c r="BR73" s="3"/>
      <c r="BS73" s="3"/>
    </row>
    <row r="74" spans="1:71" ht="15">
      <c r="A74" s="65" t="s">
        <v>280</v>
      </c>
      <c r="B74" s="66"/>
      <c r="C74" s="66"/>
      <c r="D74" s="67">
        <v>150</v>
      </c>
      <c r="E74" s="69"/>
      <c r="F74" s="103" t="str">
        <f>HYPERLINK("https://yt3.ggpht.com/ytc/AAUvwnjx78pgUtzNB2YgEnqyrehUJJhzB2UefR5ZFpM3jw=s88-c-k-c0x00ffffff-no-rj")</f>
        <v>https://yt3.ggpht.com/ytc/AAUvwnjx78pgUtzNB2YgEnqyrehUJJhzB2UefR5ZFpM3jw=s88-c-k-c0x00ffffff-no-rj</v>
      </c>
      <c r="G74" s="66"/>
      <c r="H74" s="70" t="s">
        <v>1639</v>
      </c>
      <c r="I74" s="71"/>
      <c r="J74" s="71" t="s">
        <v>159</v>
      </c>
      <c r="K74" s="70" t="s">
        <v>1639</v>
      </c>
      <c r="L74" s="74">
        <v>1</v>
      </c>
      <c r="M74" s="75">
        <v>3832.3134765625</v>
      </c>
      <c r="N74" s="75">
        <v>9659.4794921875</v>
      </c>
      <c r="O74" s="76"/>
      <c r="P74" s="77"/>
      <c r="Q74" s="77"/>
      <c r="R74" s="89"/>
      <c r="S74" s="49">
        <v>0</v>
      </c>
      <c r="T74" s="49">
        <v>2</v>
      </c>
      <c r="U74" s="50">
        <v>1</v>
      </c>
      <c r="V74" s="50">
        <v>0.000697</v>
      </c>
      <c r="W74" s="50">
        <v>0</v>
      </c>
      <c r="X74" s="50">
        <v>0.923505</v>
      </c>
      <c r="Y74" s="50">
        <v>0</v>
      </c>
      <c r="Z74" s="50">
        <v>0</v>
      </c>
      <c r="AA74" s="72">
        <v>74</v>
      </c>
      <c r="AB74" s="72"/>
      <c r="AC74" s="73"/>
      <c r="AD74" s="80" t="s">
        <v>1639</v>
      </c>
      <c r="AE74" s="80"/>
      <c r="AF74" s="80"/>
      <c r="AG74" s="80"/>
      <c r="AH74" s="80"/>
      <c r="AI74" s="80"/>
      <c r="AJ74" s="87">
        <v>42636.50378472222</v>
      </c>
      <c r="AK74" s="85" t="str">
        <f>HYPERLINK("https://yt3.ggpht.com/ytc/AAUvwnjx78pgUtzNB2YgEnqyrehUJJhzB2UefR5ZFpM3jw=s88-c-k-c0x00ffffff-no-rj")</f>
        <v>https://yt3.ggpht.com/ytc/AAUvwnjx78pgUtzNB2YgEnqyrehUJJhzB2UefR5ZFpM3jw=s88-c-k-c0x00ffffff-no-rj</v>
      </c>
      <c r="AL74" s="80">
        <v>93</v>
      </c>
      <c r="AM74" s="80">
        <v>0</v>
      </c>
      <c r="AN74" s="80">
        <v>3</v>
      </c>
      <c r="AO74" s="80" t="b">
        <v>0</v>
      </c>
      <c r="AP74" s="80">
        <v>5</v>
      </c>
      <c r="AQ74" s="80"/>
      <c r="AR74" s="80"/>
      <c r="AS74" s="80" t="s">
        <v>2664</v>
      </c>
      <c r="AT74" s="85" t="str">
        <f>HYPERLINK("https://www.youtube.com/channel/UCOhfuwekGSzur00a544CcKQ")</f>
        <v>https://www.youtube.com/channel/UCOhfuwekGSzur00a544CcKQ</v>
      </c>
      <c r="AU74" s="80" t="str">
        <f>REPLACE(INDEX(GroupVertices[Group],MATCH(Vertices[[#This Row],[Vertex]],GroupVertices[Vertex],0)),1,1,"")</f>
        <v>3</v>
      </c>
      <c r="AV74" s="49">
        <v>0</v>
      </c>
      <c r="AW74" s="50">
        <v>0</v>
      </c>
      <c r="AX74" s="49">
        <v>0</v>
      </c>
      <c r="AY74" s="50">
        <v>0</v>
      </c>
      <c r="AZ74" s="49">
        <v>0</v>
      </c>
      <c r="BA74" s="50">
        <v>0</v>
      </c>
      <c r="BB74" s="49">
        <v>8</v>
      </c>
      <c r="BC74" s="50">
        <v>100</v>
      </c>
      <c r="BD74" s="49">
        <v>8</v>
      </c>
      <c r="BE74" s="49"/>
      <c r="BF74" s="49"/>
      <c r="BG74" s="49"/>
      <c r="BH74" s="49"/>
      <c r="BI74" s="49"/>
      <c r="BJ74" s="49"/>
      <c r="BK74" s="111" t="s">
        <v>3718</v>
      </c>
      <c r="BL74" s="111" t="s">
        <v>3718</v>
      </c>
      <c r="BM74" s="111" t="s">
        <v>4192</v>
      </c>
      <c r="BN74" s="111" t="s">
        <v>4192</v>
      </c>
      <c r="BO74" s="2"/>
      <c r="BP74" s="3"/>
      <c r="BQ74" s="3"/>
      <c r="BR74" s="3"/>
      <c r="BS74" s="3"/>
    </row>
    <row r="75" spans="1:71" ht="15">
      <c r="A75" s="65" t="s">
        <v>281</v>
      </c>
      <c r="B75" s="66"/>
      <c r="C75" s="66"/>
      <c r="D75" s="67">
        <v>291.66666666666663</v>
      </c>
      <c r="E75" s="69"/>
      <c r="F75" s="103" t="str">
        <f>HYPERLINK("https://yt3.ggpht.com/1w4FpJhYFSCjLBL75Kk98k-y-IusIToVyRNXbyrCPbSRezE8aVcnU4CzrGydUofsZoICqU65Lpc=s88-c-k-c0x00ffffff-no-rj")</f>
        <v>https://yt3.ggpht.com/1w4FpJhYFSCjLBL75Kk98k-y-IusIToVyRNXbyrCPbSRezE8aVcnU4CzrGydUofsZoICqU65Lpc=s88-c-k-c0x00ffffff-no-rj</v>
      </c>
      <c r="G75" s="66"/>
      <c r="H75" s="70" t="s">
        <v>1640</v>
      </c>
      <c r="I75" s="71"/>
      <c r="J75" s="71" t="s">
        <v>159</v>
      </c>
      <c r="K75" s="70" t="s">
        <v>1640</v>
      </c>
      <c r="L75" s="74">
        <v>96.21904761904761</v>
      </c>
      <c r="M75" s="75">
        <v>4278.96923828125</v>
      </c>
      <c r="N75" s="75">
        <v>8991.62890625</v>
      </c>
      <c r="O75" s="76"/>
      <c r="P75" s="77"/>
      <c r="Q75" s="77"/>
      <c r="R75" s="89"/>
      <c r="S75" s="49">
        <v>1</v>
      </c>
      <c r="T75" s="49">
        <v>1</v>
      </c>
      <c r="U75" s="50">
        <v>264</v>
      </c>
      <c r="V75" s="50">
        <v>0.000853</v>
      </c>
      <c r="W75" s="50">
        <v>0</v>
      </c>
      <c r="X75" s="50">
        <v>0.910006</v>
      </c>
      <c r="Y75" s="50">
        <v>0</v>
      </c>
      <c r="Z75" s="50">
        <v>0</v>
      </c>
      <c r="AA75" s="72">
        <v>75</v>
      </c>
      <c r="AB75" s="72"/>
      <c r="AC75" s="73"/>
      <c r="AD75" s="80" t="s">
        <v>1640</v>
      </c>
      <c r="AE75" s="80" t="s">
        <v>2442</v>
      </c>
      <c r="AF75" s="80"/>
      <c r="AG75" s="80"/>
      <c r="AH75" s="80"/>
      <c r="AI75" s="80"/>
      <c r="AJ75" s="87">
        <v>43444.83940972222</v>
      </c>
      <c r="AK75" s="85" t="str">
        <f>HYPERLINK("https://yt3.ggpht.com/1w4FpJhYFSCjLBL75Kk98k-y-IusIToVyRNXbyrCPbSRezE8aVcnU4CzrGydUofsZoICqU65Lpc=s88-c-k-c0x00ffffff-no-rj")</f>
        <v>https://yt3.ggpht.com/1w4FpJhYFSCjLBL75Kk98k-y-IusIToVyRNXbyrCPbSRezE8aVcnU4CzrGydUofsZoICqU65Lpc=s88-c-k-c0x00ffffff-no-rj</v>
      </c>
      <c r="AL75" s="80">
        <v>514117</v>
      </c>
      <c r="AM75" s="80">
        <v>0</v>
      </c>
      <c r="AN75" s="80">
        <v>6440</v>
      </c>
      <c r="AO75" s="80" t="b">
        <v>0</v>
      </c>
      <c r="AP75" s="80">
        <v>28</v>
      </c>
      <c r="AQ75" s="80"/>
      <c r="AR75" s="80"/>
      <c r="AS75" s="80" t="s">
        <v>2664</v>
      </c>
      <c r="AT75" s="85" t="str">
        <f>HYPERLINK("https://www.youtube.com/channel/UC5E4J1Vfn-v9KQDKVi4yp2g")</f>
        <v>https://www.youtube.com/channel/UC5E4J1Vfn-v9KQDKVi4yp2g</v>
      </c>
      <c r="AU75" s="80" t="str">
        <f>REPLACE(INDEX(GroupVertices[Group],MATCH(Vertices[[#This Row],[Vertex]],GroupVertices[Vertex],0)),1,1,"")</f>
        <v>3</v>
      </c>
      <c r="AV75" s="49">
        <v>0</v>
      </c>
      <c r="AW75" s="50">
        <v>0</v>
      </c>
      <c r="AX75" s="49">
        <v>0</v>
      </c>
      <c r="AY75" s="50">
        <v>0</v>
      </c>
      <c r="AZ75" s="49">
        <v>0</v>
      </c>
      <c r="BA75" s="50">
        <v>0</v>
      </c>
      <c r="BB75" s="49">
        <v>13</v>
      </c>
      <c r="BC75" s="50">
        <v>100</v>
      </c>
      <c r="BD75" s="49">
        <v>13</v>
      </c>
      <c r="BE75" s="49"/>
      <c r="BF75" s="49"/>
      <c r="BG75" s="49"/>
      <c r="BH75" s="49"/>
      <c r="BI75" s="49"/>
      <c r="BJ75" s="49"/>
      <c r="BK75" s="111" t="s">
        <v>3719</v>
      </c>
      <c r="BL75" s="111" t="s">
        <v>3719</v>
      </c>
      <c r="BM75" s="111" t="s">
        <v>4193</v>
      </c>
      <c r="BN75" s="111" t="s">
        <v>4193</v>
      </c>
      <c r="BO75" s="2"/>
      <c r="BP75" s="3"/>
      <c r="BQ75" s="3"/>
      <c r="BR75" s="3"/>
      <c r="BS75" s="3"/>
    </row>
    <row r="76" spans="1:71" ht="15">
      <c r="A76" s="65" t="s">
        <v>282</v>
      </c>
      <c r="B76" s="66"/>
      <c r="C76" s="66"/>
      <c r="D76" s="67">
        <v>291.66666666666663</v>
      </c>
      <c r="E76" s="69"/>
      <c r="F76" s="103" t="str">
        <f>HYPERLINK("https://yt3.ggpht.com/ytc/AAUvwnjEILO3nI2HeXu0QngxdLOEngBW7-58LRSDKtA4KA=s88-c-k-c0x00ffffff-no-rj")</f>
        <v>https://yt3.ggpht.com/ytc/AAUvwnjEILO3nI2HeXu0QngxdLOEngBW7-58LRSDKtA4KA=s88-c-k-c0x00ffffff-no-rj</v>
      </c>
      <c r="G76" s="66"/>
      <c r="H76" s="70" t="s">
        <v>1641</v>
      </c>
      <c r="I76" s="71"/>
      <c r="J76" s="71" t="s">
        <v>159</v>
      </c>
      <c r="K76" s="70" t="s">
        <v>1641</v>
      </c>
      <c r="L76" s="74">
        <v>96.21904761904761</v>
      </c>
      <c r="M76" s="75">
        <v>4693.23291015625</v>
      </c>
      <c r="N76" s="75">
        <v>9065.861328125</v>
      </c>
      <c r="O76" s="76"/>
      <c r="P76" s="77"/>
      <c r="Q76" s="77"/>
      <c r="R76" s="89"/>
      <c r="S76" s="49">
        <v>1</v>
      </c>
      <c r="T76" s="49">
        <v>1</v>
      </c>
      <c r="U76" s="50">
        <v>264</v>
      </c>
      <c r="V76" s="50">
        <v>0.000853</v>
      </c>
      <c r="W76" s="50">
        <v>0</v>
      </c>
      <c r="X76" s="50">
        <v>0.910006</v>
      </c>
      <c r="Y76" s="50">
        <v>0</v>
      </c>
      <c r="Z76" s="50">
        <v>0</v>
      </c>
      <c r="AA76" s="72">
        <v>76</v>
      </c>
      <c r="AB76" s="72"/>
      <c r="AC76" s="73"/>
      <c r="AD76" s="80" t="s">
        <v>1641</v>
      </c>
      <c r="AE76" s="80"/>
      <c r="AF76" s="80"/>
      <c r="AG76" s="80"/>
      <c r="AH76" s="80"/>
      <c r="AI76" s="80"/>
      <c r="AJ76" s="87">
        <v>42821.05297453704</v>
      </c>
      <c r="AK76" s="85" t="str">
        <f>HYPERLINK("https://yt3.ggpht.com/ytc/AAUvwnjEILO3nI2HeXu0QngxdLOEngBW7-58LRSDKtA4KA=s88-c-k-c0x00ffffff-no-rj")</f>
        <v>https://yt3.ggpht.com/ytc/AAUvwnjEILO3nI2HeXu0QngxdLOEngBW7-58LRSDKtA4KA=s88-c-k-c0x00ffffff-no-rj</v>
      </c>
      <c r="AL76" s="80">
        <v>0</v>
      </c>
      <c r="AM76" s="80">
        <v>0</v>
      </c>
      <c r="AN76" s="80">
        <v>0</v>
      </c>
      <c r="AO76" s="80" t="b">
        <v>0</v>
      </c>
      <c r="AP76" s="80">
        <v>0</v>
      </c>
      <c r="AQ76" s="80"/>
      <c r="AR76" s="80"/>
      <c r="AS76" s="80" t="s">
        <v>2664</v>
      </c>
      <c r="AT76" s="85" t="str">
        <f>HYPERLINK("https://www.youtube.com/channel/UCkJH3uTlOycsfIcz2s3PMEg")</f>
        <v>https://www.youtube.com/channel/UCkJH3uTlOycsfIcz2s3PMEg</v>
      </c>
      <c r="AU76" s="80" t="str">
        <f>REPLACE(INDEX(GroupVertices[Group],MATCH(Vertices[[#This Row],[Vertex]],GroupVertices[Vertex],0)),1,1,"")</f>
        <v>3</v>
      </c>
      <c r="AV76" s="49">
        <v>1</v>
      </c>
      <c r="AW76" s="50">
        <v>11.11111111111111</v>
      </c>
      <c r="AX76" s="49">
        <v>0</v>
      </c>
      <c r="AY76" s="50">
        <v>0</v>
      </c>
      <c r="AZ76" s="49">
        <v>0</v>
      </c>
      <c r="BA76" s="50">
        <v>0</v>
      </c>
      <c r="BB76" s="49">
        <v>8</v>
      </c>
      <c r="BC76" s="50">
        <v>88.88888888888889</v>
      </c>
      <c r="BD76" s="49">
        <v>9</v>
      </c>
      <c r="BE76" s="49"/>
      <c r="BF76" s="49"/>
      <c r="BG76" s="49"/>
      <c r="BH76" s="49"/>
      <c r="BI76" s="49"/>
      <c r="BJ76" s="49"/>
      <c r="BK76" s="111" t="s">
        <v>3720</v>
      </c>
      <c r="BL76" s="111" t="s">
        <v>3720</v>
      </c>
      <c r="BM76" s="111" t="s">
        <v>4194</v>
      </c>
      <c r="BN76" s="111" t="s">
        <v>4194</v>
      </c>
      <c r="BO76" s="2"/>
      <c r="BP76" s="3"/>
      <c r="BQ76" s="3"/>
      <c r="BR76" s="3"/>
      <c r="BS76" s="3"/>
    </row>
    <row r="77" spans="1:71" ht="15">
      <c r="A77" s="65" t="s">
        <v>283</v>
      </c>
      <c r="B77" s="66"/>
      <c r="C77" s="66"/>
      <c r="D77" s="67">
        <v>150</v>
      </c>
      <c r="E77" s="69"/>
      <c r="F77" s="103" t="str">
        <f>HYPERLINK("https://yt3.ggpht.com/ytc/AAUvwnj2or_cvhWu21D3rW5uDf0WrYFPHrm_pP8Grw=s88-c-k-c0x00ffffff-no-rj")</f>
        <v>https://yt3.ggpht.com/ytc/AAUvwnj2or_cvhWu21D3rW5uDf0WrYFPHrm_pP8Grw=s88-c-k-c0x00ffffff-no-rj</v>
      </c>
      <c r="G77" s="66"/>
      <c r="H77" s="70" t="s">
        <v>1642</v>
      </c>
      <c r="I77" s="71"/>
      <c r="J77" s="71" t="s">
        <v>159</v>
      </c>
      <c r="K77" s="70" t="s">
        <v>1642</v>
      </c>
      <c r="L77" s="74">
        <v>1</v>
      </c>
      <c r="M77" s="75">
        <v>5105.97021484375</v>
      </c>
      <c r="N77" s="75">
        <v>8926.6123046875</v>
      </c>
      <c r="O77" s="76"/>
      <c r="P77" s="77"/>
      <c r="Q77" s="77"/>
      <c r="R77" s="89"/>
      <c r="S77" s="49">
        <v>0</v>
      </c>
      <c r="T77" s="49">
        <v>1</v>
      </c>
      <c r="U77" s="50">
        <v>0</v>
      </c>
      <c r="V77" s="50">
        <v>0.000852</v>
      </c>
      <c r="W77" s="50">
        <v>0</v>
      </c>
      <c r="X77" s="50">
        <v>0.517516</v>
      </c>
      <c r="Y77" s="50">
        <v>0</v>
      </c>
      <c r="Z77" s="50">
        <v>0</v>
      </c>
      <c r="AA77" s="72">
        <v>77</v>
      </c>
      <c r="AB77" s="72"/>
      <c r="AC77" s="73"/>
      <c r="AD77" s="80" t="s">
        <v>1642</v>
      </c>
      <c r="AE77" s="80"/>
      <c r="AF77" s="80"/>
      <c r="AG77" s="80"/>
      <c r="AH77" s="80"/>
      <c r="AI77" s="80"/>
      <c r="AJ77" s="87">
        <v>40831.45693287037</v>
      </c>
      <c r="AK77" s="85" t="str">
        <f>HYPERLINK("https://yt3.ggpht.com/ytc/AAUvwnj2or_cvhWu21D3rW5uDf0WrYFPHrm_pP8Grw=s88-c-k-c0x00ffffff-no-rj")</f>
        <v>https://yt3.ggpht.com/ytc/AAUvwnj2or_cvhWu21D3rW5uDf0WrYFPHrm_pP8Grw=s88-c-k-c0x00ffffff-no-rj</v>
      </c>
      <c r="AL77" s="80">
        <v>6</v>
      </c>
      <c r="AM77" s="80">
        <v>0</v>
      </c>
      <c r="AN77" s="80">
        <v>0</v>
      </c>
      <c r="AO77" s="80" t="b">
        <v>0</v>
      </c>
      <c r="AP77" s="80">
        <v>2</v>
      </c>
      <c r="AQ77" s="80"/>
      <c r="AR77" s="80"/>
      <c r="AS77" s="80" t="s">
        <v>2664</v>
      </c>
      <c r="AT77" s="85" t="str">
        <f>HYPERLINK("https://www.youtube.com/channel/UCjGT0lta_Eo161Bq3stpoxA")</f>
        <v>https://www.youtube.com/channel/UCjGT0lta_Eo161Bq3stpoxA</v>
      </c>
      <c r="AU77" s="80" t="str">
        <f>REPLACE(INDEX(GroupVertices[Group],MATCH(Vertices[[#This Row],[Vertex]],GroupVertices[Vertex],0)),1,1,"")</f>
        <v>3</v>
      </c>
      <c r="AV77" s="49">
        <v>1</v>
      </c>
      <c r="AW77" s="50">
        <v>20</v>
      </c>
      <c r="AX77" s="49">
        <v>0</v>
      </c>
      <c r="AY77" s="50">
        <v>0</v>
      </c>
      <c r="AZ77" s="49">
        <v>0</v>
      </c>
      <c r="BA77" s="50">
        <v>0</v>
      </c>
      <c r="BB77" s="49">
        <v>4</v>
      </c>
      <c r="BC77" s="50">
        <v>80</v>
      </c>
      <c r="BD77" s="49">
        <v>5</v>
      </c>
      <c r="BE77" s="49"/>
      <c r="BF77" s="49"/>
      <c r="BG77" s="49"/>
      <c r="BH77" s="49"/>
      <c r="BI77" s="49"/>
      <c r="BJ77" s="49"/>
      <c r="BK77" s="111" t="s">
        <v>1421</v>
      </c>
      <c r="BL77" s="111" t="s">
        <v>1421</v>
      </c>
      <c r="BM77" s="111" t="s">
        <v>2390</v>
      </c>
      <c r="BN77" s="111" t="s">
        <v>2390</v>
      </c>
      <c r="BO77" s="2"/>
      <c r="BP77" s="3"/>
      <c r="BQ77" s="3"/>
      <c r="BR77" s="3"/>
      <c r="BS77" s="3"/>
    </row>
    <row r="78" spans="1:71" ht="15">
      <c r="A78" s="65" t="s">
        <v>284</v>
      </c>
      <c r="B78" s="66"/>
      <c r="C78" s="66"/>
      <c r="D78" s="67">
        <v>150</v>
      </c>
      <c r="E78" s="69"/>
      <c r="F78" s="103" t="str">
        <f>HYPERLINK("https://yt3.ggpht.com/ytc/AAUvwng1_-Tt2yYO3FsAFJDtiV0yRJFuENFN4njNnWQtwA=s88-c-k-c0x00ffffff-no-rj")</f>
        <v>https://yt3.ggpht.com/ytc/AAUvwng1_-Tt2yYO3FsAFJDtiV0yRJFuENFN4njNnWQtwA=s88-c-k-c0x00ffffff-no-rj</v>
      </c>
      <c r="G78" s="66"/>
      <c r="H78" s="70" t="s">
        <v>1643</v>
      </c>
      <c r="I78" s="71"/>
      <c r="J78" s="71" t="s">
        <v>159</v>
      </c>
      <c r="K78" s="70" t="s">
        <v>1643</v>
      </c>
      <c r="L78" s="74">
        <v>1</v>
      </c>
      <c r="M78" s="75">
        <v>4254.142578125</v>
      </c>
      <c r="N78" s="75">
        <v>7774.94091796875</v>
      </c>
      <c r="O78" s="76"/>
      <c r="P78" s="77"/>
      <c r="Q78" s="77"/>
      <c r="R78" s="89"/>
      <c r="S78" s="49">
        <v>0</v>
      </c>
      <c r="T78" s="49">
        <v>1</v>
      </c>
      <c r="U78" s="50">
        <v>0</v>
      </c>
      <c r="V78" s="50">
        <v>0.000852</v>
      </c>
      <c r="W78" s="50">
        <v>0</v>
      </c>
      <c r="X78" s="50">
        <v>0.517516</v>
      </c>
      <c r="Y78" s="50">
        <v>0</v>
      </c>
      <c r="Z78" s="50">
        <v>0</v>
      </c>
      <c r="AA78" s="72">
        <v>78</v>
      </c>
      <c r="AB78" s="72"/>
      <c r="AC78" s="73"/>
      <c r="AD78" s="80" t="s">
        <v>1643</v>
      </c>
      <c r="AE78" s="80"/>
      <c r="AF78" s="80"/>
      <c r="AG78" s="80"/>
      <c r="AH78" s="80"/>
      <c r="AI78" s="80"/>
      <c r="AJ78" s="87">
        <v>42026.07405092593</v>
      </c>
      <c r="AK78" s="85" t="str">
        <f>HYPERLINK("https://yt3.ggpht.com/ytc/AAUvwng1_-Tt2yYO3FsAFJDtiV0yRJFuENFN4njNnWQtwA=s88-c-k-c0x00ffffff-no-rj")</f>
        <v>https://yt3.ggpht.com/ytc/AAUvwng1_-Tt2yYO3FsAFJDtiV0yRJFuENFN4njNnWQtwA=s88-c-k-c0x00ffffff-no-rj</v>
      </c>
      <c r="AL78" s="80">
        <v>363</v>
      </c>
      <c r="AM78" s="80">
        <v>0</v>
      </c>
      <c r="AN78" s="80">
        <v>29</v>
      </c>
      <c r="AO78" s="80" t="b">
        <v>0</v>
      </c>
      <c r="AP78" s="80">
        <v>10</v>
      </c>
      <c r="AQ78" s="80"/>
      <c r="AR78" s="80"/>
      <c r="AS78" s="80" t="s">
        <v>2664</v>
      </c>
      <c r="AT78" s="85" t="str">
        <f>HYPERLINK("https://www.youtube.com/channel/UCNjkUz7OUSNlD7bwt5kcH3g")</f>
        <v>https://www.youtube.com/channel/UCNjkUz7OUSNlD7bwt5kcH3g</v>
      </c>
      <c r="AU78" s="80" t="str">
        <f>REPLACE(INDEX(GroupVertices[Group],MATCH(Vertices[[#This Row],[Vertex]],GroupVertices[Vertex],0)),1,1,"")</f>
        <v>3</v>
      </c>
      <c r="AV78" s="49">
        <v>1</v>
      </c>
      <c r="AW78" s="50">
        <v>16.666666666666668</v>
      </c>
      <c r="AX78" s="49">
        <v>0</v>
      </c>
      <c r="AY78" s="50">
        <v>0</v>
      </c>
      <c r="AZ78" s="49">
        <v>0</v>
      </c>
      <c r="BA78" s="50">
        <v>0</v>
      </c>
      <c r="BB78" s="49">
        <v>5</v>
      </c>
      <c r="BC78" s="50">
        <v>83.33333333333333</v>
      </c>
      <c r="BD78" s="49">
        <v>6</v>
      </c>
      <c r="BE78" s="49"/>
      <c r="BF78" s="49"/>
      <c r="BG78" s="49"/>
      <c r="BH78" s="49"/>
      <c r="BI78" s="49"/>
      <c r="BJ78" s="49"/>
      <c r="BK78" s="111" t="s">
        <v>3721</v>
      </c>
      <c r="BL78" s="111" t="s">
        <v>3721</v>
      </c>
      <c r="BM78" s="111" t="s">
        <v>4195</v>
      </c>
      <c r="BN78" s="111" t="s">
        <v>4195</v>
      </c>
      <c r="BO78" s="2"/>
      <c r="BP78" s="3"/>
      <c r="BQ78" s="3"/>
      <c r="BR78" s="3"/>
      <c r="BS78" s="3"/>
    </row>
    <row r="79" spans="1:71" ht="15">
      <c r="A79" s="65" t="s">
        <v>285</v>
      </c>
      <c r="B79" s="66"/>
      <c r="C79" s="66"/>
      <c r="D79" s="67">
        <v>150</v>
      </c>
      <c r="E79" s="69"/>
      <c r="F79" s="103" t="str">
        <f>HYPERLINK("https://yt3.ggpht.com/ytc/AAUvwngnOWxrC14nfs7ktca41Q40mPuvOeGtksc9tQ=s88-c-k-c0x00ffffff-no-rj")</f>
        <v>https://yt3.ggpht.com/ytc/AAUvwngnOWxrC14nfs7ktca41Q40mPuvOeGtksc9tQ=s88-c-k-c0x00ffffff-no-rj</v>
      </c>
      <c r="G79" s="66"/>
      <c r="H79" s="70" t="s">
        <v>1644</v>
      </c>
      <c r="I79" s="71"/>
      <c r="J79" s="71" t="s">
        <v>159</v>
      </c>
      <c r="K79" s="70" t="s">
        <v>1644</v>
      </c>
      <c r="L79" s="74">
        <v>1</v>
      </c>
      <c r="M79" s="75">
        <v>4777.47021484375</v>
      </c>
      <c r="N79" s="75">
        <v>7514.400390625</v>
      </c>
      <c r="O79" s="76"/>
      <c r="P79" s="77"/>
      <c r="Q79" s="77"/>
      <c r="R79" s="89"/>
      <c r="S79" s="49">
        <v>0</v>
      </c>
      <c r="T79" s="49">
        <v>1</v>
      </c>
      <c r="U79" s="50">
        <v>0</v>
      </c>
      <c r="V79" s="50">
        <v>0.000852</v>
      </c>
      <c r="W79" s="50">
        <v>0</v>
      </c>
      <c r="X79" s="50">
        <v>0.517516</v>
      </c>
      <c r="Y79" s="50">
        <v>0</v>
      </c>
      <c r="Z79" s="50">
        <v>0</v>
      </c>
      <c r="AA79" s="72">
        <v>79</v>
      </c>
      <c r="AB79" s="72"/>
      <c r="AC79" s="73"/>
      <c r="AD79" s="80" t="s">
        <v>1644</v>
      </c>
      <c r="AE79" s="80"/>
      <c r="AF79" s="80"/>
      <c r="AG79" s="80"/>
      <c r="AH79" s="80"/>
      <c r="AI79" s="80"/>
      <c r="AJ79" s="87">
        <v>43393.50445601852</v>
      </c>
      <c r="AK79" s="85" t="str">
        <f>HYPERLINK("https://yt3.ggpht.com/ytc/AAUvwngnOWxrC14nfs7ktca41Q40mPuvOeGtksc9tQ=s88-c-k-c0x00ffffff-no-rj")</f>
        <v>https://yt3.ggpht.com/ytc/AAUvwngnOWxrC14nfs7ktca41Q40mPuvOeGtksc9tQ=s88-c-k-c0x00ffffff-no-rj</v>
      </c>
      <c r="AL79" s="80">
        <v>0</v>
      </c>
      <c r="AM79" s="80">
        <v>0</v>
      </c>
      <c r="AN79" s="80">
        <v>0</v>
      </c>
      <c r="AO79" s="80" t="b">
        <v>0</v>
      </c>
      <c r="AP79" s="80">
        <v>0</v>
      </c>
      <c r="AQ79" s="80"/>
      <c r="AR79" s="80"/>
      <c r="AS79" s="80" t="s">
        <v>2664</v>
      </c>
      <c r="AT79" s="85" t="str">
        <f>HYPERLINK("https://www.youtube.com/channel/UCefdQZdi3Ebj2eJiiCbKxhg")</f>
        <v>https://www.youtube.com/channel/UCefdQZdi3Ebj2eJiiCbKxhg</v>
      </c>
      <c r="AU79" s="80" t="str">
        <f>REPLACE(INDEX(GroupVertices[Group],MATCH(Vertices[[#This Row],[Vertex]],GroupVertices[Vertex],0)),1,1,"")</f>
        <v>3</v>
      </c>
      <c r="AV79" s="49">
        <v>1</v>
      </c>
      <c r="AW79" s="50">
        <v>10</v>
      </c>
      <c r="AX79" s="49">
        <v>0</v>
      </c>
      <c r="AY79" s="50">
        <v>0</v>
      </c>
      <c r="AZ79" s="49">
        <v>0</v>
      </c>
      <c r="BA79" s="50">
        <v>0</v>
      </c>
      <c r="BB79" s="49">
        <v>9</v>
      </c>
      <c r="BC79" s="50">
        <v>90</v>
      </c>
      <c r="BD79" s="49">
        <v>10</v>
      </c>
      <c r="BE79" s="49"/>
      <c r="BF79" s="49"/>
      <c r="BG79" s="49"/>
      <c r="BH79" s="49"/>
      <c r="BI79" s="49"/>
      <c r="BJ79" s="49"/>
      <c r="BK79" s="111" t="s">
        <v>3722</v>
      </c>
      <c r="BL79" s="111" t="s">
        <v>3722</v>
      </c>
      <c r="BM79" s="111" t="s">
        <v>4196</v>
      </c>
      <c r="BN79" s="111" t="s">
        <v>4196</v>
      </c>
      <c r="BO79" s="2"/>
      <c r="BP79" s="3"/>
      <c r="BQ79" s="3"/>
      <c r="BR79" s="3"/>
      <c r="BS79" s="3"/>
    </row>
    <row r="80" spans="1:71" ht="15">
      <c r="A80" s="65" t="s">
        <v>286</v>
      </c>
      <c r="B80" s="66"/>
      <c r="C80" s="66"/>
      <c r="D80" s="67">
        <v>291.66666666666663</v>
      </c>
      <c r="E80" s="69"/>
      <c r="F80" s="103" t="str">
        <f>HYPERLINK("https://yt3.ggpht.com/ytc/AAUvwnjrFp33cYuUWpMSQ-DKmP_oPbvrJedDkSh3Qw=s88-c-k-c0x00ffffff-no-rj")</f>
        <v>https://yt3.ggpht.com/ytc/AAUvwnjrFp33cYuUWpMSQ-DKmP_oPbvrJedDkSh3Qw=s88-c-k-c0x00ffffff-no-rj</v>
      </c>
      <c r="G80" s="66"/>
      <c r="H80" s="70" t="s">
        <v>1645</v>
      </c>
      <c r="I80" s="71"/>
      <c r="J80" s="71" t="s">
        <v>159</v>
      </c>
      <c r="K80" s="70" t="s">
        <v>1645</v>
      </c>
      <c r="L80" s="74">
        <v>96.21904761904761</v>
      </c>
      <c r="M80" s="75">
        <v>4123.1376953125</v>
      </c>
      <c r="N80" s="75">
        <v>8932.3369140625</v>
      </c>
      <c r="O80" s="76"/>
      <c r="P80" s="77"/>
      <c r="Q80" s="77"/>
      <c r="R80" s="89"/>
      <c r="S80" s="49">
        <v>1</v>
      </c>
      <c r="T80" s="49">
        <v>1</v>
      </c>
      <c r="U80" s="50">
        <v>264</v>
      </c>
      <c r="V80" s="50">
        <v>0.000853</v>
      </c>
      <c r="W80" s="50">
        <v>0</v>
      </c>
      <c r="X80" s="50">
        <v>0.910006</v>
      </c>
      <c r="Y80" s="50">
        <v>0</v>
      </c>
      <c r="Z80" s="50">
        <v>0</v>
      </c>
      <c r="AA80" s="72">
        <v>80</v>
      </c>
      <c r="AB80" s="72"/>
      <c r="AC80" s="73"/>
      <c r="AD80" s="80" t="s">
        <v>1645</v>
      </c>
      <c r="AE80" s="80"/>
      <c r="AF80" s="80"/>
      <c r="AG80" s="80"/>
      <c r="AH80" s="80"/>
      <c r="AI80" s="80"/>
      <c r="AJ80" s="87">
        <v>43994.90063657407</v>
      </c>
      <c r="AK80" s="85" t="str">
        <f>HYPERLINK("https://yt3.ggpht.com/ytc/AAUvwnjrFp33cYuUWpMSQ-DKmP_oPbvrJedDkSh3Qw=s88-c-k-c0x00ffffff-no-rj")</f>
        <v>https://yt3.ggpht.com/ytc/AAUvwnjrFp33cYuUWpMSQ-DKmP_oPbvrJedDkSh3Qw=s88-c-k-c0x00ffffff-no-rj</v>
      </c>
      <c r="AL80" s="80">
        <v>0</v>
      </c>
      <c r="AM80" s="80">
        <v>0</v>
      </c>
      <c r="AN80" s="80">
        <v>0</v>
      </c>
      <c r="AO80" s="80" t="b">
        <v>0</v>
      </c>
      <c r="AP80" s="80">
        <v>0</v>
      </c>
      <c r="AQ80" s="80"/>
      <c r="AR80" s="80"/>
      <c r="AS80" s="80" t="s">
        <v>2664</v>
      </c>
      <c r="AT80" s="85" t="str">
        <f>HYPERLINK("https://www.youtube.com/channel/UCEz8QTxYWSTBiT-1ZeK77JQ")</f>
        <v>https://www.youtube.com/channel/UCEz8QTxYWSTBiT-1ZeK77JQ</v>
      </c>
      <c r="AU80" s="80" t="str">
        <f>REPLACE(INDEX(GroupVertices[Group],MATCH(Vertices[[#This Row],[Vertex]],GroupVertices[Vertex],0)),1,1,"")</f>
        <v>3</v>
      </c>
      <c r="AV80" s="49">
        <v>0</v>
      </c>
      <c r="AW80" s="50">
        <v>0</v>
      </c>
      <c r="AX80" s="49">
        <v>0</v>
      </c>
      <c r="AY80" s="50">
        <v>0</v>
      </c>
      <c r="AZ80" s="49">
        <v>0</v>
      </c>
      <c r="BA80" s="50">
        <v>0</v>
      </c>
      <c r="BB80" s="49">
        <v>8</v>
      </c>
      <c r="BC80" s="50">
        <v>100</v>
      </c>
      <c r="BD80" s="49">
        <v>8</v>
      </c>
      <c r="BE80" s="49"/>
      <c r="BF80" s="49"/>
      <c r="BG80" s="49"/>
      <c r="BH80" s="49"/>
      <c r="BI80" s="49"/>
      <c r="BJ80" s="49"/>
      <c r="BK80" s="111" t="s">
        <v>3723</v>
      </c>
      <c r="BL80" s="111" t="s">
        <v>3723</v>
      </c>
      <c r="BM80" s="111" t="s">
        <v>4197</v>
      </c>
      <c r="BN80" s="111" t="s">
        <v>4197</v>
      </c>
      <c r="BO80" s="2"/>
      <c r="BP80" s="3"/>
      <c r="BQ80" s="3"/>
      <c r="BR80" s="3"/>
      <c r="BS80" s="3"/>
    </row>
    <row r="81" spans="1:71" ht="15">
      <c r="A81" s="65" t="s">
        <v>287</v>
      </c>
      <c r="B81" s="66"/>
      <c r="C81" s="66"/>
      <c r="D81" s="67">
        <v>150</v>
      </c>
      <c r="E81" s="69"/>
      <c r="F81" s="103" t="str">
        <f>HYPERLINK("https://yt3.ggpht.com/ytc/AAUvwnh9kpWIomxITnToslN1leciD6hDohbpMTL4QA=s88-c-k-c0x00ffffff-no-rj")</f>
        <v>https://yt3.ggpht.com/ytc/AAUvwnh9kpWIomxITnToslN1leciD6hDohbpMTL4QA=s88-c-k-c0x00ffffff-no-rj</v>
      </c>
      <c r="G81" s="66"/>
      <c r="H81" s="70" t="s">
        <v>1646</v>
      </c>
      <c r="I81" s="71"/>
      <c r="J81" s="71" t="s">
        <v>159</v>
      </c>
      <c r="K81" s="70" t="s">
        <v>1646</v>
      </c>
      <c r="L81" s="74">
        <v>1</v>
      </c>
      <c r="M81" s="75">
        <v>4001.787109375</v>
      </c>
      <c r="N81" s="75">
        <v>8760.3798828125</v>
      </c>
      <c r="O81" s="76"/>
      <c r="P81" s="77"/>
      <c r="Q81" s="77"/>
      <c r="R81" s="89"/>
      <c r="S81" s="49">
        <v>0</v>
      </c>
      <c r="T81" s="49">
        <v>1</v>
      </c>
      <c r="U81" s="50">
        <v>0</v>
      </c>
      <c r="V81" s="50">
        <v>0.000852</v>
      </c>
      <c r="W81" s="50">
        <v>0</v>
      </c>
      <c r="X81" s="50">
        <v>0.517516</v>
      </c>
      <c r="Y81" s="50">
        <v>0</v>
      </c>
      <c r="Z81" s="50">
        <v>0</v>
      </c>
      <c r="AA81" s="72">
        <v>81</v>
      </c>
      <c r="AB81" s="72"/>
      <c r="AC81" s="73"/>
      <c r="AD81" s="80" t="s">
        <v>1646</v>
      </c>
      <c r="AE81" s="80" t="s">
        <v>2443</v>
      </c>
      <c r="AF81" s="80"/>
      <c r="AG81" s="80"/>
      <c r="AH81" s="80"/>
      <c r="AI81" s="80"/>
      <c r="AJ81" s="87">
        <v>43955.164872685185</v>
      </c>
      <c r="AK81" s="85" t="str">
        <f>HYPERLINK("https://yt3.ggpht.com/ytc/AAUvwnh9kpWIomxITnToslN1leciD6hDohbpMTL4QA=s88-c-k-c0x00ffffff-no-rj")</f>
        <v>https://yt3.ggpht.com/ytc/AAUvwnh9kpWIomxITnToslN1leciD6hDohbpMTL4QA=s88-c-k-c0x00ffffff-no-rj</v>
      </c>
      <c r="AL81" s="80">
        <v>0</v>
      </c>
      <c r="AM81" s="80">
        <v>0</v>
      </c>
      <c r="AN81" s="80">
        <v>1</v>
      </c>
      <c r="AO81" s="80" t="b">
        <v>0</v>
      </c>
      <c r="AP81" s="80">
        <v>0</v>
      </c>
      <c r="AQ81" s="80"/>
      <c r="AR81" s="80"/>
      <c r="AS81" s="80" t="s">
        <v>2664</v>
      </c>
      <c r="AT81" s="85" t="str">
        <f>HYPERLINK("https://www.youtube.com/channel/UCWOce0cS2w22jY4EAn50YHQ")</f>
        <v>https://www.youtube.com/channel/UCWOce0cS2w22jY4EAn50YHQ</v>
      </c>
      <c r="AU81" s="80" t="str">
        <f>REPLACE(INDEX(GroupVertices[Group],MATCH(Vertices[[#This Row],[Vertex]],GroupVertices[Vertex],0)),1,1,"")</f>
        <v>3</v>
      </c>
      <c r="AV81" s="49">
        <v>0</v>
      </c>
      <c r="AW81" s="50">
        <v>0</v>
      </c>
      <c r="AX81" s="49">
        <v>0</v>
      </c>
      <c r="AY81" s="50">
        <v>0</v>
      </c>
      <c r="AZ81" s="49">
        <v>0</v>
      </c>
      <c r="BA81" s="50">
        <v>0</v>
      </c>
      <c r="BB81" s="49">
        <v>6</v>
      </c>
      <c r="BC81" s="50">
        <v>100</v>
      </c>
      <c r="BD81" s="49">
        <v>6</v>
      </c>
      <c r="BE81" s="49"/>
      <c r="BF81" s="49"/>
      <c r="BG81" s="49"/>
      <c r="BH81" s="49"/>
      <c r="BI81" s="49"/>
      <c r="BJ81" s="49"/>
      <c r="BK81" s="111" t="s">
        <v>3724</v>
      </c>
      <c r="BL81" s="111" t="s">
        <v>3724</v>
      </c>
      <c r="BM81" s="111" t="s">
        <v>4198</v>
      </c>
      <c r="BN81" s="111" t="s">
        <v>4198</v>
      </c>
      <c r="BO81" s="2"/>
      <c r="BP81" s="3"/>
      <c r="BQ81" s="3"/>
      <c r="BR81" s="3"/>
      <c r="BS81" s="3"/>
    </row>
    <row r="82" spans="1:71" ht="15">
      <c r="A82" s="65" t="s">
        <v>288</v>
      </c>
      <c r="B82" s="66"/>
      <c r="C82" s="66"/>
      <c r="D82" s="67">
        <v>291.66666666666663</v>
      </c>
      <c r="E82" s="69"/>
      <c r="F82" s="103" t="str">
        <f>HYPERLINK("https://yt3.ggpht.com/ytc/AAUvwniw_UQL6wwoo3g-kabiZOsYLKIwA8SoYWuGXA=s88-c-k-c0x00ffffff-no-rj")</f>
        <v>https://yt3.ggpht.com/ytc/AAUvwniw_UQL6wwoo3g-kabiZOsYLKIwA8SoYWuGXA=s88-c-k-c0x00ffffff-no-rj</v>
      </c>
      <c r="G82" s="66"/>
      <c r="H82" s="70" t="s">
        <v>1647</v>
      </c>
      <c r="I82" s="71"/>
      <c r="J82" s="71" t="s">
        <v>159</v>
      </c>
      <c r="K82" s="70" t="s">
        <v>1647</v>
      </c>
      <c r="L82" s="74">
        <v>96.21904761904761</v>
      </c>
      <c r="M82" s="75">
        <v>4837.04345703125</v>
      </c>
      <c r="N82" s="75">
        <v>8015.8837890625</v>
      </c>
      <c r="O82" s="76"/>
      <c r="P82" s="77"/>
      <c r="Q82" s="77"/>
      <c r="R82" s="89"/>
      <c r="S82" s="49">
        <v>1</v>
      </c>
      <c r="T82" s="49">
        <v>2</v>
      </c>
      <c r="U82" s="50">
        <v>0</v>
      </c>
      <c r="V82" s="50">
        <v>0.000852</v>
      </c>
      <c r="W82" s="50">
        <v>0</v>
      </c>
      <c r="X82" s="50">
        <v>0.900028</v>
      </c>
      <c r="Y82" s="50">
        <v>0</v>
      </c>
      <c r="Z82" s="50">
        <v>0</v>
      </c>
      <c r="AA82" s="72">
        <v>82</v>
      </c>
      <c r="AB82" s="72"/>
      <c r="AC82" s="73"/>
      <c r="AD82" s="80" t="s">
        <v>1647</v>
      </c>
      <c r="AE82" s="80"/>
      <c r="AF82" s="80"/>
      <c r="AG82" s="80"/>
      <c r="AH82" s="80"/>
      <c r="AI82" s="80"/>
      <c r="AJ82" s="87">
        <v>42267.737592592595</v>
      </c>
      <c r="AK82" s="85" t="str">
        <f>HYPERLINK("https://yt3.ggpht.com/ytc/AAUvwniw_UQL6wwoo3g-kabiZOsYLKIwA8SoYWuGXA=s88-c-k-c0x00ffffff-no-rj")</f>
        <v>https://yt3.ggpht.com/ytc/AAUvwniw_UQL6wwoo3g-kabiZOsYLKIwA8SoYWuGXA=s88-c-k-c0x00ffffff-no-rj</v>
      </c>
      <c r="AL82" s="80">
        <v>0</v>
      </c>
      <c r="AM82" s="80">
        <v>0</v>
      </c>
      <c r="AN82" s="80">
        <v>1</v>
      </c>
      <c r="AO82" s="80" t="b">
        <v>0</v>
      </c>
      <c r="AP82" s="80">
        <v>0</v>
      </c>
      <c r="AQ82" s="80"/>
      <c r="AR82" s="80"/>
      <c r="AS82" s="80" t="s">
        <v>2664</v>
      </c>
      <c r="AT82" s="85" t="str">
        <f>HYPERLINK("https://www.youtube.com/channel/UCPU93CojGLhCv_kf2CDpgMQ")</f>
        <v>https://www.youtube.com/channel/UCPU93CojGLhCv_kf2CDpgMQ</v>
      </c>
      <c r="AU82" s="80" t="str">
        <f>REPLACE(INDEX(GroupVertices[Group],MATCH(Vertices[[#This Row],[Vertex]],GroupVertices[Vertex],0)),1,1,"")</f>
        <v>3</v>
      </c>
      <c r="AV82" s="49">
        <v>4</v>
      </c>
      <c r="AW82" s="50">
        <v>57.142857142857146</v>
      </c>
      <c r="AX82" s="49">
        <v>0</v>
      </c>
      <c r="AY82" s="50">
        <v>0</v>
      </c>
      <c r="AZ82" s="49">
        <v>0</v>
      </c>
      <c r="BA82" s="50">
        <v>0</v>
      </c>
      <c r="BB82" s="49">
        <v>3</v>
      </c>
      <c r="BC82" s="50">
        <v>42.857142857142854</v>
      </c>
      <c r="BD82" s="49">
        <v>7</v>
      </c>
      <c r="BE82" s="49"/>
      <c r="BF82" s="49"/>
      <c r="BG82" s="49"/>
      <c r="BH82" s="49"/>
      <c r="BI82" s="49"/>
      <c r="BJ82" s="49"/>
      <c r="BK82" s="111" t="s">
        <v>3725</v>
      </c>
      <c r="BL82" s="111" t="s">
        <v>4121</v>
      </c>
      <c r="BM82" s="111" t="s">
        <v>4199</v>
      </c>
      <c r="BN82" s="111" t="s">
        <v>4199</v>
      </c>
      <c r="BO82" s="2"/>
      <c r="BP82" s="3"/>
      <c r="BQ82" s="3"/>
      <c r="BR82" s="3"/>
      <c r="BS82" s="3"/>
    </row>
    <row r="83" spans="1:71" ht="15">
      <c r="A83" s="65" t="s">
        <v>289</v>
      </c>
      <c r="B83" s="66"/>
      <c r="C83" s="66"/>
      <c r="D83" s="67">
        <v>150</v>
      </c>
      <c r="E83" s="69"/>
      <c r="F83" s="103" t="str">
        <f>HYPERLINK("https://yt3.ggpht.com/ytc/AAUvwnibGXxrUQTXGi0pFE_ON0bW0ChyupfqQgMLvA=s88-c-k-c0x00ffffff-no-rj")</f>
        <v>https://yt3.ggpht.com/ytc/AAUvwnibGXxrUQTXGi0pFE_ON0bW0ChyupfqQgMLvA=s88-c-k-c0x00ffffff-no-rj</v>
      </c>
      <c r="G83" s="66"/>
      <c r="H83" s="70" t="s">
        <v>1648</v>
      </c>
      <c r="I83" s="71"/>
      <c r="J83" s="71" t="s">
        <v>159</v>
      </c>
      <c r="K83" s="70" t="s">
        <v>1648</v>
      </c>
      <c r="L83" s="74">
        <v>1</v>
      </c>
      <c r="M83" s="75">
        <v>5084.62890625</v>
      </c>
      <c r="N83" s="75">
        <v>7556.296875</v>
      </c>
      <c r="O83" s="76"/>
      <c r="P83" s="77"/>
      <c r="Q83" s="77"/>
      <c r="R83" s="89"/>
      <c r="S83" s="49">
        <v>0</v>
      </c>
      <c r="T83" s="49">
        <v>1</v>
      </c>
      <c r="U83" s="50">
        <v>0</v>
      </c>
      <c r="V83" s="50">
        <v>0.000852</v>
      </c>
      <c r="W83" s="50">
        <v>0</v>
      </c>
      <c r="X83" s="50">
        <v>0.517516</v>
      </c>
      <c r="Y83" s="50">
        <v>0</v>
      </c>
      <c r="Z83" s="50">
        <v>0</v>
      </c>
      <c r="AA83" s="72">
        <v>83</v>
      </c>
      <c r="AB83" s="72"/>
      <c r="AC83" s="73"/>
      <c r="AD83" s="80" t="s">
        <v>1648</v>
      </c>
      <c r="AE83" s="80"/>
      <c r="AF83" s="80"/>
      <c r="AG83" s="80"/>
      <c r="AH83" s="80"/>
      <c r="AI83" s="80"/>
      <c r="AJ83" s="87">
        <v>44013.58671296296</v>
      </c>
      <c r="AK83" s="85" t="str">
        <f>HYPERLINK("https://yt3.ggpht.com/ytc/AAUvwnibGXxrUQTXGi0pFE_ON0bW0ChyupfqQgMLvA=s88-c-k-c0x00ffffff-no-rj")</f>
        <v>https://yt3.ggpht.com/ytc/AAUvwnibGXxrUQTXGi0pFE_ON0bW0ChyupfqQgMLvA=s88-c-k-c0x00ffffff-no-rj</v>
      </c>
      <c r="AL83" s="80">
        <v>0</v>
      </c>
      <c r="AM83" s="80">
        <v>0</v>
      </c>
      <c r="AN83" s="80">
        <v>0</v>
      </c>
      <c r="AO83" s="80" t="b">
        <v>0</v>
      </c>
      <c r="AP83" s="80">
        <v>0</v>
      </c>
      <c r="AQ83" s="80"/>
      <c r="AR83" s="80"/>
      <c r="AS83" s="80" t="s">
        <v>2664</v>
      </c>
      <c r="AT83" s="85" t="str">
        <f>HYPERLINK("https://www.youtube.com/channel/UC0J-DiMUBDkD3krfD5VkTXQ")</f>
        <v>https://www.youtube.com/channel/UC0J-DiMUBDkD3krfD5VkTXQ</v>
      </c>
      <c r="AU83" s="80" t="str">
        <f>REPLACE(INDEX(GroupVertices[Group],MATCH(Vertices[[#This Row],[Vertex]],GroupVertices[Vertex],0)),1,1,"")</f>
        <v>3</v>
      </c>
      <c r="AV83" s="49">
        <v>1</v>
      </c>
      <c r="AW83" s="50">
        <v>50</v>
      </c>
      <c r="AX83" s="49">
        <v>0</v>
      </c>
      <c r="AY83" s="50">
        <v>0</v>
      </c>
      <c r="AZ83" s="49">
        <v>0</v>
      </c>
      <c r="BA83" s="50">
        <v>0</v>
      </c>
      <c r="BB83" s="49">
        <v>1</v>
      </c>
      <c r="BC83" s="50">
        <v>50</v>
      </c>
      <c r="BD83" s="49">
        <v>2</v>
      </c>
      <c r="BE83" s="49"/>
      <c r="BF83" s="49"/>
      <c r="BG83" s="49"/>
      <c r="BH83" s="49"/>
      <c r="BI83" s="49"/>
      <c r="BJ83" s="49"/>
      <c r="BK83" s="111" t="s">
        <v>3726</v>
      </c>
      <c r="BL83" s="111" t="s">
        <v>3726</v>
      </c>
      <c r="BM83" s="111" t="s">
        <v>4200</v>
      </c>
      <c r="BN83" s="111" t="s">
        <v>4200</v>
      </c>
      <c r="BO83" s="2"/>
      <c r="BP83" s="3"/>
      <c r="BQ83" s="3"/>
      <c r="BR83" s="3"/>
      <c r="BS83" s="3"/>
    </row>
    <row r="84" spans="1:71" ht="15">
      <c r="A84" s="65" t="s">
        <v>290</v>
      </c>
      <c r="B84" s="66"/>
      <c r="C84" s="66"/>
      <c r="D84" s="67">
        <v>150</v>
      </c>
      <c r="E84" s="69"/>
      <c r="F84" s="103" t="str">
        <f>HYPERLINK("https://yt3.ggpht.com/awrIPjn_vblwjhfRxM6ejp5EinSy1GQyqFJjjjKt1k71rk6ek8bCxpXz46oHyCj9qQUZX1TM=s88-c-k-c0x00ffffff-no-rj")</f>
        <v>https://yt3.ggpht.com/awrIPjn_vblwjhfRxM6ejp5EinSy1GQyqFJjjjKt1k71rk6ek8bCxpXz46oHyCj9qQUZX1TM=s88-c-k-c0x00ffffff-no-rj</v>
      </c>
      <c r="G84" s="66"/>
      <c r="H84" s="70" t="s">
        <v>1649</v>
      </c>
      <c r="I84" s="71"/>
      <c r="J84" s="71" t="s">
        <v>159</v>
      </c>
      <c r="K84" s="70" t="s">
        <v>1649</v>
      </c>
      <c r="L84" s="74">
        <v>1</v>
      </c>
      <c r="M84" s="75">
        <v>6120.36962890625</v>
      </c>
      <c r="N84" s="75">
        <v>7361.05224609375</v>
      </c>
      <c r="O84" s="76"/>
      <c r="P84" s="77"/>
      <c r="Q84" s="77"/>
      <c r="R84" s="89"/>
      <c r="S84" s="49">
        <v>0</v>
      </c>
      <c r="T84" s="49">
        <v>3</v>
      </c>
      <c r="U84" s="50">
        <v>6995.8</v>
      </c>
      <c r="V84" s="50">
        <v>0.00088</v>
      </c>
      <c r="W84" s="50">
        <v>0</v>
      </c>
      <c r="X84" s="50">
        <v>1.262333</v>
      </c>
      <c r="Y84" s="50">
        <v>0</v>
      </c>
      <c r="Z84" s="50">
        <v>0</v>
      </c>
      <c r="AA84" s="72">
        <v>84</v>
      </c>
      <c r="AB84" s="72"/>
      <c r="AC84" s="73"/>
      <c r="AD84" s="80" t="s">
        <v>1649</v>
      </c>
      <c r="AE84" s="80" t="s">
        <v>2444</v>
      </c>
      <c r="AF84" s="80"/>
      <c r="AG84" s="80"/>
      <c r="AH84" s="80"/>
      <c r="AI84" s="80"/>
      <c r="AJ84" s="87">
        <v>44131.65704861111</v>
      </c>
      <c r="AK84" s="85" t="str">
        <f>HYPERLINK("https://yt3.ggpht.com/awrIPjn_vblwjhfRxM6ejp5EinSy1GQyqFJjjjKt1k71rk6ek8bCxpXz46oHyCj9qQUZX1TM=s88-c-k-c0x00ffffff-no-rj")</f>
        <v>https://yt3.ggpht.com/awrIPjn_vblwjhfRxM6ejp5EinSy1GQyqFJjjjKt1k71rk6ek8bCxpXz46oHyCj9qQUZX1TM=s88-c-k-c0x00ffffff-no-rj</v>
      </c>
      <c r="AL84" s="80">
        <v>87</v>
      </c>
      <c r="AM84" s="80">
        <v>0</v>
      </c>
      <c r="AN84" s="80">
        <v>16</v>
      </c>
      <c r="AO84" s="80" t="b">
        <v>0</v>
      </c>
      <c r="AP84" s="80">
        <v>0</v>
      </c>
      <c r="AQ84" s="80"/>
      <c r="AR84" s="80"/>
      <c r="AS84" s="80" t="s">
        <v>2664</v>
      </c>
      <c r="AT84" s="85" t="str">
        <f>HYPERLINK("https://www.youtube.com/channel/UC_k3eP9m8U3bW2ByWs3BRlg")</f>
        <v>https://www.youtube.com/channel/UC_k3eP9m8U3bW2ByWs3BRlg</v>
      </c>
      <c r="AU84" s="80" t="str">
        <f>REPLACE(INDEX(GroupVertices[Group],MATCH(Vertices[[#This Row],[Vertex]],GroupVertices[Vertex],0)),1,1,"")</f>
        <v>3</v>
      </c>
      <c r="AV84" s="49">
        <v>0</v>
      </c>
      <c r="AW84" s="50">
        <v>0</v>
      </c>
      <c r="AX84" s="49">
        <v>0</v>
      </c>
      <c r="AY84" s="50">
        <v>0</v>
      </c>
      <c r="AZ84" s="49">
        <v>0</v>
      </c>
      <c r="BA84" s="50">
        <v>0</v>
      </c>
      <c r="BB84" s="49">
        <v>5</v>
      </c>
      <c r="BC84" s="50">
        <v>100</v>
      </c>
      <c r="BD84" s="49">
        <v>5</v>
      </c>
      <c r="BE84" s="49"/>
      <c r="BF84" s="49"/>
      <c r="BG84" s="49"/>
      <c r="BH84" s="49"/>
      <c r="BI84" s="49"/>
      <c r="BJ84" s="49"/>
      <c r="BK84" s="111" t="s">
        <v>2931</v>
      </c>
      <c r="BL84" s="111" t="s">
        <v>2931</v>
      </c>
      <c r="BM84" s="111" t="s">
        <v>2390</v>
      </c>
      <c r="BN84" s="111" t="s">
        <v>2390</v>
      </c>
      <c r="BO84" s="2"/>
      <c r="BP84" s="3"/>
      <c r="BQ84" s="3"/>
      <c r="BR84" s="3"/>
      <c r="BS84" s="3"/>
    </row>
    <row r="85" spans="1:71" ht="15">
      <c r="A85" s="65" t="s">
        <v>291</v>
      </c>
      <c r="B85" s="66"/>
      <c r="C85" s="66"/>
      <c r="D85" s="67">
        <v>291.66666666666663</v>
      </c>
      <c r="E85" s="69"/>
      <c r="F85" s="103" t="str">
        <f>HYPERLINK("https://yt3.ggpht.com/ytc/AAUvwni9J2NvS4QdXTtL7-C9xBW4sme3RtH5OLxGs1kXhz0=s88-c-k-c0x00ffffff-no-rj")</f>
        <v>https://yt3.ggpht.com/ytc/AAUvwni9J2NvS4QdXTtL7-C9xBW4sme3RtH5OLxGs1kXhz0=s88-c-k-c0x00ffffff-no-rj</v>
      </c>
      <c r="G85" s="66"/>
      <c r="H85" s="70" t="s">
        <v>1650</v>
      </c>
      <c r="I85" s="71"/>
      <c r="J85" s="71" t="s">
        <v>159</v>
      </c>
      <c r="K85" s="70" t="s">
        <v>1650</v>
      </c>
      <c r="L85" s="74">
        <v>96.21904761904761</v>
      </c>
      <c r="M85" s="75">
        <v>5445.4833984375</v>
      </c>
      <c r="N85" s="75">
        <v>7668.4365234375</v>
      </c>
      <c r="O85" s="76"/>
      <c r="P85" s="77"/>
      <c r="Q85" s="77"/>
      <c r="R85" s="89"/>
      <c r="S85" s="49">
        <v>1</v>
      </c>
      <c r="T85" s="49">
        <v>1</v>
      </c>
      <c r="U85" s="50">
        <v>3493.766667</v>
      </c>
      <c r="V85" s="50">
        <v>0.000975</v>
      </c>
      <c r="W85" s="50">
        <v>0</v>
      </c>
      <c r="X85" s="50">
        <v>0.875177</v>
      </c>
      <c r="Y85" s="50">
        <v>0</v>
      </c>
      <c r="Z85" s="50">
        <v>0</v>
      </c>
      <c r="AA85" s="72">
        <v>85</v>
      </c>
      <c r="AB85" s="72"/>
      <c r="AC85" s="73"/>
      <c r="AD85" s="80" t="s">
        <v>1650</v>
      </c>
      <c r="AE85" s="80" t="s">
        <v>2445</v>
      </c>
      <c r="AF85" s="80"/>
      <c r="AG85" s="80"/>
      <c r="AH85" s="80"/>
      <c r="AI85" s="80" t="s">
        <v>2633</v>
      </c>
      <c r="AJ85" s="87">
        <v>41518.41259259259</v>
      </c>
      <c r="AK85" s="85" t="str">
        <f>HYPERLINK("https://yt3.ggpht.com/ytc/AAUvwni9J2NvS4QdXTtL7-C9xBW4sme3RtH5OLxGs1kXhz0=s88-c-k-c0x00ffffff-no-rj")</f>
        <v>https://yt3.ggpht.com/ytc/AAUvwni9J2NvS4QdXTtL7-C9xBW4sme3RtH5OLxGs1kXhz0=s88-c-k-c0x00ffffff-no-rj</v>
      </c>
      <c r="AL85" s="80">
        <v>4857</v>
      </c>
      <c r="AM85" s="80">
        <v>0</v>
      </c>
      <c r="AN85" s="80">
        <v>153</v>
      </c>
      <c r="AO85" s="80" t="b">
        <v>0</v>
      </c>
      <c r="AP85" s="80">
        <v>27</v>
      </c>
      <c r="AQ85" s="80"/>
      <c r="AR85" s="80"/>
      <c r="AS85" s="80" t="s">
        <v>2664</v>
      </c>
      <c r="AT85" s="85" t="str">
        <f>HYPERLINK("https://www.youtube.com/channel/UC7h7zWh5PPw8yxDsDOgj23A")</f>
        <v>https://www.youtube.com/channel/UC7h7zWh5PPw8yxDsDOgj23A</v>
      </c>
      <c r="AU85" s="80" t="str">
        <f>REPLACE(INDEX(GroupVertices[Group],MATCH(Vertices[[#This Row],[Vertex]],GroupVertices[Vertex],0)),1,1,"")</f>
        <v>3</v>
      </c>
      <c r="AV85" s="49">
        <v>0</v>
      </c>
      <c r="AW85" s="50">
        <v>0</v>
      </c>
      <c r="AX85" s="49">
        <v>0</v>
      </c>
      <c r="AY85" s="50">
        <v>0</v>
      </c>
      <c r="AZ85" s="49">
        <v>0</v>
      </c>
      <c r="BA85" s="50">
        <v>0</v>
      </c>
      <c r="BB85" s="49">
        <v>7</v>
      </c>
      <c r="BC85" s="50">
        <v>100</v>
      </c>
      <c r="BD85" s="49">
        <v>7</v>
      </c>
      <c r="BE85" s="49"/>
      <c r="BF85" s="49"/>
      <c r="BG85" s="49"/>
      <c r="BH85" s="49"/>
      <c r="BI85" s="49"/>
      <c r="BJ85" s="49"/>
      <c r="BK85" s="111" t="s">
        <v>3727</v>
      </c>
      <c r="BL85" s="111" t="s">
        <v>3727</v>
      </c>
      <c r="BM85" s="111" t="s">
        <v>4201</v>
      </c>
      <c r="BN85" s="111" t="s">
        <v>4201</v>
      </c>
      <c r="BO85" s="2"/>
      <c r="BP85" s="3"/>
      <c r="BQ85" s="3"/>
      <c r="BR85" s="3"/>
      <c r="BS85" s="3"/>
    </row>
    <row r="86" spans="1:71" ht="15">
      <c r="A86" s="65" t="s">
        <v>292</v>
      </c>
      <c r="B86" s="66"/>
      <c r="C86" s="66"/>
      <c r="D86" s="67">
        <v>150</v>
      </c>
      <c r="E86" s="69"/>
      <c r="F86" s="103" t="str">
        <f>HYPERLINK("https://yt3.ggpht.com/0a9lCm0YJbL19aSMsLtAgrdmdHKXcz2cuaTvJZWFigekaPZEAMoLNMI2ITMtM16N55uCbo2V=s88-c-k-c0x00ffffff-no-rj")</f>
        <v>https://yt3.ggpht.com/0a9lCm0YJbL19aSMsLtAgrdmdHKXcz2cuaTvJZWFigekaPZEAMoLNMI2ITMtM16N55uCbo2V=s88-c-k-c0x00ffffff-no-rj</v>
      </c>
      <c r="G86" s="66"/>
      <c r="H86" s="70" t="s">
        <v>1651</v>
      </c>
      <c r="I86" s="71"/>
      <c r="J86" s="71" t="s">
        <v>159</v>
      </c>
      <c r="K86" s="70" t="s">
        <v>1651</v>
      </c>
      <c r="L86" s="74">
        <v>1</v>
      </c>
      <c r="M86" s="75">
        <v>4457.87158203125</v>
      </c>
      <c r="N86" s="75">
        <v>7931.8583984375</v>
      </c>
      <c r="O86" s="76"/>
      <c r="P86" s="77"/>
      <c r="Q86" s="77"/>
      <c r="R86" s="89"/>
      <c r="S86" s="49">
        <v>0</v>
      </c>
      <c r="T86" s="49">
        <v>1</v>
      </c>
      <c r="U86" s="50">
        <v>0</v>
      </c>
      <c r="V86" s="50">
        <v>0.000852</v>
      </c>
      <c r="W86" s="50">
        <v>0</v>
      </c>
      <c r="X86" s="50">
        <v>0.517516</v>
      </c>
      <c r="Y86" s="50">
        <v>0</v>
      </c>
      <c r="Z86" s="50">
        <v>0</v>
      </c>
      <c r="AA86" s="72">
        <v>86</v>
      </c>
      <c r="AB86" s="72"/>
      <c r="AC86" s="73"/>
      <c r="AD86" s="80" t="s">
        <v>1651</v>
      </c>
      <c r="AE86" s="80" t="s">
        <v>2446</v>
      </c>
      <c r="AF86" s="80"/>
      <c r="AG86" s="80"/>
      <c r="AH86" s="80"/>
      <c r="AI86" s="80"/>
      <c r="AJ86" s="87">
        <v>42876.85240740741</v>
      </c>
      <c r="AK86" s="85" t="str">
        <f>HYPERLINK("https://yt3.ggpht.com/0a9lCm0YJbL19aSMsLtAgrdmdHKXcz2cuaTvJZWFigekaPZEAMoLNMI2ITMtM16N55uCbo2V=s88-c-k-c0x00ffffff-no-rj")</f>
        <v>https://yt3.ggpht.com/0a9lCm0YJbL19aSMsLtAgrdmdHKXcz2cuaTvJZWFigekaPZEAMoLNMI2ITMtM16N55uCbo2V=s88-c-k-c0x00ffffff-no-rj</v>
      </c>
      <c r="AL86" s="80">
        <v>0</v>
      </c>
      <c r="AM86" s="80">
        <v>0</v>
      </c>
      <c r="AN86" s="80">
        <v>0</v>
      </c>
      <c r="AO86" s="80" t="b">
        <v>0</v>
      </c>
      <c r="AP86" s="80">
        <v>0</v>
      </c>
      <c r="AQ86" s="80"/>
      <c r="AR86" s="80"/>
      <c r="AS86" s="80" t="s">
        <v>2664</v>
      </c>
      <c r="AT86" s="85" t="str">
        <f>HYPERLINK("https://www.youtube.com/channel/UCc0tkX1OwQl203TbmyJJGqA")</f>
        <v>https://www.youtube.com/channel/UCc0tkX1OwQl203TbmyJJGqA</v>
      </c>
      <c r="AU86" s="80" t="str">
        <f>REPLACE(INDEX(GroupVertices[Group],MATCH(Vertices[[#This Row],[Vertex]],GroupVertices[Vertex],0)),1,1,"")</f>
        <v>3</v>
      </c>
      <c r="AV86" s="49">
        <v>0</v>
      </c>
      <c r="AW86" s="50">
        <v>0</v>
      </c>
      <c r="AX86" s="49">
        <v>0</v>
      </c>
      <c r="AY86" s="50">
        <v>0</v>
      </c>
      <c r="AZ86" s="49">
        <v>0</v>
      </c>
      <c r="BA86" s="50">
        <v>0</v>
      </c>
      <c r="BB86" s="49">
        <v>8</v>
      </c>
      <c r="BC86" s="50">
        <v>100</v>
      </c>
      <c r="BD86" s="49">
        <v>8</v>
      </c>
      <c r="BE86" s="49"/>
      <c r="BF86" s="49"/>
      <c r="BG86" s="49"/>
      <c r="BH86" s="49"/>
      <c r="BI86" s="49"/>
      <c r="BJ86" s="49"/>
      <c r="BK86" s="111" t="s">
        <v>3728</v>
      </c>
      <c r="BL86" s="111" t="s">
        <v>3728</v>
      </c>
      <c r="BM86" s="111" t="s">
        <v>4202</v>
      </c>
      <c r="BN86" s="111" t="s">
        <v>4202</v>
      </c>
      <c r="BO86" s="2"/>
      <c r="BP86" s="3"/>
      <c r="BQ86" s="3"/>
      <c r="BR86" s="3"/>
      <c r="BS86" s="3"/>
    </row>
    <row r="87" spans="1:71" ht="15">
      <c r="A87" s="65" t="s">
        <v>293</v>
      </c>
      <c r="B87" s="66"/>
      <c r="C87" s="66"/>
      <c r="D87" s="67">
        <v>150</v>
      </c>
      <c r="E87" s="69"/>
      <c r="F87" s="103" t="str">
        <f>HYPERLINK("https://yt3.ggpht.com/ytc/AAUvwnhFdSN7Y8UNV14LrcNaXiDQCfpFbU62mqQIyA=s88-c-k-c0x00ffffff-no-rj")</f>
        <v>https://yt3.ggpht.com/ytc/AAUvwnhFdSN7Y8UNV14LrcNaXiDQCfpFbU62mqQIyA=s88-c-k-c0x00ffffff-no-rj</v>
      </c>
      <c r="G87" s="66"/>
      <c r="H87" s="70" t="s">
        <v>1652</v>
      </c>
      <c r="I87" s="71"/>
      <c r="J87" s="71" t="s">
        <v>159</v>
      </c>
      <c r="K87" s="70" t="s">
        <v>1652</v>
      </c>
      <c r="L87" s="74">
        <v>1</v>
      </c>
      <c r="M87" s="75">
        <v>3864.225341796875</v>
      </c>
      <c r="N87" s="75">
        <v>7762.1826171875</v>
      </c>
      <c r="O87" s="76"/>
      <c r="P87" s="77"/>
      <c r="Q87" s="77"/>
      <c r="R87" s="89"/>
      <c r="S87" s="49">
        <v>0</v>
      </c>
      <c r="T87" s="49">
        <v>1</v>
      </c>
      <c r="U87" s="50">
        <v>0</v>
      </c>
      <c r="V87" s="50">
        <v>0.000852</v>
      </c>
      <c r="W87" s="50">
        <v>0</v>
      </c>
      <c r="X87" s="50">
        <v>0.517516</v>
      </c>
      <c r="Y87" s="50">
        <v>0</v>
      </c>
      <c r="Z87" s="50">
        <v>0</v>
      </c>
      <c r="AA87" s="72">
        <v>87</v>
      </c>
      <c r="AB87" s="72"/>
      <c r="AC87" s="73"/>
      <c r="AD87" s="80" t="s">
        <v>1652</v>
      </c>
      <c r="AE87" s="80" t="s">
        <v>2447</v>
      </c>
      <c r="AF87" s="80"/>
      <c r="AG87" s="80"/>
      <c r="AH87" s="80"/>
      <c r="AI87" s="80"/>
      <c r="AJ87" s="87">
        <v>40885.338958333334</v>
      </c>
      <c r="AK87" s="85" t="str">
        <f>HYPERLINK("https://yt3.ggpht.com/ytc/AAUvwnhFdSN7Y8UNV14LrcNaXiDQCfpFbU62mqQIyA=s88-c-k-c0x00ffffff-no-rj")</f>
        <v>https://yt3.ggpht.com/ytc/AAUvwnhFdSN7Y8UNV14LrcNaXiDQCfpFbU62mqQIyA=s88-c-k-c0x00ffffff-no-rj</v>
      </c>
      <c r="AL87" s="80">
        <v>3</v>
      </c>
      <c r="AM87" s="80">
        <v>0</v>
      </c>
      <c r="AN87" s="80">
        <v>1</v>
      </c>
      <c r="AO87" s="80" t="b">
        <v>0</v>
      </c>
      <c r="AP87" s="80">
        <v>1</v>
      </c>
      <c r="AQ87" s="80"/>
      <c r="AR87" s="80"/>
      <c r="AS87" s="80" t="s">
        <v>2664</v>
      </c>
      <c r="AT87" s="85" t="str">
        <f>HYPERLINK("https://www.youtube.com/channel/UCT2sMMbR8glNSt-SOF2wHDg")</f>
        <v>https://www.youtube.com/channel/UCT2sMMbR8glNSt-SOF2wHDg</v>
      </c>
      <c r="AU87" s="80" t="str">
        <f>REPLACE(INDEX(GroupVertices[Group],MATCH(Vertices[[#This Row],[Vertex]],GroupVertices[Vertex],0)),1,1,"")</f>
        <v>3</v>
      </c>
      <c r="AV87" s="49">
        <v>1</v>
      </c>
      <c r="AW87" s="50">
        <v>50</v>
      </c>
      <c r="AX87" s="49">
        <v>0</v>
      </c>
      <c r="AY87" s="50">
        <v>0</v>
      </c>
      <c r="AZ87" s="49">
        <v>0</v>
      </c>
      <c r="BA87" s="50">
        <v>0</v>
      </c>
      <c r="BB87" s="49">
        <v>1</v>
      </c>
      <c r="BC87" s="50">
        <v>50</v>
      </c>
      <c r="BD87" s="49">
        <v>2</v>
      </c>
      <c r="BE87" s="49"/>
      <c r="BF87" s="49"/>
      <c r="BG87" s="49"/>
      <c r="BH87" s="49"/>
      <c r="BI87" s="49"/>
      <c r="BJ87" s="49"/>
      <c r="BK87" s="111" t="s">
        <v>3729</v>
      </c>
      <c r="BL87" s="111" t="s">
        <v>3729</v>
      </c>
      <c r="BM87" s="111" t="s">
        <v>4203</v>
      </c>
      <c r="BN87" s="111" t="s">
        <v>4203</v>
      </c>
      <c r="BO87" s="2"/>
      <c r="BP87" s="3"/>
      <c r="BQ87" s="3"/>
      <c r="BR87" s="3"/>
      <c r="BS87" s="3"/>
    </row>
    <row r="88" spans="1:71" ht="15">
      <c r="A88" s="65" t="s">
        <v>294</v>
      </c>
      <c r="B88" s="66"/>
      <c r="C88" s="66"/>
      <c r="D88" s="67">
        <v>150</v>
      </c>
      <c r="E88" s="69"/>
      <c r="F88" s="103" t="str">
        <f>HYPERLINK("https://yt3.ggpht.com/ytc/AAUvwnilj1i8OkKIFdGJLWuP9pnfeDZ3Hw2mF1FSNg=s88-c-k-c0x00ffffff-no-rj")</f>
        <v>https://yt3.ggpht.com/ytc/AAUvwnilj1i8OkKIFdGJLWuP9pnfeDZ3Hw2mF1FSNg=s88-c-k-c0x00ffffff-no-rj</v>
      </c>
      <c r="G88" s="66"/>
      <c r="H88" s="70" t="s">
        <v>1653</v>
      </c>
      <c r="I88" s="71"/>
      <c r="J88" s="71" t="s">
        <v>159</v>
      </c>
      <c r="K88" s="70" t="s">
        <v>1653</v>
      </c>
      <c r="L88" s="74">
        <v>1</v>
      </c>
      <c r="M88" s="75">
        <v>3709.470703125</v>
      </c>
      <c r="N88" s="75">
        <v>8228.0595703125</v>
      </c>
      <c r="O88" s="76"/>
      <c r="P88" s="77"/>
      <c r="Q88" s="77"/>
      <c r="R88" s="89"/>
      <c r="S88" s="49">
        <v>0</v>
      </c>
      <c r="T88" s="49">
        <v>1</v>
      </c>
      <c r="U88" s="50">
        <v>0</v>
      </c>
      <c r="V88" s="50">
        <v>0.000852</v>
      </c>
      <c r="W88" s="50">
        <v>0</v>
      </c>
      <c r="X88" s="50">
        <v>0.517516</v>
      </c>
      <c r="Y88" s="50">
        <v>0</v>
      </c>
      <c r="Z88" s="50">
        <v>0</v>
      </c>
      <c r="AA88" s="72">
        <v>88</v>
      </c>
      <c r="AB88" s="72"/>
      <c r="AC88" s="73"/>
      <c r="AD88" s="80" t="s">
        <v>1653</v>
      </c>
      <c r="AE88" s="80"/>
      <c r="AF88" s="80"/>
      <c r="AG88" s="80"/>
      <c r="AH88" s="80"/>
      <c r="AI88" s="80"/>
      <c r="AJ88" s="87">
        <v>43988.394733796296</v>
      </c>
      <c r="AK88" s="85" t="str">
        <f>HYPERLINK("https://yt3.ggpht.com/ytc/AAUvwnilj1i8OkKIFdGJLWuP9pnfeDZ3Hw2mF1FSNg=s88-c-k-c0x00ffffff-no-rj")</f>
        <v>https://yt3.ggpht.com/ytc/AAUvwnilj1i8OkKIFdGJLWuP9pnfeDZ3Hw2mF1FSNg=s88-c-k-c0x00ffffff-no-rj</v>
      </c>
      <c r="AL88" s="80">
        <v>0</v>
      </c>
      <c r="AM88" s="80">
        <v>0</v>
      </c>
      <c r="AN88" s="80">
        <v>0</v>
      </c>
      <c r="AO88" s="80" t="b">
        <v>0</v>
      </c>
      <c r="AP88" s="80">
        <v>0</v>
      </c>
      <c r="AQ88" s="80"/>
      <c r="AR88" s="80"/>
      <c r="AS88" s="80" t="s">
        <v>2664</v>
      </c>
      <c r="AT88" s="85" t="str">
        <f>HYPERLINK("https://www.youtube.com/channel/UCGt7qYOzYd53e1ZDyGy-p-Q")</f>
        <v>https://www.youtube.com/channel/UCGt7qYOzYd53e1ZDyGy-p-Q</v>
      </c>
      <c r="AU88" s="80" t="str">
        <f>REPLACE(INDEX(GroupVertices[Group],MATCH(Vertices[[#This Row],[Vertex]],GroupVertices[Vertex],0)),1,1,"")</f>
        <v>3</v>
      </c>
      <c r="AV88" s="49">
        <v>0</v>
      </c>
      <c r="AW88" s="50">
        <v>0</v>
      </c>
      <c r="AX88" s="49">
        <v>0</v>
      </c>
      <c r="AY88" s="50">
        <v>0</v>
      </c>
      <c r="AZ88" s="49">
        <v>0</v>
      </c>
      <c r="BA88" s="50">
        <v>0</v>
      </c>
      <c r="BB88" s="49">
        <v>1</v>
      </c>
      <c r="BC88" s="50">
        <v>100</v>
      </c>
      <c r="BD88" s="49">
        <v>1</v>
      </c>
      <c r="BE88" s="49"/>
      <c r="BF88" s="49"/>
      <c r="BG88" s="49"/>
      <c r="BH88" s="49"/>
      <c r="BI88" s="49"/>
      <c r="BJ88" s="49"/>
      <c r="BK88" s="111" t="s">
        <v>2390</v>
      </c>
      <c r="BL88" s="111" t="s">
        <v>2390</v>
      </c>
      <c r="BM88" s="111" t="s">
        <v>2390</v>
      </c>
      <c r="BN88" s="111" t="s">
        <v>2390</v>
      </c>
      <c r="BO88" s="2"/>
      <c r="BP88" s="3"/>
      <c r="BQ88" s="3"/>
      <c r="BR88" s="3"/>
      <c r="BS88" s="3"/>
    </row>
    <row r="89" spans="1:71" ht="15">
      <c r="A89" s="65" t="s">
        <v>295</v>
      </c>
      <c r="B89" s="66"/>
      <c r="C89" s="66"/>
      <c r="D89" s="67">
        <v>150</v>
      </c>
      <c r="E89" s="69"/>
      <c r="F89" s="103" t="str">
        <f>HYPERLINK("https://yt3.ggpht.com/ytc/AAUvwniUE1AiABug220vBRdle7b4_RxZhp9ufsh3uO52=s88-c-k-c0x00ffffff-no-rj")</f>
        <v>https://yt3.ggpht.com/ytc/AAUvwniUE1AiABug220vBRdle7b4_RxZhp9ufsh3uO52=s88-c-k-c0x00ffffff-no-rj</v>
      </c>
      <c r="G89" s="66"/>
      <c r="H89" s="70" t="s">
        <v>1654</v>
      </c>
      <c r="I89" s="71"/>
      <c r="J89" s="71" t="s">
        <v>159</v>
      </c>
      <c r="K89" s="70" t="s">
        <v>1654</v>
      </c>
      <c r="L89" s="74">
        <v>1</v>
      </c>
      <c r="M89" s="75">
        <v>4744.76220703125</v>
      </c>
      <c r="N89" s="75">
        <v>8380.1181640625</v>
      </c>
      <c r="O89" s="76"/>
      <c r="P89" s="77"/>
      <c r="Q89" s="77"/>
      <c r="R89" s="89"/>
      <c r="S89" s="49">
        <v>0</v>
      </c>
      <c r="T89" s="49">
        <v>1</v>
      </c>
      <c r="U89" s="50">
        <v>0</v>
      </c>
      <c r="V89" s="50">
        <v>0.000852</v>
      </c>
      <c r="W89" s="50">
        <v>0</v>
      </c>
      <c r="X89" s="50">
        <v>0.517516</v>
      </c>
      <c r="Y89" s="50">
        <v>0</v>
      </c>
      <c r="Z89" s="50">
        <v>0</v>
      </c>
      <c r="AA89" s="72">
        <v>89</v>
      </c>
      <c r="AB89" s="72"/>
      <c r="AC89" s="73"/>
      <c r="AD89" s="80" t="s">
        <v>1654</v>
      </c>
      <c r="AE89" s="80" t="s">
        <v>2448</v>
      </c>
      <c r="AF89" s="80"/>
      <c r="AG89" s="80"/>
      <c r="AH89" s="80"/>
      <c r="AI89" s="80"/>
      <c r="AJ89" s="87">
        <v>44013.31018518518</v>
      </c>
      <c r="AK89" s="85" t="str">
        <f>HYPERLINK("https://yt3.ggpht.com/ytc/AAUvwniUE1AiABug220vBRdle7b4_RxZhp9ufsh3uO52=s88-c-k-c0x00ffffff-no-rj")</f>
        <v>https://yt3.ggpht.com/ytc/AAUvwniUE1AiABug220vBRdle7b4_RxZhp9ufsh3uO52=s88-c-k-c0x00ffffff-no-rj</v>
      </c>
      <c r="AL89" s="80">
        <v>8420</v>
      </c>
      <c r="AM89" s="80">
        <v>0</v>
      </c>
      <c r="AN89" s="80">
        <v>68</v>
      </c>
      <c r="AO89" s="80" t="b">
        <v>0</v>
      </c>
      <c r="AP89" s="80">
        <v>112</v>
      </c>
      <c r="AQ89" s="80"/>
      <c r="AR89" s="80"/>
      <c r="AS89" s="80" t="s">
        <v>2664</v>
      </c>
      <c r="AT89" s="85" t="str">
        <f>HYPERLINK("https://www.youtube.com/channel/UCHcnCMwUpuuI8ihbzlHVh3g")</f>
        <v>https://www.youtube.com/channel/UCHcnCMwUpuuI8ihbzlHVh3g</v>
      </c>
      <c r="AU89" s="80" t="str">
        <f>REPLACE(INDEX(GroupVertices[Group],MATCH(Vertices[[#This Row],[Vertex]],GroupVertices[Vertex],0)),1,1,"")</f>
        <v>3</v>
      </c>
      <c r="AV89" s="49">
        <v>0</v>
      </c>
      <c r="AW89" s="50">
        <v>0</v>
      </c>
      <c r="AX89" s="49">
        <v>0</v>
      </c>
      <c r="AY89" s="50">
        <v>0</v>
      </c>
      <c r="AZ89" s="49">
        <v>0</v>
      </c>
      <c r="BA89" s="50">
        <v>0</v>
      </c>
      <c r="BB89" s="49">
        <v>0</v>
      </c>
      <c r="BC89" s="50">
        <v>0</v>
      </c>
      <c r="BD89" s="49">
        <v>0</v>
      </c>
      <c r="BE89" s="49"/>
      <c r="BF89" s="49"/>
      <c r="BG89" s="49"/>
      <c r="BH89" s="49"/>
      <c r="BI89" s="49"/>
      <c r="BJ89" s="49"/>
      <c r="BK89" s="111" t="s">
        <v>2390</v>
      </c>
      <c r="BL89" s="111" t="s">
        <v>2390</v>
      </c>
      <c r="BM89" s="111" t="s">
        <v>2390</v>
      </c>
      <c r="BN89" s="111" t="s">
        <v>2390</v>
      </c>
      <c r="BO89" s="2"/>
      <c r="BP89" s="3"/>
      <c r="BQ89" s="3"/>
      <c r="BR89" s="3"/>
      <c r="BS89" s="3"/>
    </row>
    <row r="90" spans="1:71" ht="15">
      <c r="A90" s="65" t="s">
        <v>296</v>
      </c>
      <c r="B90" s="66"/>
      <c r="C90" s="66"/>
      <c r="D90" s="67">
        <v>150</v>
      </c>
      <c r="E90" s="69"/>
      <c r="F90" s="103" t="str">
        <f>HYPERLINK("https://yt3.ggpht.com/ytc/AAUvwnjCK9sFrU5nShq5geH5BQdYT1U8wKJ6ap6CUy9y=s88-c-k-c0x00ffffff-no-rj")</f>
        <v>https://yt3.ggpht.com/ytc/AAUvwnjCK9sFrU5nShq5geH5BQdYT1U8wKJ6ap6CUy9y=s88-c-k-c0x00ffffff-no-rj</v>
      </c>
      <c r="G90" s="66"/>
      <c r="H90" s="70" t="s">
        <v>1655</v>
      </c>
      <c r="I90" s="71"/>
      <c r="J90" s="71" t="s">
        <v>159</v>
      </c>
      <c r="K90" s="70" t="s">
        <v>1655</v>
      </c>
      <c r="L90" s="74">
        <v>1</v>
      </c>
      <c r="M90" s="75">
        <v>3748.202392578125</v>
      </c>
      <c r="N90" s="75">
        <v>7865.716796875</v>
      </c>
      <c r="O90" s="76"/>
      <c r="P90" s="77"/>
      <c r="Q90" s="77"/>
      <c r="R90" s="89"/>
      <c r="S90" s="49">
        <v>0</v>
      </c>
      <c r="T90" s="49">
        <v>1</v>
      </c>
      <c r="U90" s="50">
        <v>0</v>
      </c>
      <c r="V90" s="50">
        <v>0.000852</v>
      </c>
      <c r="W90" s="50">
        <v>0</v>
      </c>
      <c r="X90" s="50">
        <v>0.517516</v>
      </c>
      <c r="Y90" s="50">
        <v>0</v>
      </c>
      <c r="Z90" s="50">
        <v>0</v>
      </c>
      <c r="AA90" s="72">
        <v>90</v>
      </c>
      <c r="AB90" s="72"/>
      <c r="AC90" s="73"/>
      <c r="AD90" s="80" t="s">
        <v>1655</v>
      </c>
      <c r="AE90" s="80" t="s">
        <v>2449</v>
      </c>
      <c r="AF90" s="80"/>
      <c r="AG90" s="80"/>
      <c r="AH90" s="80"/>
      <c r="AI90" s="80"/>
      <c r="AJ90" s="87">
        <v>44042.26133101852</v>
      </c>
      <c r="AK90" s="85" t="str">
        <f>HYPERLINK("https://yt3.ggpht.com/ytc/AAUvwnjCK9sFrU5nShq5geH5BQdYT1U8wKJ6ap6CUy9y=s88-c-k-c0x00ffffff-no-rj")</f>
        <v>https://yt3.ggpht.com/ytc/AAUvwnjCK9sFrU5nShq5geH5BQdYT1U8wKJ6ap6CUy9y=s88-c-k-c0x00ffffff-no-rj</v>
      </c>
      <c r="AL90" s="80">
        <v>170</v>
      </c>
      <c r="AM90" s="80">
        <v>0</v>
      </c>
      <c r="AN90" s="80">
        <v>21</v>
      </c>
      <c r="AO90" s="80" t="b">
        <v>0</v>
      </c>
      <c r="AP90" s="80">
        <v>7</v>
      </c>
      <c r="AQ90" s="80"/>
      <c r="AR90" s="80"/>
      <c r="AS90" s="80" t="s">
        <v>2664</v>
      </c>
      <c r="AT90" s="85" t="str">
        <f>HYPERLINK("https://www.youtube.com/channel/UCpVgM4WUtUtTtdCq_kBwy0Q")</f>
        <v>https://www.youtube.com/channel/UCpVgM4WUtUtTtdCq_kBwy0Q</v>
      </c>
      <c r="AU90" s="80" t="str">
        <f>REPLACE(INDEX(GroupVertices[Group],MATCH(Vertices[[#This Row],[Vertex]],GroupVertices[Vertex],0)),1,1,"")</f>
        <v>3</v>
      </c>
      <c r="AV90" s="49">
        <v>0</v>
      </c>
      <c r="AW90" s="50">
        <v>0</v>
      </c>
      <c r="AX90" s="49">
        <v>1</v>
      </c>
      <c r="AY90" s="50">
        <v>14.285714285714286</v>
      </c>
      <c r="AZ90" s="49">
        <v>0</v>
      </c>
      <c r="BA90" s="50">
        <v>0</v>
      </c>
      <c r="BB90" s="49">
        <v>6</v>
      </c>
      <c r="BC90" s="50">
        <v>85.71428571428571</v>
      </c>
      <c r="BD90" s="49">
        <v>7</v>
      </c>
      <c r="BE90" s="49"/>
      <c r="BF90" s="49"/>
      <c r="BG90" s="49"/>
      <c r="BH90" s="49"/>
      <c r="BI90" s="49"/>
      <c r="BJ90" s="49"/>
      <c r="BK90" s="111" t="s">
        <v>3730</v>
      </c>
      <c r="BL90" s="111" t="s">
        <v>3730</v>
      </c>
      <c r="BM90" s="111" t="s">
        <v>4204</v>
      </c>
      <c r="BN90" s="111" t="s">
        <v>4204</v>
      </c>
      <c r="BO90" s="2"/>
      <c r="BP90" s="3"/>
      <c r="BQ90" s="3"/>
      <c r="BR90" s="3"/>
      <c r="BS90" s="3"/>
    </row>
    <row r="91" spans="1:71" ht="15">
      <c r="A91" s="65" t="s">
        <v>297</v>
      </c>
      <c r="B91" s="66"/>
      <c r="C91" s="66"/>
      <c r="D91" s="67">
        <v>150</v>
      </c>
      <c r="E91" s="69"/>
      <c r="F91" s="103" t="str">
        <f>HYPERLINK("https://yt3.ggpht.com/ytc/AAUvwngAulOkg4YI8Fu6r9e68wj5Hgw2dvA74a0GpPb0-g=s88-c-k-c0x00ffffff-no-rj")</f>
        <v>https://yt3.ggpht.com/ytc/AAUvwngAulOkg4YI8Fu6r9e68wj5Hgw2dvA74a0GpPb0-g=s88-c-k-c0x00ffffff-no-rj</v>
      </c>
      <c r="G91" s="66"/>
      <c r="H91" s="70" t="s">
        <v>1656</v>
      </c>
      <c r="I91" s="71"/>
      <c r="J91" s="71" t="s">
        <v>159</v>
      </c>
      <c r="K91" s="70" t="s">
        <v>1656</v>
      </c>
      <c r="L91" s="74">
        <v>1</v>
      </c>
      <c r="M91" s="75">
        <v>5230.5322265625</v>
      </c>
      <c r="N91" s="75">
        <v>8542.6123046875</v>
      </c>
      <c r="O91" s="76"/>
      <c r="P91" s="77"/>
      <c r="Q91" s="77"/>
      <c r="R91" s="89"/>
      <c r="S91" s="49">
        <v>0</v>
      </c>
      <c r="T91" s="49">
        <v>1</v>
      </c>
      <c r="U91" s="50">
        <v>0</v>
      </c>
      <c r="V91" s="50">
        <v>0.000852</v>
      </c>
      <c r="W91" s="50">
        <v>0</v>
      </c>
      <c r="X91" s="50">
        <v>0.517516</v>
      </c>
      <c r="Y91" s="50">
        <v>0</v>
      </c>
      <c r="Z91" s="50">
        <v>0</v>
      </c>
      <c r="AA91" s="72">
        <v>91</v>
      </c>
      <c r="AB91" s="72"/>
      <c r="AC91" s="73"/>
      <c r="AD91" s="80" t="s">
        <v>1656</v>
      </c>
      <c r="AE91" s="80"/>
      <c r="AF91" s="80"/>
      <c r="AG91" s="80"/>
      <c r="AH91" s="80"/>
      <c r="AI91" s="80"/>
      <c r="AJ91" s="87">
        <v>43958.720509259256</v>
      </c>
      <c r="AK91" s="85" t="str">
        <f>HYPERLINK("https://yt3.ggpht.com/ytc/AAUvwngAulOkg4YI8Fu6r9e68wj5Hgw2dvA74a0GpPb0-g=s88-c-k-c0x00ffffff-no-rj")</f>
        <v>https://yt3.ggpht.com/ytc/AAUvwngAulOkg4YI8Fu6r9e68wj5Hgw2dvA74a0GpPb0-g=s88-c-k-c0x00ffffff-no-rj</v>
      </c>
      <c r="AL91" s="80">
        <v>0</v>
      </c>
      <c r="AM91" s="80">
        <v>0</v>
      </c>
      <c r="AN91" s="80">
        <v>104</v>
      </c>
      <c r="AO91" s="80" t="b">
        <v>0</v>
      </c>
      <c r="AP91" s="80">
        <v>0</v>
      </c>
      <c r="AQ91" s="80"/>
      <c r="AR91" s="80"/>
      <c r="AS91" s="80" t="s">
        <v>2664</v>
      </c>
      <c r="AT91" s="85" t="str">
        <f>HYPERLINK("https://www.youtube.com/channel/UCH1ojNgoWP7UJQlAjY3g1Rw")</f>
        <v>https://www.youtube.com/channel/UCH1ojNgoWP7UJQlAjY3g1Rw</v>
      </c>
      <c r="AU91" s="80" t="str">
        <f>REPLACE(INDEX(GroupVertices[Group],MATCH(Vertices[[#This Row],[Vertex]],GroupVertices[Vertex],0)),1,1,"")</f>
        <v>3</v>
      </c>
      <c r="AV91" s="49">
        <v>2</v>
      </c>
      <c r="AW91" s="50">
        <v>33.333333333333336</v>
      </c>
      <c r="AX91" s="49">
        <v>0</v>
      </c>
      <c r="AY91" s="50">
        <v>0</v>
      </c>
      <c r="AZ91" s="49">
        <v>0</v>
      </c>
      <c r="BA91" s="50">
        <v>0</v>
      </c>
      <c r="BB91" s="49">
        <v>4</v>
      </c>
      <c r="BC91" s="50">
        <v>66.66666666666667</v>
      </c>
      <c r="BD91" s="49">
        <v>6</v>
      </c>
      <c r="BE91" s="49"/>
      <c r="BF91" s="49"/>
      <c r="BG91" s="49"/>
      <c r="BH91" s="49"/>
      <c r="BI91" s="49"/>
      <c r="BJ91" s="49"/>
      <c r="BK91" s="111" t="s">
        <v>3731</v>
      </c>
      <c r="BL91" s="111" t="s">
        <v>3731</v>
      </c>
      <c r="BM91" s="111" t="s">
        <v>4205</v>
      </c>
      <c r="BN91" s="111" t="s">
        <v>4205</v>
      </c>
      <c r="BO91" s="2"/>
      <c r="BP91" s="3"/>
      <c r="BQ91" s="3"/>
      <c r="BR91" s="3"/>
      <c r="BS91" s="3"/>
    </row>
    <row r="92" spans="1:71" ht="15">
      <c r="A92" s="65" t="s">
        <v>298</v>
      </c>
      <c r="B92" s="66"/>
      <c r="C92" s="66"/>
      <c r="D92" s="67">
        <v>150</v>
      </c>
      <c r="E92" s="69"/>
      <c r="F92" s="103" t="str">
        <f>HYPERLINK("https://yt3.ggpht.com/ytc/AAUvwnizhn1TP3GzoEWsniXFRBE0UGRNsSxpg4MYjA=s88-c-k-c0x00ffffff-no-rj")</f>
        <v>https://yt3.ggpht.com/ytc/AAUvwnizhn1TP3GzoEWsniXFRBE0UGRNsSxpg4MYjA=s88-c-k-c0x00ffffff-no-rj</v>
      </c>
      <c r="G92" s="66"/>
      <c r="H92" s="70" t="s">
        <v>1657</v>
      </c>
      <c r="I92" s="71"/>
      <c r="J92" s="71" t="s">
        <v>159</v>
      </c>
      <c r="K92" s="70" t="s">
        <v>1657</v>
      </c>
      <c r="L92" s="74">
        <v>1</v>
      </c>
      <c r="M92" s="75">
        <v>5071.81005859375</v>
      </c>
      <c r="N92" s="75">
        <v>7971.107421875</v>
      </c>
      <c r="O92" s="76"/>
      <c r="P92" s="77"/>
      <c r="Q92" s="77"/>
      <c r="R92" s="89"/>
      <c r="S92" s="49">
        <v>0</v>
      </c>
      <c r="T92" s="49">
        <v>1</v>
      </c>
      <c r="U92" s="50">
        <v>0</v>
      </c>
      <c r="V92" s="50">
        <v>0.000852</v>
      </c>
      <c r="W92" s="50">
        <v>0</v>
      </c>
      <c r="X92" s="50">
        <v>0.517516</v>
      </c>
      <c r="Y92" s="50">
        <v>0</v>
      </c>
      <c r="Z92" s="50">
        <v>0</v>
      </c>
      <c r="AA92" s="72">
        <v>92</v>
      </c>
      <c r="AB92" s="72"/>
      <c r="AC92" s="73"/>
      <c r="AD92" s="80" t="s">
        <v>1657</v>
      </c>
      <c r="AE92" s="80"/>
      <c r="AF92" s="80"/>
      <c r="AG92" s="80"/>
      <c r="AH92" s="80"/>
      <c r="AI92" s="80"/>
      <c r="AJ92" s="87">
        <v>43892.48232638889</v>
      </c>
      <c r="AK92" s="85" t="str">
        <f>HYPERLINK("https://yt3.ggpht.com/ytc/AAUvwnizhn1TP3GzoEWsniXFRBE0UGRNsSxpg4MYjA=s88-c-k-c0x00ffffff-no-rj")</f>
        <v>https://yt3.ggpht.com/ytc/AAUvwnizhn1TP3GzoEWsniXFRBE0UGRNsSxpg4MYjA=s88-c-k-c0x00ffffff-no-rj</v>
      </c>
      <c r="AL92" s="80">
        <v>0</v>
      </c>
      <c r="AM92" s="80">
        <v>0</v>
      </c>
      <c r="AN92" s="80">
        <v>0</v>
      </c>
      <c r="AO92" s="80" t="b">
        <v>0</v>
      </c>
      <c r="AP92" s="80">
        <v>0</v>
      </c>
      <c r="AQ92" s="80"/>
      <c r="AR92" s="80"/>
      <c r="AS92" s="80" t="s">
        <v>2664</v>
      </c>
      <c r="AT92" s="85" t="str">
        <f>HYPERLINK("https://www.youtube.com/channel/UCk8wQAmCOo5X037Z6NEn6TA")</f>
        <v>https://www.youtube.com/channel/UCk8wQAmCOo5X037Z6NEn6TA</v>
      </c>
      <c r="AU92" s="80" t="str">
        <f>REPLACE(INDEX(GroupVertices[Group],MATCH(Vertices[[#This Row],[Vertex]],GroupVertices[Vertex],0)),1,1,"")</f>
        <v>3</v>
      </c>
      <c r="AV92" s="49">
        <v>1</v>
      </c>
      <c r="AW92" s="50">
        <v>20</v>
      </c>
      <c r="AX92" s="49">
        <v>0</v>
      </c>
      <c r="AY92" s="50">
        <v>0</v>
      </c>
      <c r="AZ92" s="49">
        <v>0</v>
      </c>
      <c r="BA92" s="50">
        <v>0</v>
      </c>
      <c r="BB92" s="49">
        <v>4</v>
      </c>
      <c r="BC92" s="50">
        <v>80</v>
      </c>
      <c r="BD92" s="49">
        <v>5</v>
      </c>
      <c r="BE92" s="49"/>
      <c r="BF92" s="49"/>
      <c r="BG92" s="49"/>
      <c r="BH92" s="49"/>
      <c r="BI92" s="49"/>
      <c r="BJ92" s="49"/>
      <c r="BK92" s="111" t="s">
        <v>3042</v>
      </c>
      <c r="BL92" s="111" t="s">
        <v>3042</v>
      </c>
      <c r="BM92" s="111" t="s">
        <v>2390</v>
      </c>
      <c r="BN92" s="111" t="s">
        <v>2390</v>
      </c>
      <c r="BO92" s="2"/>
      <c r="BP92" s="3"/>
      <c r="BQ92" s="3"/>
      <c r="BR92" s="3"/>
      <c r="BS92" s="3"/>
    </row>
    <row r="93" spans="1:71" ht="15">
      <c r="A93" s="65" t="s">
        <v>299</v>
      </c>
      <c r="B93" s="66"/>
      <c r="C93" s="66"/>
      <c r="D93" s="67">
        <v>150</v>
      </c>
      <c r="E93" s="69"/>
      <c r="F93" s="103" t="str">
        <f>HYPERLINK("https://yt3.ggpht.com/ytc/AAUvwnjwHW4xz2OpenDlRBH6bA9bM3HBQ_ddh08v_1WhTA=s88-c-k-c0x00ffffff-no-rj")</f>
        <v>https://yt3.ggpht.com/ytc/AAUvwnjwHW4xz2OpenDlRBH6bA9bM3HBQ_ddh08v_1WhTA=s88-c-k-c0x00ffffff-no-rj</v>
      </c>
      <c r="G93" s="66"/>
      <c r="H93" s="70" t="s">
        <v>1658</v>
      </c>
      <c r="I93" s="71"/>
      <c r="J93" s="71" t="s">
        <v>159</v>
      </c>
      <c r="K93" s="70" t="s">
        <v>1658</v>
      </c>
      <c r="L93" s="74">
        <v>1</v>
      </c>
      <c r="M93" s="75">
        <v>4007.732421875</v>
      </c>
      <c r="N93" s="75">
        <v>8170.98046875</v>
      </c>
      <c r="O93" s="76"/>
      <c r="P93" s="77"/>
      <c r="Q93" s="77"/>
      <c r="R93" s="89"/>
      <c r="S93" s="49">
        <v>0</v>
      </c>
      <c r="T93" s="49">
        <v>1</v>
      </c>
      <c r="U93" s="50">
        <v>0</v>
      </c>
      <c r="V93" s="50">
        <v>0.000852</v>
      </c>
      <c r="W93" s="50">
        <v>0</v>
      </c>
      <c r="X93" s="50">
        <v>0.517516</v>
      </c>
      <c r="Y93" s="50">
        <v>0</v>
      </c>
      <c r="Z93" s="50">
        <v>0</v>
      </c>
      <c r="AA93" s="72">
        <v>93</v>
      </c>
      <c r="AB93" s="72"/>
      <c r="AC93" s="73"/>
      <c r="AD93" s="80" t="s">
        <v>1658</v>
      </c>
      <c r="AE93" s="80" t="s">
        <v>2450</v>
      </c>
      <c r="AF93" s="80"/>
      <c r="AG93" s="80"/>
      <c r="AH93" s="80"/>
      <c r="AI93" s="80"/>
      <c r="AJ93" s="87">
        <v>43623.203414351854</v>
      </c>
      <c r="AK93" s="85" t="str">
        <f>HYPERLINK("https://yt3.ggpht.com/ytc/AAUvwnjwHW4xz2OpenDlRBH6bA9bM3HBQ_ddh08v_1WhTA=s88-c-k-c0x00ffffff-no-rj")</f>
        <v>https://yt3.ggpht.com/ytc/AAUvwnjwHW4xz2OpenDlRBH6bA9bM3HBQ_ddh08v_1WhTA=s88-c-k-c0x00ffffff-no-rj</v>
      </c>
      <c r="AL93" s="80">
        <v>31</v>
      </c>
      <c r="AM93" s="80">
        <v>0</v>
      </c>
      <c r="AN93" s="80">
        <v>12</v>
      </c>
      <c r="AO93" s="80" t="b">
        <v>0</v>
      </c>
      <c r="AP93" s="80">
        <v>2</v>
      </c>
      <c r="AQ93" s="80"/>
      <c r="AR93" s="80"/>
      <c r="AS93" s="80" t="s">
        <v>2664</v>
      </c>
      <c r="AT93" s="85" t="str">
        <f>HYPERLINK("https://www.youtube.com/channel/UCUL_0RJJ6jOvcM7p3ZpCmMQ")</f>
        <v>https://www.youtube.com/channel/UCUL_0RJJ6jOvcM7p3ZpCmMQ</v>
      </c>
      <c r="AU93" s="80" t="str">
        <f>REPLACE(INDEX(GroupVertices[Group],MATCH(Vertices[[#This Row],[Vertex]],GroupVertices[Vertex],0)),1,1,"")</f>
        <v>3</v>
      </c>
      <c r="AV93" s="49">
        <v>1</v>
      </c>
      <c r="AW93" s="50">
        <v>20</v>
      </c>
      <c r="AX93" s="49">
        <v>0</v>
      </c>
      <c r="AY93" s="50">
        <v>0</v>
      </c>
      <c r="AZ93" s="49">
        <v>0</v>
      </c>
      <c r="BA93" s="50">
        <v>0</v>
      </c>
      <c r="BB93" s="49">
        <v>4</v>
      </c>
      <c r="BC93" s="50">
        <v>80</v>
      </c>
      <c r="BD93" s="49">
        <v>5</v>
      </c>
      <c r="BE93" s="49"/>
      <c r="BF93" s="49"/>
      <c r="BG93" s="49"/>
      <c r="BH93" s="49"/>
      <c r="BI93" s="49"/>
      <c r="BJ93" s="49"/>
      <c r="BK93" s="111" t="s">
        <v>3732</v>
      </c>
      <c r="BL93" s="111" t="s">
        <v>3732</v>
      </c>
      <c r="BM93" s="111" t="s">
        <v>4206</v>
      </c>
      <c r="BN93" s="111" t="s">
        <v>4206</v>
      </c>
      <c r="BO93" s="2"/>
      <c r="BP93" s="3"/>
      <c r="BQ93" s="3"/>
      <c r="BR93" s="3"/>
      <c r="BS93" s="3"/>
    </row>
    <row r="94" spans="1:71" ht="15">
      <c r="A94" s="65" t="s">
        <v>300</v>
      </c>
      <c r="B94" s="66"/>
      <c r="C94" s="66"/>
      <c r="D94" s="67">
        <v>150</v>
      </c>
      <c r="E94" s="69"/>
      <c r="F94" s="103" t="str">
        <f>HYPERLINK("https://yt3.ggpht.com/ytc/AAUvwngNzamK7GW2icpCYmsZ6FQ0n3la161iZUmiJg=s88-c-k-c0x00ffffff-no-rj")</f>
        <v>https://yt3.ggpht.com/ytc/AAUvwngNzamK7GW2icpCYmsZ6FQ0n3la161iZUmiJg=s88-c-k-c0x00ffffff-no-rj</v>
      </c>
      <c r="G94" s="66"/>
      <c r="H94" s="70" t="s">
        <v>1659</v>
      </c>
      <c r="I94" s="71"/>
      <c r="J94" s="71" t="s">
        <v>159</v>
      </c>
      <c r="K94" s="70" t="s">
        <v>1659</v>
      </c>
      <c r="L94" s="74">
        <v>1</v>
      </c>
      <c r="M94" s="75">
        <v>5076.82763671875</v>
      </c>
      <c r="N94" s="75">
        <v>8795.9814453125</v>
      </c>
      <c r="O94" s="76"/>
      <c r="P94" s="77"/>
      <c r="Q94" s="77"/>
      <c r="R94" s="89"/>
      <c r="S94" s="49">
        <v>0</v>
      </c>
      <c r="T94" s="49">
        <v>1</v>
      </c>
      <c r="U94" s="50">
        <v>0</v>
      </c>
      <c r="V94" s="50">
        <v>0.000852</v>
      </c>
      <c r="W94" s="50">
        <v>0</v>
      </c>
      <c r="X94" s="50">
        <v>0.517516</v>
      </c>
      <c r="Y94" s="50">
        <v>0</v>
      </c>
      <c r="Z94" s="50">
        <v>0</v>
      </c>
      <c r="AA94" s="72">
        <v>94</v>
      </c>
      <c r="AB94" s="72"/>
      <c r="AC94" s="73"/>
      <c r="AD94" s="80" t="s">
        <v>1659</v>
      </c>
      <c r="AE94" s="80"/>
      <c r="AF94" s="80"/>
      <c r="AG94" s="80"/>
      <c r="AH94" s="80"/>
      <c r="AI94" s="80"/>
      <c r="AJ94" s="87">
        <v>44075.513773148145</v>
      </c>
      <c r="AK94" s="85" t="str">
        <f>HYPERLINK("https://yt3.ggpht.com/ytc/AAUvwngNzamK7GW2icpCYmsZ6FQ0n3la161iZUmiJg=s88-c-k-c0x00ffffff-no-rj")</f>
        <v>https://yt3.ggpht.com/ytc/AAUvwngNzamK7GW2icpCYmsZ6FQ0n3la161iZUmiJg=s88-c-k-c0x00ffffff-no-rj</v>
      </c>
      <c r="AL94" s="80">
        <v>0</v>
      </c>
      <c r="AM94" s="80">
        <v>0</v>
      </c>
      <c r="AN94" s="80">
        <v>2</v>
      </c>
      <c r="AO94" s="80" t="b">
        <v>0</v>
      </c>
      <c r="AP94" s="80">
        <v>0</v>
      </c>
      <c r="AQ94" s="80"/>
      <c r="AR94" s="80"/>
      <c r="AS94" s="80" t="s">
        <v>2664</v>
      </c>
      <c r="AT94" s="85" t="str">
        <f>HYPERLINK("https://www.youtube.com/channel/UCemRVN5Sbnxv17T4x-Dj3IA")</f>
        <v>https://www.youtube.com/channel/UCemRVN5Sbnxv17T4x-Dj3IA</v>
      </c>
      <c r="AU94" s="80" t="str">
        <f>REPLACE(INDEX(GroupVertices[Group],MATCH(Vertices[[#This Row],[Vertex]],GroupVertices[Vertex],0)),1,1,"")</f>
        <v>3</v>
      </c>
      <c r="AV94" s="49">
        <v>3</v>
      </c>
      <c r="AW94" s="50">
        <v>23.076923076923077</v>
      </c>
      <c r="AX94" s="49">
        <v>0</v>
      </c>
      <c r="AY94" s="50">
        <v>0</v>
      </c>
      <c r="AZ94" s="49">
        <v>0</v>
      </c>
      <c r="BA94" s="50">
        <v>0</v>
      </c>
      <c r="BB94" s="49">
        <v>10</v>
      </c>
      <c r="BC94" s="50">
        <v>76.92307692307692</v>
      </c>
      <c r="BD94" s="49">
        <v>13</v>
      </c>
      <c r="BE94" s="49"/>
      <c r="BF94" s="49"/>
      <c r="BG94" s="49"/>
      <c r="BH94" s="49"/>
      <c r="BI94" s="49"/>
      <c r="BJ94" s="49"/>
      <c r="BK94" s="111" t="s">
        <v>3733</v>
      </c>
      <c r="BL94" s="111" t="s">
        <v>3733</v>
      </c>
      <c r="BM94" s="111" t="s">
        <v>4207</v>
      </c>
      <c r="BN94" s="111" t="s">
        <v>4207</v>
      </c>
      <c r="BO94" s="2"/>
      <c r="BP94" s="3"/>
      <c r="BQ94" s="3"/>
      <c r="BR94" s="3"/>
      <c r="BS94" s="3"/>
    </row>
    <row r="95" spans="1:71" ht="15">
      <c r="A95" s="65" t="s">
        <v>301</v>
      </c>
      <c r="B95" s="66"/>
      <c r="C95" s="66"/>
      <c r="D95" s="67">
        <v>150</v>
      </c>
      <c r="E95" s="69"/>
      <c r="F95" s="103" t="str">
        <f>HYPERLINK("https://yt3.ggpht.com/ytc/AAUvwnh3c15zZShU-AxltduqsION-lDkR7pj3UbXNpWS=s88-c-k-c0x00ffffff-no-rj")</f>
        <v>https://yt3.ggpht.com/ytc/AAUvwnh3c15zZShU-AxltduqsION-lDkR7pj3UbXNpWS=s88-c-k-c0x00ffffff-no-rj</v>
      </c>
      <c r="G95" s="66"/>
      <c r="H95" s="70" t="s">
        <v>1660</v>
      </c>
      <c r="I95" s="71"/>
      <c r="J95" s="71" t="s">
        <v>159</v>
      </c>
      <c r="K95" s="70" t="s">
        <v>1660</v>
      </c>
      <c r="L95" s="74">
        <v>1</v>
      </c>
      <c r="M95" s="75">
        <v>3862.125732421875</v>
      </c>
      <c r="N95" s="75">
        <v>8325.4677734375</v>
      </c>
      <c r="O95" s="76"/>
      <c r="P95" s="77"/>
      <c r="Q95" s="77"/>
      <c r="R95" s="89"/>
      <c r="S95" s="49">
        <v>0</v>
      </c>
      <c r="T95" s="49">
        <v>1</v>
      </c>
      <c r="U95" s="50">
        <v>0</v>
      </c>
      <c r="V95" s="50">
        <v>0.000852</v>
      </c>
      <c r="W95" s="50">
        <v>0</v>
      </c>
      <c r="X95" s="50">
        <v>0.517516</v>
      </c>
      <c r="Y95" s="50">
        <v>0</v>
      </c>
      <c r="Z95" s="50">
        <v>0</v>
      </c>
      <c r="AA95" s="72">
        <v>95</v>
      </c>
      <c r="AB95" s="72"/>
      <c r="AC95" s="73"/>
      <c r="AD95" s="80" t="s">
        <v>1660</v>
      </c>
      <c r="AE95" s="80"/>
      <c r="AF95" s="80"/>
      <c r="AG95" s="80"/>
      <c r="AH95" s="80"/>
      <c r="AI95" s="80"/>
      <c r="AJ95" s="87">
        <v>44089.24979166667</v>
      </c>
      <c r="AK95" s="85" t="str">
        <f>HYPERLINK("https://yt3.ggpht.com/ytc/AAUvwnh3c15zZShU-AxltduqsION-lDkR7pj3UbXNpWS=s88-c-k-c0x00ffffff-no-rj")</f>
        <v>https://yt3.ggpht.com/ytc/AAUvwnh3c15zZShU-AxltduqsION-lDkR7pj3UbXNpWS=s88-c-k-c0x00ffffff-no-rj</v>
      </c>
      <c r="AL95" s="80">
        <v>0</v>
      </c>
      <c r="AM95" s="80">
        <v>0</v>
      </c>
      <c r="AN95" s="80">
        <v>0</v>
      </c>
      <c r="AO95" s="80" t="b">
        <v>0</v>
      </c>
      <c r="AP95" s="80">
        <v>0</v>
      </c>
      <c r="AQ95" s="80"/>
      <c r="AR95" s="80"/>
      <c r="AS95" s="80" t="s">
        <v>2664</v>
      </c>
      <c r="AT95" s="85" t="str">
        <f>HYPERLINK("https://www.youtube.com/channel/UCAMZryzGVYLCaIz-nWWcThw")</f>
        <v>https://www.youtube.com/channel/UCAMZryzGVYLCaIz-nWWcThw</v>
      </c>
      <c r="AU95" s="80" t="str">
        <f>REPLACE(INDEX(GroupVertices[Group],MATCH(Vertices[[#This Row],[Vertex]],GroupVertices[Vertex],0)),1,1,"")</f>
        <v>3</v>
      </c>
      <c r="AV95" s="49">
        <v>0</v>
      </c>
      <c r="AW95" s="50">
        <v>0</v>
      </c>
      <c r="AX95" s="49">
        <v>0</v>
      </c>
      <c r="AY95" s="50">
        <v>0</v>
      </c>
      <c r="AZ95" s="49">
        <v>0</v>
      </c>
      <c r="BA95" s="50">
        <v>0</v>
      </c>
      <c r="BB95" s="49">
        <v>4</v>
      </c>
      <c r="BC95" s="50">
        <v>100</v>
      </c>
      <c r="BD95" s="49">
        <v>4</v>
      </c>
      <c r="BE95" s="49"/>
      <c r="BF95" s="49"/>
      <c r="BG95" s="49"/>
      <c r="BH95" s="49"/>
      <c r="BI95" s="49"/>
      <c r="BJ95" s="49"/>
      <c r="BK95" s="111" t="s">
        <v>3734</v>
      </c>
      <c r="BL95" s="111" t="s">
        <v>3734</v>
      </c>
      <c r="BM95" s="111" t="s">
        <v>4208</v>
      </c>
      <c r="BN95" s="111" t="s">
        <v>4208</v>
      </c>
      <c r="BO95" s="2"/>
      <c r="BP95" s="3"/>
      <c r="BQ95" s="3"/>
      <c r="BR95" s="3"/>
      <c r="BS95" s="3"/>
    </row>
    <row r="96" spans="1:71" ht="15">
      <c r="A96" s="65" t="s">
        <v>302</v>
      </c>
      <c r="B96" s="66"/>
      <c r="C96" s="66"/>
      <c r="D96" s="67">
        <v>150</v>
      </c>
      <c r="E96" s="69"/>
      <c r="F96" s="103" t="str">
        <f>HYPERLINK("https://yt3.ggpht.com/ytc/AAUvwngiKnXLt2JiXIkNKZMMKUlgNv55fHXvDom97IKm=s88-c-k-c0x00ffffff-no-rj")</f>
        <v>https://yt3.ggpht.com/ytc/AAUvwngiKnXLt2JiXIkNKZMMKUlgNv55fHXvDom97IKm=s88-c-k-c0x00ffffff-no-rj</v>
      </c>
      <c r="G96" s="66"/>
      <c r="H96" s="70" t="s">
        <v>1661</v>
      </c>
      <c r="I96" s="71"/>
      <c r="J96" s="71" t="s">
        <v>159</v>
      </c>
      <c r="K96" s="70" t="s">
        <v>1661</v>
      </c>
      <c r="L96" s="74">
        <v>1</v>
      </c>
      <c r="M96" s="75">
        <v>4018.204345703125</v>
      </c>
      <c r="N96" s="75">
        <v>7525.224609375</v>
      </c>
      <c r="O96" s="76"/>
      <c r="P96" s="77"/>
      <c r="Q96" s="77"/>
      <c r="R96" s="89"/>
      <c r="S96" s="49">
        <v>0</v>
      </c>
      <c r="T96" s="49">
        <v>1</v>
      </c>
      <c r="U96" s="50">
        <v>0</v>
      </c>
      <c r="V96" s="50">
        <v>0.000852</v>
      </c>
      <c r="W96" s="50">
        <v>0</v>
      </c>
      <c r="X96" s="50">
        <v>0.517516</v>
      </c>
      <c r="Y96" s="50">
        <v>0</v>
      </c>
      <c r="Z96" s="50">
        <v>0</v>
      </c>
      <c r="AA96" s="72">
        <v>96</v>
      </c>
      <c r="AB96" s="72"/>
      <c r="AC96" s="73"/>
      <c r="AD96" s="80" t="s">
        <v>1661</v>
      </c>
      <c r="AE96" s="80" t="s">
        <v>2451</v>
      </c>
      <c r="AF96" s="80"/>
      <c r="AG96" s="80"/>
      <c r="AH96" s="80"/>
      <c r="AI96" s="80"/>
      <c r="AJ96" s="87">
        <v>42036.12453703704</v>
      </c>
      <c r="AK96" s="85" t="str">
        <f>HYPERLINK("https://yt3.ggpht.com/ytc/AAUvwngiKnXLt2JiXIkNKZMMKUlgNv55fHXvDom97IKm=s88-c-k-c0x00ffffff-no-rj")</f>
        <v>https://yt3.ggpht.com/ytc/AAUvwngiKnXLt2JiXIkNKZMMKUlgNv55fHXvDom97IKm=s88-c-k-c0x00ffffff-no-rj</v>
      </c>
      <c r="AL96" s="80">
        <v>997</v>
      </c>
      <c r="AM96" s="80">
        <v>0</v>
      </c>
      <c r="AN96" s="80">
        <v>19</v>
      </c>
      <c r="AO96" s="80" t="b">
        <v>0</v>
      </c>
      <c r="AP96" s="80">
        <v>56</v>
      </c>
      <c r="AQ96" s="80"/>
      <c r="AR96" s="80"/>
      <c r="AS96" s="80" t="s">
        <v>2664</v>
      </c>
      <c r="AT96" s="85" t="str">
        <f>HYPERLINK("https://www.youtube.com/channel/UCs0zeoq1hCZ4kpzkJAk4d-A")</f>
        <v>https://www.youtube.com/channel/UCs0zeoq1hCZ4kpzkJAk4d-A</v>
      </c>
      <c r="AU96" s="80" t="str">
        <f>REPLACE(INDEX(GroupVertices[Group],MATCH(Vertices[[#This Row],[Vertex]],GroupVertices[Vertex],0)),1,1,"")</f>
        <v>3</v>
      </c>
      <c r="AV96" s="49">
        <v>0</v>
      </c>
      <c r="AW96" s="50">
        <v>0</v>
      </c>
      <c r="AX96" s="49">
        <v>3</v>
      </c>
      <c r="AY96" s="50">
        <v>20</v>
      </c>
      <c r="AZ96" s="49">
        <v>0</v>
      </c>
      <c r="BA96" s="50">
        <v>0</v>
      </c>
      <c r="BB96" s="49">
        <v>12</v>
      </c>
      <c r="BC96" s="50">
        <v>80</v>
      </c>
      <c r="BD96" s="49">
        <v>15</v>
      </c>
      <c r="BE96" s="49"/>
      <c r="BF96" s="49"/>
      <c r="BG96" s="49"/>
      <c r="BH96" s="49"/>
      <c r="BI96" s="49"/>
      <c r="BJ96" s="49"/>
      <c r="BK96" s="111" t="s">
        <v>3735</v>
      </c>
      <c r="BL96" s="111" t="s">
        <v>3735</v>
      </c>
      <c r="BM96" s="111" t="s">
        <v>4209</v>
      </c>
      <c r="BN96" s="111" t="s">
        <v>4209</v>
      </c>
      <c r="BO96" s="2"/>
      <c r="BP96" s="3"/>
      <c r="BQ96" s="3"/>
      <c r="BR96" s="3"/>
      <c r="BS96" s="3"/>
    </row>
    <row r="97" spans="1:71" ht="15">
      <c r="A97" s="65" t="s">
        <v>303</v>
      </c>
      <c r="B97" s="66"/>
      <c r="C97" s="66"/>
      <c r="D97" s="67">
        <v>150</v>
      </c>
      <c r="E97" s="69"/>
      <c r="F97" s="103" t="str">
        <f>HYPERLINK("https://yt3.ggpht.com/ytc/AAUvwnil6GY9M7tSgrL-mJAI4PT527gIyP5drd6--E4WJcc=s88-c-k-c0x00ffffff-no-rj")</f>
        <v>https://yt3.ggpht.com/ytc/AAUvwnil6GY9M7tSgrL-mJAI4PT527gIyP5drd6--E4WJcc=s88-c-k-c0x00ffffff-no-rj</v>
      </c>
      <c r="G97" s="66"/>
      <c r="H97" s="70" t="s">
        <v>1662</v>
      </c>
      <c r="I97" s="71"/>
      <c r="J97" s="71" t="s">
        <v>159</v>
      </c>
      <c r="K97" s="70" t="s">
        <v>1662</v>
      </c>
      <c r="L97" s="74">
        <v>1</v>
      </c>
      <c r="M97" s="75">
        <v>6196.93994140625</v>
      </c>
      <c r="N97" s="75">
        <v>8876.0712890625</v>
      </c>
      <c r="O97" s="76"/>
      <c r="P97" s="77"/>
      <c r="Q97" s="77"/>
      <c r="R97" s="89"/>
      <c r="S97" s="49">
        <v>0</v>
      </c>
      <c r="T97" s="49">
        <v>1</v>
      </c>
      <c r="U97" s="50">
        <v>0</v>
      </c>
      <c r="V97" s="50">
        <v>0.000696</v>
      </c>
      <c r="W97" s="50">
        <v>0</v>
      </c>
      <c r="X97" s="50">
        <v>0.579169</v>
      </c>
      <c r="Y97" s="50">
        <v>0</v>
      </c>
      <c r="Z97" s="50">
        <v>0</v>
      </c>
      <c r="AA97" s="72">
        <v>97</v>
      </c>
      <c r="AB97" s="72"/>
      <c r="AC97" s="73"/>
      <c r="AD97" s="80" t="s">
        <v>1662</v>
      </c>
      <c r="AE97" s="80"/>
      <c r="AF97" s="80"/>
      <c r="AG97" s="80"/>
      <c r="AH97" s="80"/>
      <c r="AI97" s="80"/>
      <c r="AJ97" s="87">
        <v>44023.746145833335</v>
      </c>
      <c r="AK97" s="85" t="str">
        <f>HYPERLINK("https://yt3.ggpht.com/ytc/AAUvwnil6GY9M7tSgrL-mJAI4PT527gIyP5drd6--E4WJcc=s88-c-k-c0x00ffffff-no-rj")</f>
        <v>https://yt3.ggpht.com/ytc/AAUvwnil6GY9M7tSgrL-mJAI4PT527gIyP5drd6--E4WJcc=s88-c-k-c0x00ffffff-no-rj</v>
      </c>
      <c r="AL97" s="80">
        <v>0</v>
      </c>
      <c r="AM97" s="80">
        <v>0</v>
      </c>
      <c r="AN97" s="80">
        <v>8</v>
      </c>
      <c r="AO97" s="80" t="b">
        <v>0</v>
      </c>
      <c r="AP97" s="80">
        <v>0</v>
      </c>
      <c r="AQ97" s="80"/>
      <c r="AR97" s="80"/>
      <c r="AS97" s="80" t="s">
        <v>2664</v>
      </c>
      <c r="AT97" s="85" t="str">
        <f>HYPERLINK("https://www.youtube.com/channel/UCkY79Ha7ZmdiBsxtDiOF-Eg")</f>
        <v>https://www.youtube.com/channel/UCkY79Ha7ZmdiBsxtDiOF-Eg</v>
      </c>
      <c r="AU97" s="80" t="str">
        <f>REPLACE(INDEX(GroupVertices[Group],MATCH(Vertices[[#This Row],[Vertex]],GroupVertices[Vertex],0)),1,1,"")</f>
        <v>3</v>
      </c>
      <c r="AV97" s="49">
        <v>1</v>
      </c>
      <c r="AW97" s="50">
        <v>7.142857142857143</v>
      </c>
      <c r="AX97" s="49">
        <v>0</v>
      </c>
      <c r="AY97" s="50">
        <v>0</v>
      </c>
      <c r="AZ97" s="49">
        <v>0</v>
      </c>
      <c r="BA97" s="50">
        <v>0</v>
      </c>
      <c r="BB97" s="49">
        <v>13</v>
      </c>
      <c r="BC97" s="50">
        <v>92.85714285714286</v>
      </c>
      <c r="BD97" s="49">
        <v>14</v>
      </c>
      <c r="BE97" s="49"/>
      <c r="BF97" s="49"/>
      <c r="BG97" s="49"/>
      <c r="BH97" s="49"/>
      <c r="BI97" s="49"/>
      <c r="BJ97" s="49"/>
      <c r="BK97" s="111" t="s">
        <v>3736</v>
      </c>
      <c r="BL97" s="111" t="s">
        <v>3736</v>
      </c>
      <c r="BM97" s="111" t="s">
        <v>4210</v>
      </c>
      <c r="BN97" s="111" t="s">
        <v>4210</v>
      </c>
      <c r="BO97" s="2"/>
      <c r="BP97" s="3"/>
      <c r="BQ97" s="3"/>
      <c r="BR97" s="3"/>
      <c r="BS97" s="3"/>
    </row>
    <row r="98" spans="1:71" ht="15">
      <c r="A98" s="65" t="s">
        <v>304</v>
      </c>
      <c r="B98" s="66"/>
      <c r="C98" s="66"/>
      <c r="D98" s="67">
        <v>291.66666666666663</v>
      </c>
      <c r="E98" s="69"/>
      <c r="F98" s="103" t="str">
        <f>HYPERLINK("https://yt3.ggpht.com/ytc/AAUvwngSWlj_ZH9x1LSb3cFqBgfzdGyTAV52GlTROj5Fvg=s88-c-k-c0x00ffffff-no-rj")</f>
        <v>https://yt3.ggpht.com/ytc/AAUvwngSWlj_ZH9x1LSb3cFqBgfzdGyTAV52GlTROj5Fvg=s88-c-k-c0x00ffffff-no-rj</v>
      </c>
      <c r="G98" s="66"/>
      <c r="H98" s="70" t="s">
        <v>1663</v>
      </c>
      <c r="I98" s="71"/>
      <c r="J98" s="71" t="s">
        <v>159</v>
      </c>
      <c r="K98" s="70" t="s">
        <v>1663</v>
      </c>
      <c r="L98" s="74">
        <v>96.21904761904761</v>
      </c>
      <c r="M98" s="75">
        <v>5515.99365234375</v>
      </c>
      <c r="N98" s="75">
        <v>8525.3759765625</v>
      </c>
      <c r="O98" s="76"/>
      <c r="P98" s="77"/>
      <c r="Q98" s="77"/>
      <c r="R98" s="89"/>
      <c r="S98" s="49">
        <v>1</v>
      </c>
      <c r="T98" s="49">
        <v>1</v>
      </c>
      <c r="U98" s="50">
        <v>530</v>
      </c>
      <c r="V98" s="50">
        <v>0.000853</v>
      </c>
      <c r="W98" s="50">
        <v>0</v>
      </c>
      <c r="X98" s="50">
        <v>1.00981</v>
      </c>
      <c r="Y98" s="50">
        <v>0</v>
      </c>
      <c r="Z98" s="50">
        <v>0</v>
      </c>
      <c r="AA98" s="72">
        <v>98</v>
      </c>
      <c r="AB98" s="72"/>
      <c r="AC98" s="73"/>
      <c r="AD98" s="80" t="s">
        <v>1663</v>
      </c>
      <c r="AE98" s="80"/>
      <c r="AF98" s="80"/>
      <c r="AG98" s="80"/>
      <c r="AH98" s="80"/>
      <c r="AI98" s="80"/>
      <c r="AJ98" s="87">
        <v>44028.22143518519</v>
      </c>
      <c r="AK98" s="85" t="str">
        <f>HYPERLINK("https://yt3.ggpht.com/ytc/AAUvwngSWlj_ZH9x1LSb3cFqBgfzdGyTAV52GlTROj5Fvg=s88-c-k-c0x00ffffff-no-rj")</f>
        <v>https://yt3.ggpht.com/ytc/AAUvwngSWlj_ZH9x1LSb3cFqBgfzdGyTAV52GlTROj5Fvg=s88-c-k-c0x00ffffff-no-rj</v>
      </c>
      <c r="AL98" s="80">
        <v>93</v>
      </c>
      <c r="AM98" s="80">
        <v>0</v>
      </c>
      <c r="AN98" s="80">
        <v>4</v>
      </c>
      <c r="AO98" s="80" t="b">
        <v>0</v>
      </c>
      <c r="AP98" s="80">
        <v>5</v>
      </c>
      <c r="AQ98" s="80"/>
      <c r="AR98" s="80"/>
      <c r="AS98" s="80" t="s">
        <v>2664</v>
      </c>
      <c r="AT98" s="85" t="str">
        <f>HYPERLINK("https://www.youtube.com/channel/UCpJIpZ4keoop_uhVhlZGAMg")</f>
        <v>https://www.youtube.com/channel/UCpJIpZ4keoop_uhVhlZGAMg</v>
      </c>
      <c r="AU98" s="80" t="str">
        <f>REPLACE(INDEX(GroupVertices[Group],MATCH(Vertices[[#This Row],[Vertex]],GroupVertices[Vertex],0)),1,1,"")</f>
        <v>3</v>
      </c>
      <c r="AV98" s="49">
        <v>1</v>
      </c>
      <c r="AW98" s="50">
        <v>6.666666666666667</v>
      </c>
      <c r="AX98" s="49">
        <v>0</v>
      </c>
      <c r="AY98" s="50">
        <v>0</v>
      </c>
      <c r="AZ98" s="49">
        <v>0</v>
      </c>
      <c r="BA98" s="50">
        <v>0</v>
      </c>
      <c r="BB98" s="49">
        <v>14</v>
      </c>
      <c r="BC98" s="50">
        <v>93.33333333333333</v>
      </c>
      <c r="BD98" s="49">
        <v>15</v>
      </c>
      <c r="BE98" s="49"/>
      <c r="BF98" s="49"/>
      <c r="BG98" s="49"/>
      <c r="BH98" s="49"/>
      <c r="BI98" s="49"/>
      <c r="BJ98" s="49"/>
      <c r="BK98" s="111" t="s">
        <v>3737</v>
      </c>
      <c r="BL98" s="111" t="s">
        <v>3737</v>
      </c>
      <c r="BM98" s="111" t="s">
        <v>4211</v>
      </c>
      <c r="BN98" s="111" t="s">
        <v>4211</v>
      </c>
      <c r="BO98" s="2"/>
      <c r="BP98" s="3"/>
      <c r="BQ98" s="3"/>
      <c r="BR98" s="3"/>
      <c r="BS98" s="3"/>
    </row>
    <row r="99" spans="1:71" ht="15">
      <c r="A99" s="65" t="s">
        <v>305</v>
      </c>
      <c r="B99" s="66"/>
      <c r="C99" s="66"/>
      <c r="D99" s="67">
        <v>150</v>
      </c>
      <c r="E99" s="69"/>
      <c r="F99" s="103" t="str">
        <f>HYPERLINK("https://yt3.ggpht.com/ytc/AAUvwngw_KFMvRbbU6b54rhP7Gd5drXY5xxb3THLnNuB9w=s88-c-k-c0x00ffffff-no-rj")</f>
        <v>https://yt3.ggpht.com/ytc/AAUvwngw_KFMvRbbU6b54rhP7Gd5drXY5xxb3THLnNuB9w=s88-c-k-c0x00ffffff-no-rj</v>
      </c>
      <c r="G99" s="66"/>
      <c r="H99" s="70" t="s">
        <v>1664</v>
      </c>
      <c r="I99" s="71"/>
      <c r="J99" s="71" t="s">
        <v>159</v>
      </c>
      <c r="K99" s="70" t="s">
        <v>1664</v>
      </c>
      <c r="L99" s="74">
        <v>1</v>
      </c>
      <c r="M99" s="75">
        <v>5507.1923828125</v>
      </c>
      <c r="N99" s="75">
        <v>8083.0166015625</v>
      </c>
      <c r="O99" s="76"/>
      <c r="P99" s="77"/>
      <c r="Q99" s="77"/>
      <c r="R99" s="89"/>
      <c r="S99" s="49">
        <v>0</v>
      </c>
      <c r="T99" s="49">
        <v>1</v>
      </c>
      <c r="U99" s="50">
        <v>0</v>
      </c>
      <c r="V99" s="50">
        <v>0.000852</v>
      </c>
      <c r="W99" s="50">
        <v>0</v>
      </c>
      <c r="X99" s="50">
        <v>0.517516</v>
      </c>
      <c r="Y99" s="50">
        <v>0</v>
      </c>
      <c r="Z99" s="50">
        <v>0</v>
      </c>
      <c r="AA99" s="72">
        <v>99</v>
      </c>
      <c r="AB99" s="72"/>
      <c r="AC99" s="73"/>
      <c r="AD99" s="80" t="s">
        <v>1664</v>
      </c>
      <c r="AE99" s="80"/>
      <c r="AF99" s="80"/>
      <c r="AG99" s="80"/>
      <c r="AH99" s="80"/>
      <c r="AI99" s="80"/>
      <c r="AJ99" s="87">
        <v>43967.86275462963</v>
      </c>
      <c r="AK99" s="85" t="str">
        <f>HYPERLINK("https://yt3.ggpht.com/ytc/AAUvwngw_KFMvRbbU6b54rhP7Gd5drXY5xxb3THLnNuB9w=s88-c-k-c0x00ffffff-no-rj")</f>
        <v>https://yt3.ggpht.com/ytc/AAUvwngw_KFMvRbbU6b54rhP7Gd5drXY5xxb3THLnNuB9w=s88-c-k-c0x00ffffff-no-rj</v>
      </c>
      <c r="AL99" s="80">
        <v>0</v>
      </c>
      <c r="AM99" s="80">
        <v>0</v>
      </c>
      <c r="AN99" s="80">
        <v>0</v>
      </c>
      <c r="AO99" s="80" t="b">
        <v>0</v>
      </c>
      <c r="AP99" s="80">
        <v>0</v>
      </c>
      <c r="AQ99" s="80"/>
      <c r="AR99" s="80"/>
      <c r="AS99" s="80" t="s">
        <v>2664</v>
      </c>
      <c r="AT99" s="85" t="str">
        <f>HYPERLINK("https://www.youtube.com/channel/UCe8vg21U7drDp4xuaVjU2kw")</f>
        <v>https://www.youtube.com/channel/UCe8vg21U7drDp4xuaVjU2kw</v>
      </c>
      <c r="AU99" s="80" t="str">
        <f>REPLACE(INDEX(GroupVertices[Group],MATCH(Vertices[[#This Row],[Vertex]],GroupVertices[Vertex],0)),1,1,"")</f>
        <v>3</v>
      </c>
      <c r="AV99" s="49">
        <v>11</v>
      </c>
      <c r="AW99" s="50">
        <v>7.333333333333333</v>
      </c>
      <c r="AX99" s="49">
        <v>3</v>
      </c>
      <c r="AY99" s="50">
        <v>2</v>
      </c>
      <c r="AZ99" s="49">
        <v>0</v>
      </c>
      <c r="BA99" s="50">
        <v>0</v>
      </c>
      <c r="BB99" s="49">
        <v>136</v>
      </c>
      <c r="BC99" s="50">
        <v>90.66666666666667</v>
      </c>
      <c r="BD99" s="49">
        <v>150</v>
      </c>
      <c r="BE99" s="49" t="s">
        <v>3422</v>
      </c>
      <c r="BF99" s="49" t="s">
        <v>3422</v>
      </c>
      <c r="BG99" s="49" t="s">
        <v>2381</v>
      </c>
      <c r="BH99" s="49" t="s">
        <v>2381</v>
      </c>
      <c r="BI99" s="49"/>
      <c r="BJ99" s="49"/>
      <c r="BK99" s="111" t="s">
        <v>3738</v>
      </c>
      <c r="BL99" s="111" t="s">
        <v>3738</v>
      </c>
      <c r="BM99" s="111" t="s">
        <v>4212</v>
      </c>
      <c r="BN99" s="111" t="s">
        <v>4212</v>
      </c>
      <c r="BO99" s="2"/>
      <c r="BP99" s="3"/>
      <c r="BQ99" s="3"/>
      <c r="BR99" s="3"/>
      <c r="BS99" s="3"/>
    </row>
    <row r="100" spans="1:71" ht="15">
      <c r="A100" s="65" t="s">
        <v>306</v>
      </c>
      <c r="B100" s="66"/>
      <c r="C100" s="66"/>
      <c r="D100" s="67">
        <v>150</v>
      </c>
      <c r="E100" s="69"/>
      <c r="F100" s="103" t="str">
        <f>HYPERLINK("https://yt3.ggpht.com/ytc/AAUvwnh1YZCuY9OzgSuZE6OrEtcoeXSLDJYWPaGzqg=s88-c-k-c0x00ffffff-no-rj")</f>
        <v>https://yt3.ggpht.com/ytc/AAUvwnh1YZCuY9OzgSuZE6OrEtcoeXSLDJYWPaGzqg=s88-c-k-c0x00ffffff-no-rj</v>
      </c>
      <c r="G100" s="66"/>
      <c r="H100" s="70" t="s">
        <v>1665</v>
      </c>
      <c r="I100" s="71"/>
      <c r="J100" s="71" t="s">
        <v>159</v>
      </c>
      <c r="K100" s="70" t="s">
        <v>1665</v>
      </c>
      <c r="L100" s="74">
        <v>1</v>
      </c>
      <c r="M100" s="75">
        <v>5327.65283203125</v>
      </c>
      <c r="N100" s="75">
        <v>7945.23388671875</v>
      </c>
      <c r="O100" s="76"/>
      <c r="P100" s="77"/>
      <c r="Q100" s="77"/>
      <c r="R100" s="89"/>
      <c r="S100" s="49">
        <v>0</v>
      </c>
      <c r="T100" s="49">
        <v>1</v>
      </c>
      <c r="U100" s="50">
        <v>0</v>
      </c>
      <c r="V100" s="50">
        <v>0.000852</v>
      </c>
      <c r="W100" s="50">
        <v>0</v>
      </c>
      <c r="X100" s="50">
        <v>0.517516</v>
      </c>
      <c r="Y100" s="50">
        <v>0</v>
      </c>
      <c r="Z100" s="50">
        <v>0</v>
      </c>
      <c r="AA100" s="72">
        <v>100</v>
      </c>
      <c r="AB100" s="72"/>
      <c r="AC100" s="73"/>
      <c r="AD100" s="80" t="s">
        <v>1665</v>
      </c>
      <c r="AE100" s="80"/>
      <c r="AF100" s="80"/>
      <c r="AG100" s="80"/>
      <c r="AH100" s="80"/>
      <c r="AI100" s="80"/>
      <c r="AJ100" s="87">
        <v>43999.65484953704</v>
      </c>
      <c r="AK100" s="85" t="str">
        <f>HYPERLINK("https://yt3.ggpht.com/ytc/AAUvwnh1YZCuY9OzgSuZE6OrEtcoeXSLDJYWPaGzqg=s88-c-k-c0x00ffffff-no-rj")</f>
        <v>https://yt3.ggpht.com/ytc/AAUvwnh1YZCuY9OzgSuZE6OrEtcoeXSLDJYWPaGzqg=s88-c-k-c0x00ffffff-no-rj</v>
      </c>
      <c r="AL100" s="80">
        <v>0</v>
      </c>
      <c r="AM100" s="80">
        <v>0</v>
      </c>
      <c r="AN100" s="80">
        <v>0</v>
      </c>
      <c r="AO100" s="80" t="b">
        <v>0</v>
      </c>
      <c r="AP100" s="80">
        <v>0</v>
      </c>
      <c r="AQ100" s="80"/>
      <c r="AR100" s="80"/>
      <c r="AS100" s="80" t="s">
        <v>2664</v>
      </c>
      <c r="AT100" s="85" t="str">
        <f>HYPERLINK("https://www.youtube.com/channel/UCfg6c8urWYaJJOqIhpPkuTw")</f>
        <v>https://www.youtube.com/channel/UCfg6c8urWYaJJOqIhpPkuTw</v>
      </c>
      <c r="AU100" s="80" t="str">
        <f>REPLACE(INDEX(GroupVertices[Group],MATCH(Vertices[[#This Row],[Vertex]],GroupVertices[Vertex],0)),1,1,"")</f>
        <v>3</v>
      </c>
      <c r="AV100" s="49">
        <v>0</v>
      </c>
      <c r="AW100" s="50">
        <v>0</v>
      </c>
      <c r="AX100" s="49">
        <v>0</v>
      </c>
      <c r="AY100" s="50">
        <v>0</v>
      </c>
      <c r="AZ100" s="49">
        <v>0</v>
      </c>
      <c r="BA100" s="50">
        <v>0</v>
      </c>
      <c r="BB100" s="49">
        <v>5</v>
      </c>
      <c r="BC100" s="50">
        <v>100</v>
      </c>
      <c r="BD100" s="49">
        <v>5</v>
      </c>
      <c r="BE100" s="49"/>
      <c r="BF100" s="49"/>
      <c r="BG100" s="49"/>
      <c r="BH100" s="49"/>
      <c r="BI100" s="49"/>
      <c r="BJ100" s="49"/>
      <c r="BK100" s="111" t="s">
        <v>3739</v>
      </c>
      <c r="BL100" s="111" t="s">
        <v>3739</v>
      </c>
      <c r="BM100" s="111" t="s">
        <v>4213</v>
      </c>
      <c r="BN100" s="111" t="s">
        <v>4213</v>
      </c>
      <c r="BO100" s="2"/>
      <c r="BP100" s="3"/>
      <c r="BQ100" s="3"/>
      <c r="BR100" s="3"/>
      <c r="BS100" s="3"/>
    </row>
    <row r="101" spans="1:71" ht="15">
      <c r="A101" s="65" t="s">
        <v>307</v>
      </c>
      <c r="B101" s="66"/>
      <c r="C101" s="66"/>
      <c r="D101" s="67">
        <v>150</v>
      </c>
      <c r="E101" s="69"/>
      <c r="F101" s="103" t="str">
        <f>HYPERLINK("https://yt3.ggpht.com/ytc/AAUvwnhg-BJXG-ZSpP7O3Us8mYrndo7op6Dxh2xpIHHx=s88-c-k-c0x00ffffff-no-rj")</f>
        <v>https://yt3.ggpht.com/ytc/AAUvwnhg-BJXG-ZSpP7O3Us8mYrndo7op6Dxh2xpIHHx=s88-c-k-c0x00ffffff-no-rj</v>
      </c>
      <c r="G101" s="66"/>
      <c r="H101" s="70" t="s">
        <v>1666</v>
      </c>
      <c r="I101" s="71"/>
      <c r="J101" s="71" t="s">
        <v>159</v>
      </c>
      <c r="K101" s="70" t="s">
        <v>1666</v>
      </c>
      <c r="L101" s="74">
        <v>1</v>
      </c>
      <c r="M101" s="75">
        <v>5145.73876953125</v>
      </c>
      <c r="N101" s="75">
        <v>9798.345703125</v>
      </c>
      <c r="O101" s="76"/>
      <c r="P101" s="77"/>
      <c r="Q101" s="77"/>
      <c r="R101" s="89"/>
      <c r="S101" s="49">
        <v>0</v>
      </c>
      <c r="T101" s="49">
        <v>1</v>
      </c>
      <c r="U101" s="50">
        <v>0</v>
      </c>
      <c r="V101" s="50">
        <v>0.000697</v>
      </c>
      <c r="W101" s="50">
        <v>0</v>
      </c>
      <c r="X101" s="50">
        <v>0.572276</v>
      </c>
      <c r="Y101" s="50">
        <v>0</v>
      </c>
      <c r="Z101" s="50">
        <v>0</v>
      </c>
      <c r="AA101" s="72">
        <v>101</v>
      </c>
      <c r="AB101" s="72"/>
      <c r="AC101" s="73"/>
      <c r="AD101" s="80" t="s">
        <v>1666</v>
      </c>
      <c r="AE101" s="80" t="s">
        <v>2452</v>
      </c>
      <c r="AF101" s="80"/>
      <c r="AG101" s="80"/>
      <c r="AH101" s="80"/>
      <c r="AI101" s="80"/>
      <c r="AJ101" s="87">
        <v>44038.35600694444</v>
      </c>
      <c r="AK101" s="85" t="str">
        <f>HYPERLINK("https://yt3.ggpht.com/ytc/AAUvwnhg-BJXG-ZSpP7O3Us8mYrndo7op6Dxh2xpIHHx=s88-c-k-c0x00ffffff-no-rj")</f>
        <v>https://yt3.ggpht.com/ytc/AAUvwnhg-BJXG-ZSpP7O3Us8mYrndo7op6Dxh2xpIHHx=s88-c-k-c0x00ffffff-no-rj</v>
      </c>
      <c r="AL101" s="80">
        <v>2822</v>
      </c>
      <c r="AM101" s="80">
        <v>0</v>
      </c>
      <c r="AN101" s="80">
        <v>54</v>
      </c>
      <c r="AO101" s="80" t="b">
        <v>0</v>
      </c>
      <c r="AP101" s="80">
        <v>17</v>
      </c>
      <c r="AQ101" s="80"/>
      <c r="AR101" s="80"/>
      <c r="AS101" s="80" t="s">
        <v>2664</v>
      </c>
      <c r="AT101" s="85" t="str">
        <f>HYPERLINK("https://www.youtube.com/channel/UCe_yln_7VXIDkMvJilIX5bg")</f>
        <v>https://www.youtube.com/channel/UCe_yln_7VXIDkMvJilIX5bg</v>
      </c>
      <c r="AU101" s="80" t="str">
        <f>REPLACE(INDEX(GroupVertices[Group],MATCH(Vertices[[#This Row],[Vertex]],GroupVertices[Vertex],0)),1,1,"")</f>
        <v>3</v>
      </c>
      <c r="AV101" s="49">
        <v>0</v>
      </c>
      <c r="AW101" s="50">
        <v>0</v>
      </c>
      <c r="AX101" s="49">
        <v>0</v>
      </c>
      <c r="AY101" s="50">
        <v>0</v>
      </c>
      <c r="AZ101" s="49">
        <v>0</v>
      </c>
      <c r="BA101" s="50">
        <v>0</v>
      </c>
      <c r="BB101" s="49">
        <v>1</v>
      </c>
      <c r="BC101" s="50">
        <v>100</v>
      </c>
      <c r="BD101" s="49">
        <v>1</v>
      </c>
      <c r="BE101" s="49"/>
      <c r="BF101" s="49"/>
      <c r="BG101" s="49"/>
      <c r="BH101" s="49"/>
      <c r="BI101" s="49"/>
      <c r="BJ101" s="49"/>
      <c r="BK101" s="111" t="s">
        <v>2390</v>
      </c>
      <c r="BL101" s="111" t="s">
        <v>2390</v>
      </c>
      <c r="BM101" s="111" t="s">
        <v>2390</v>
      </c>
      <c r="BN101" s="111" t="s">
        <v>2390</v>
      </c>
      <c r="BO101" s="2"/>
      <c r="BP101" s="3"/>
      <c r="BQ101" s="3"/>
      <c r="BR101" s="3"/>
      <c r="BS101" s="3"/>
    </row>
    <row r="102" spans="1:71" ht="15">
      <c r="A102" s="65" t="s">
        <v>309</v>
      </c>
      <c r="B102" s="66"/>
      <c r="C102" s="66"/>
      <c r="D102" s="67">
        <v>433.3333333333333</v>
      </c>
      <c r="E102" s="69"/>
      <c r="F102" s="103" t="str">
        <f>HYPERLINK("https://yt3.ggpht.com/ytc/AAUvwnhX_KB-rIT5lRa52Yhpw78KxqU5XrWuyML8An_WEQ=s88-c-k-c0x00ffffff-no-rj")</f>
        <v>https://yt3.ggpht.com/ytc/AAUvwnhX_KB-rIT5lRa52Yhpw78KxqU5XrWuyML8An_WEQ=s88-c-k-c0x00ffffff-no-rj</v>
      </c>
      <c r="G102" s="66"/>
      <c r="H102" s="70" t="s">
        <v>1668</v>
      </c>
      <c r="I102" s="71"/>
      <c r="J102" s="71" t="s">
        <v>75</v>
      </c>
      <c r="K102" s="70" t="s">
        <v>1668</v>
      </c>
      <c r="L102" s="74">
        <v>191.43809523809523</v>
      </c>
      <c r="M102" s="75">
        <v>4471.03515625</v>
      </c>
      <c r="N102" s="75">
        <v>9080.29296875</v>
      </c>
      <c r="O102" s="76"/>
      <c r="P102" s="77"/>
      <c r="Q102" s="77"/>
      <c r="R102" s="89"/>
      <c r="S102" s="49">
        <v>2</v>
      </c>
      <c r="T102" s="49">
        <v>1</v>
      </c>
      <c r="U102" s="50">
        <v>1058</v>
      </c>
      <c r="V102" s="50">
        <v>0.000855</v>
      </c>
      <c r="W102" s="50">
        <v>0</v>
      </c>
      <c r="X102" s="50">
        <v>1.490384</v>
      </c>
      <c r="Y102" s="50">
        <v>0</v>
      </c>
      <c r="Z102" s="50">
        <v>0</v>
      </c>
      <c r="AA102" s="72">
        <v>102</v>
      </c>
      <c r="AB102" s="72"/>
      <c r="AC102" s="73"/>
      <c r="AD102" s="80" t="s">
        <v>1668</v>
      </c>
      <c r="AE102" s="80"/>
      <c r="AF102" s="80"/>
      <c r="AG102" s="80"/>
      <c r="AH102" s="80"/>
      <c r="AI102" s="80"/>
      <c r="AJ102" s="87">
        <v>42002.08623842592</v>
      </c>
      <c r="AK102" s="85" t="str">
        <f>HYPERLINK("https://yt3.ggpht.com/ytc/AAUvwnhX_KB-rIT5lRa52Yhpw78KxqU5XrWuyML8An_WEQ=s88-c-k-c0x00ffffff-no-rj")</f>
        <v>https://yt3.ggpht.com/ytc/AAUvwnhX_KB-rIT5lRa52Yhpw78KxqU5XrWuyML8An_WEQ=s88-c-k-c0x00ffffff-no-rj</v>
      </c>
      <c r="AL102" s="80">
        <v>0</v>
      </c>
      <c r="AM102" s="80">
        <v>0</v>
      </c>
      <c r="AN102" s="80">
        <v>1</v>
      </c>
      <c r="AO102" s="80" t="b">
        <v>0</v>
      </c>
      <c r="AP102" s="80">
        <v>0</v>
      </c>
      <c r="AQ102" s="80"/>
      <c r="AR102" s="80"/>
      <c r="AS102" s="80" t="s">
        <v>2664</v>
      </c>
      <c r="AT102" s="85" t="str">
        <f>HYPERLINK("https://www.youtube.com/channel/UC3UC3alxwtdTFGQIqY2xYtw")</f>
        <v>https://www.youtube.com/channel/UC3UC3alxwtdTFGQIqY2xYtw</v>
      </c>
      <c r="AU102" s="80" t="str">
        <f>REPLACE(INDEX(GroupVertices[Group],MATCH(Vertices[[#This Row],[Vertex]],GroupVertices[Vertex],0)),1,1,"")</f>
        <v>3</v>
      </c>
      <c r="AV102" s="49">
        <v>0</v>
      </c>
      <c r="AW102" s="50">
        <v>0</v>
      </c>
      <c r="AX102" s="49">
        <v>0</v>
      </c>
      <c r="AY102" s="50">
        <v>0</v>
      </c>
      <c r="AZ102" s="49">
        <v>0</v>
      </c>
      <c r="BA102" s="50">
        <v>0</v>
      </c>
      <c r="BB102" s="49">
        <v>12</v>
      </c>
      <c r="BC102" s="50">
        <v>100</v>
      </c>
      <c r="BD102" s="49">
        <v>12</v>
      </c>
      <c r="BE102" s="49"/>
      <c r="BF102" s="49"/>
      <c r="BG102" s="49"/>
      <c r="BH102" s="49"/>
      <c r="BI102" s="49"/>
      <c r="BJ102" s="49"/>
      <c r="BK102" s="111" t="s">
        <v>3740</v>
      </c>
      <c r="BL102" s="111" t="s">
        <v>3740</v>
      </c>
      <c r="BM102" s="111" t="s">
        <v>4214</v>
      </c>
      <c r="BN102" s="111" t="s">
        <v>4214</v>
      </c>
      <c r="BO102" s="2"/>
      <c r="BP102" s="3"/>
      <c r="BQ102" s="3"/>
      <c r="BR102" s="3"/>
      <c r="BS102" s="3"/>
    </row>
    <row r="103" spans="1:71" ht="15">
      <c r="A103" s="65" t="s">
        <v>308</v>
      </c>
      <c r="B103" s="66"/>
      <c r="C103" s="66"/>
      <c r="D103" s="67">
        <v>150</v>
      </c>
      <c r="E103" s="69"/>
      <c r="F103" s="103" t="str">
        <f>HYPERLINK("https://yt3.ggpht.com/ytc/AAUvwngm-G2aDaDVFAZK26h_SKmew7C42vpdd0HJ8jowTw=s88-c-k-c0x00ffffff-no-rj")</f>
        <v>https://yt3.ggpht.com/ytc/AAUvwngm-G2aDaDVFAZK26h_SKmew7C42vpdd0HJ8jowTw=s88-c-k-c0x00ffffff-no-rj</v>
      </c>
      <c r="G103" s="66"/>
      <c r="H103" s="70" t="s">
        <v>1667</v>
      </c>
      <c r="I103" s="71"/>
      <c r="J103" s="71" t="s">
        <v>159</v>
      </c>
      <c r="K103" s="70" t="s">
        <v>1667</v>
      </c>
      <c r="L103" s="74">
        <v>1</v>
      </c>
      <c r="M103" s="75">
        <v>3481.60498046875</v>
      </c>
      <c r="N103" s="75">
        <v>9423.4912109375</v>
      </c>
      <c r="O103" s="76"/>
      <c r="P103" s="77"/>
      <c r="Q103" s="77"/>
      <c r="R103" s="89"/>
      <c r="S103" s="49">
        <v>0</v>
      </c>
      <c r="T103" s="49">
        <v>1</v>
      </c>
      <c r="U103" s="50">
        <v>0</v>
      </c>
      <c r="V103" s="50">
        <v>0.000697</v>
      </c>
      <c r="W103" s="50">
        <v>0</v>
      </c>
      <c r="X103" s="50">
        <v>0.572276</v>
      </c>
      <c r="Y103" s="50">
        <v>0</v>
      </c>
      <c r="Z103" s="50">
        <v>0</v>
      </c>
      <c r="AA103" s="72">
        <v>103</v>
      </c>
      <c r="AB103" s="72"/>
      <c r="AC103" s="73"/>
      <c r="AD103" s="80" t="s">
        <v>1667</v>
      </c>
      <c r="AE103" s="80"/>
      <c r="AF103" s="80"/>
      <c r="AG103" s="80"/>
      <c r="AH103" s="80"/>
      <c r="AI103" s="80"/>
      <c r="AJ103" s="87">
        <v>44049.11221064815</v>
      </c>
      <c r="AK103" s="85" t="str">
        <f>HYPERLINK("https://yt3.ggpht.com/ytc/AAUvwngm-G2aDaDVFAZK26h_SKmew7C42vpdd0HJ8jowTw=s88-c-k-c0x00ffffff-no-rj")</f>
        <v>https://yt3.ggpht.com/ytc/AAUvwngm-G2aDaDVFAZK26h_SKmew7C42vpdd0HJ8jowTw=s88-c-k-c0x00ffffff-no-rj</v>
      </c>
      <c r="AL103" s="80">
        <v>57</v>
      </c>
      <c r="AM103" s="80">
        <v>0</v>
      </c>
      <c r="AN103" s="80">
        <v>6</v>
      </c>
      <c r="AO103" s="80" t="b">
        <v>0</v>
      </c>
      <c r="AP103" s="80">
        <v>3</v>
      </c>
      <c r="AQ103" s="80"/>
      <c r="AR103" s="80"/>
      <c r="AS103" s="80" t="s">
        <v>2664</v>
      </c>
      <c r="AT103" s="85" t="str">
        <f>HYPERLINK("https://www.youtube.com/channel/UCxy6Tuf_ksQ5egQdxwYXJMA")</f>
        <v>https://www.youtube.com/channel/UCxy6Tuf_ksQ5egQdxwYXJMA</v>
      </c>
      <c r="AU103" s="80" t="str">
        <f>REPLACE(INDEX(GroupVertices[Group],MATCH(Vertices[[#This Row],[Vertex]],GroupVertices[Vertex],0)),1,1,"")</f>
        <v>3</v>
      </c>
      <c r="AV103" s="49">
        <v>1</v>
      </c>
      <c r="AW103" s="50">
        <v>5</v>
      </c>
      <c r="AX103" s="49">
        <v>0</v>
      </c>
      <c r="AY103" s="50">
        <v>0</v>
      </c>
      <c r="AZ103" s="49">
        <v>0</v>
      </c>
      <c r="BA103" s="50">
        <v>0</v>
      </c>
      <c r="BB103" s="49">
        <v>19</v>
      </c>
      <c r="BC103" s="50">
        <v>95</v>
      </c>
      <c r="BD103" s="49">
        <v>20</v>
      </c>
      <c r="BE103" s="49"/>
      <c r="BF103" s="49"/>
      <c r="BG103" s="49"/>
      <c r="BH103" s="49"/>
      <c r="BI103" s="49"/>
      <c r="BJ103" s="49"/>
      <c r="BK103" s="111" t="s">
        <v>3741</v>
      </c>
      <c r="BL103" s="111" t="s">
        <v>3741</v>
      </c>
      <c r="BM103" s="111" t="s">
        <v>4215</v>
      </c>
      <c r="BN103" s="111" t="s">
        <v>4215</v>
      </c>
      <c r="BO103" s="2"/>
      <c r="BP103" s="3"/>
      <c r="BQ103" s="3"/>
      <c r="BR103" s="3"/>
      <c r="BS103" s="3"/>
    </row>
    <row r="104" spans="1:71" ht="15">
      <c r="A104" s="65" t="s">
        <v>310</v>
      </c>
      <c r="B104" s="66"/>
      <c r="C104" s="66"/>
      <c r="D104" s="67">
        <v>150</v>
      </c>
      <c r="E104" s="69"/>
      <c r="F104" s="103" t="str">
        <f>HYPERLINK("https://yt3.ggpht.com/ytc/AAUvwnhdz8FRHibtmU3y8lyq246hrtU4wCJQBndZoQ=s88-c-k-c0x00ffffff-no-rj")</f>
        <v>https://yt3.ggpht.com/ytc/AAUvwnhdz8FRHibtmU3y8lyq246hrtU4wCJQBndZoQ=s88-c-k-c0x00ffffff-no-rj</v>
      </c>
      <c r="G104" s="66"/>
      <c r="H104" s="70" t="s">
        <v>1669</v>
      </c>
      <c r="I104" s="71"/>
      <c r="J104" s="71" t="s">
        <v>159</v>
      </c>
      <c r="K104" s="70" t="s">
        <v>1669</v>
      </c>
      <c r="L104" s="74">
        <v>1</v>
      </c>
      <c r="M104" s="75">
        <v>4988.767578125</v>
      </c>
      <c r="N104" s="75">
        <v>8384.228515625</v>
      </c>
      <c r="O104" s="76"/>
      <c r="P104" s="77"/>
      <c r="Q104" s="77"/>
      <c r="R104" s="89"/>
      <c r="S104" s="49">
        <v>0</v>
      </c>
      <c r="T104" s="49">
        <v>1</v>
      </c>
      <c r="U104" s="50">
        <v>0</v>
      </c>
      <c r="V104" s="50">
        <v>0.000852</v>
      </c>
      <c r="W104" s="50">
        <v>0</v>
      </c>
      <c r="X104" s="50">
        <v>0.517516</v>
      </c>
      <c r="Y104" s="50">
        <v>0</v>
      </c>
      <c r="Z104" s="50">
        <v>0</v>
      </c>
      <c r="AA104" s="72">
        <v>104</v>
      </c>
      <c r="AB104" s="72"/>
      <c r="AC104" s="73"/>
      <c r="AD104" s="80" t="s">
        <v>1669</v>
      </c>
      <c r="AE104" s="80"/>
      <c r="AF104" s="80"/>
      <c r="AG104" s="80"/>
      <c r="AH104" s="80"/>
      <c r="AI104" s="80"/>
      <c r="AJ104" s="87">
        <v>43319.01358796296</v>
      </c>
      <c r="AK104" s="85" t="str">
        <f>HYPERLINK("https://yt3.ggpht.com/ytc/AAUvwnhdz8FRHibtmU3y8lyq246hrtU4wCJQBndZoQ=s88-c-k-c0x00ffffff-no-rj")</f>
        <v>https://yt3.ggpht.com/ytc/AAUvwnhdz8FRHibtmU3y8lyq246hrtU4wCJQBndZoQ=s88-c-k-c0x00ffffff-no-rj</v>
      </c>
      <c r="AL104" s="80">
        <v>0</v>
      </c>
      <c r="AM104" s="80">
        <v>0</v>
      </c>
      <c r="AN104" s="80">
        <v>0</v>
      </c>
      <c r="AO104" s="80" t="b">
        <v>0</v>
      </c>
      <c r="AP104" s="80">
        <v>0</v>
      </c>
      <c r="AQ104" s="80"/>
      <c r="AR104" s="80"/>
      <c r="AS104" s="80" t="s">
        <v>2664</v>
      </c>
      <c r="AT104" s="85" t="str">
        <f>HYPERLINK("https://www.youtube.com/channel/UCYF7iFl00_1lAvf4zyOYCVg")</f>
        <v>https://www.youtube.com/channel/UCYF7iFl00_1lAvf4zyOYCVg</v>
      </c>
      <c r="AU104" s="80" t="str">
        <f>REPLACE(INDEX(GroupVertices[Group],MATCH(Vertices[[#This Row],[Vertex]],GroupVertices[Vertex],0)),1,1,"")</f>
        <v>3</v>
      </c>
      <c r="AV104" s="49">
        <v>1</v>
      </c>
      <c r="AW104" s="50">
        <v>100</v>
      </c>
      <c r="AX104" s="49">
        <v>0</v>
      </c>
      <c r="AY104" s="50">
        <v>0</v>
      </c>
      <c r="AZ104" s="49">
        <v>0</v>
      </c>
      <c r="BA104" s="50">
        <v>0</v>
      </c>
      <c r="BB104" s="49">
        <v>0</v>
      </c>
      <c r="BC104" s="50">
        <v>0</v>
      </c>
      <c r="BD104" s="49">
        <v>1</v>
      </c>
      <c r="BE104" s="49"/>
      <c r="BF104" s="49"/>
      <c r="BG104" s="49"/>
      <c r="BH104" s="49"/>
      <c r="BI104" s="49"/>
      <c r="BJ104" s="49"/>
      <c r="BK104" s="111" t="s">
        <v>1110</v>
      </c>
      <c r="BL104" s="111" t="s">
        <v>1110</v>
      </c>
      <c r="BM104" s="111" t="s">
        <v>2390</v>
      </c>
      <c r="BN104" s="111" t="s">
        <v>2390</v>
      </c>
      <c r="BO104" s="2"/>
      <c r="BP104" s="3"/>
      <c r="BQ104" s="3"/>
      <c r="BR104" s="3"/>
      <c r="BS104" s="3"/>
    </row>
    <row r="105" spans="1:71" ht="15">
      <c r="A105" s="65" t="s">
        <v>311</v>
      </c>
      <c r="B105" s="66"/>
      <c r="C105" s="66"/>
      <c r="D105" s="67">
        <v>150</v>
      </c>
      <c r="E105" s="69"/>
      <c r="F105" s="103" t="str">
        <f>HYPERLINK("https://yt3.ggpht.com/jNICoWWj9OsaGiCoGszU6kFuwAcugTYIuF0HnTgxwWm-t981oO-5XvUW_p5cMBH1vSYONlnC_g=s88-c-k-c0x00ffffff-no-rj")</f>
        <v>https://yt3.ggpht.com/jNICoWWj9OsaGiCoGszU6kFuwAcugTYIuF0HnTgxwWm-t981oO-5XvUW_p5cMBH1vSYONlnC_g=s88-c-k-c0x00ffffff-no-rj</v>
      </c>
      <c r="G105" s="66"/>
      <c r="H105" s="70" t="s">
        <v>1670</v>
      </c>
      <c r="I105" s="71"/>
      <c r="J105" s="71" t="s">
        <v>159</v>
      </c>
      <c r="K105" s="70" t="s">
        <v>1670</v>
      </c>
      <c r="L105" s="74">
        <v>1</v>
      </c>
      <c r="M105" s="75">
        <v>3961.788818359375</v>
      </c>
      <c r="N105" s="75">
        <v>8604.578125</v>
      </c>
      <c r="O105" s="76"/>
      <c r="P105" s="77"/>
      <c r="Q105" s="77"/>
      <c r="R105" s="89"/>
      <c r="S105" s="49">
        <v>0</v>
      </c>
      <c r="T105" s="49">
        <v>1</v>
      </c>
      <c r="U105" s="50">
        <v>0</v>
      </c>
      <c r="V105" s="50">
        <v>0.000852</v>
      </c>
      <c r="W105" s="50">
        <v>0</v>
      </c>
      <c r="X105" s="50">
        <v>0.517516</v>
      </c>
      <c r="Y105" s="50">
        <v>0</v>
      </c>
      <c r="Z105" s="50">
        <v>0</v>
      </c>
      <c r="AA105" s="72">
        <v>105</v>
      </c>
      <c r="AB105" s="72"/>
      <c r="AC105" s="73"/>
      <c r="AD105" s="80" t="s">
        <v>1670</v>
      </c>
      <c r="AE105" s="80" t="s">
        <v>2453</v>
      </c>
      <c r="AF105" s="80"/>
      <c r="AG105" s="80"/>
      <c r="AH105" s="80"/>
      <c r="AI105" s="80"/>
      <c r="AJ105" s="87">
        <v>42946.88155092593</v>
      </c>
      <c r="AK105" s="85" t="str">
        <f>HYPERLINK("https://yt3.ggpht.com/jNICoWWj9OsaGiCoGszU6kFuwAcugTYIuF0HnTgxwWm-t981oO-5XvUW_p5cMBH1vSYONlnC_g=s88-c-k-c0x00ffffff-no-rj")</f>
        <v>https://yt3.ggpht.com/jNICoWWj9OsaGiCoGszU6kFuwAcugTYIuF0HnTgxwWm-t981oO-5XvUW_p5cMBH1vSYONlnC_g=s88-c-k-c0x00ffffff-no-rj</v>
      </c>
      <c r="AL105" s="80">
        <v>0</v>
      </c>
      <c r="AM105" s="80">
        <v>0</v>
      </c>
      <c r="AN105" s="80">
        <v>16</v>
      </c>
      <c r="AO105" s="80" t="b">
        <v>0</v>
      </c>
      <c r="AP105" s="80">
        <v>0</v>
      </c>
      <c r="AQ105" s="80"/>
      <c r="AR105" s="80"/>
      <c r="AS105" s="80" t="s">
        <v>2664</v>
      </c>
      <c r="AT105" s="85" t="str">
        <f>HYPERLINK("https://www.youtube.com/channel/UCQG4AgX7CwIPNmjzexjKdfA")</f>
        <v>https://www.youtube.com/channel/UCQG4AgX7CwIPNmjzexjKdfA</v>
      </c>
      <c r="AU105" s="80" t="str">
        <f>REPLACE(INDEX(GroupVertices[Group],MATCH(Vertices[[#This Row],[Vertex]],GroupVertices[Vertex],0)),1,1,"")</f>
        <v>3</v>
      </c>
      <c r="AV105" s="49">
        <v>1</v>
      </c>
      <c r="AW105" s="50">
        <v>5.555555555555555</v>
      </c>
      <c r="AX105" s="49">
        <v>0</v>
      </c>
      <c r="AY105" s="50">
        <v>0</v>
      </c>
      <c r="AZ105" s="49">
        <v>0</v>
      </c>
      <c r="BA105" s="50">
        <v>0</v>
      </c>
      <c r="BB105" s="49">
        <v>17</v>
      </c>
      <c r="BC105" s="50">
        <v>94.44444444444444</v>
      </c>
      <c r="BD105" s="49">
        <v>18</v>
      </c>
      <c r="BE105" s="49"/>
      <c r="BF105" s="49"/>
      <c r="BG105" s="49"/>
      <c r="BH105" s="49"/>
      <c r="BI105" s="49"/>
      <c r="BJ105" s="49"/>
      <c r="BK105" s="111" t="s">
        <v>3742</v>
      </c>
      <c r="BL105" s="111" t="s">
        <v>3742</v>
      </c>
      <c r="BM105" s="111" t="s">
        <v>4216</v>
      </c>
      <c r="BN105" s="111" t="s">
        <v>4216</v>
      </c>
      <c r="BO105" s="2"/>
      <c r="BP105" s="3"/>
      <c r="BQ105" s="3"/>
      <c r="BR105" s="3"/>
      <c r="BS105" s="3"/>
    </row>
    <row r="106" spans="1:71" ht="15">
      <c r="A106" s="65" t="s">
        <v>312</v>
      </c>
      <c r="B106" s="66"/>
      <c r="C106" s="66"/>
      <c r="D106" s="67">
        <v>150</v>
      </c>
      <c r="E106" s="69"/>
      <c r="F106" s="103" t="str">
        <f>HYPERLINK("https://yt3.ggpht.com/ytc/AAUvwnjPIoxBw-EItN8mtPOaD-6Zwr2P5ahn9AWdFVUH6Q=s88-c-k-c0x00ffffff-no-rj")</f>
        <v>https://yt3.ggpht.com/ytc/AAUvwnjPIoxBw-EItN8mtPOaD-6Zwr2P5ahn9AWdFVUH6Q=s88-c-k-c0x00ffffff-no-rj</v>
      </c>
      <c r="G106" s="66"/>
      <c r="H106" s="70" t="s">
        <v>1671</v>
      </c>
      <c r="I106" s="71"/>
      <c r="J106" s="71" t="s">
        <v>159</v>
      </c>
      <c r="K106" s="70" t="s">
        <v>1671</v>
      </c>
      <c r="L106" s="74">
        <v>1</v>
      </c>
      <c r="M106" s="75">
        <v>4244.45849609375</v>
      </c>
      <c r="N106" s="75">
        <v>8123.26318359375</v>
      </c>
      <c r="O106" s="76"/>
      <c r="P106" s="77"/>
      <c r="Q106" s="77"/>
      <c r="R106" s="89"/>
      <c r="S106" s="49">
        <v>0</v>
      </c>
      <c r="T106" s="49">
        <v>1</v>
      </c>
      <c r="U106" s="50">
        <v>0</v>
      </c>
      <c r="V106" s="50">
        <v>0.000852</v>
      </c>
      <c r="W106" s="50">
        <v>0</v>
      </c>
      <c r="X106" s="50">
        <v>0.517516</v>
      </c>
      <c r="Y106" s="50">
        <v>0</v>
      </c>
      <c r="Z106" s="50">
        <v>0</v>
      </c>
      <c r="AA106" s="72">
        <v>106</v>
      </c>
      <c r="AB106" s="72"/>
      <c r="AC106" s="73"/>
      <c r="AD106" s="80" t="s">
        <v>1671</v>
      </c>
      <c r="AE106" s="80"/>
      <c r="AF106" s="80"/>
      <c r="AG106" s="80"/>
      <c r="AH106" s="80"/>
      <c r="AI106" s="80"/>
      <c r="AJ106" s="87">
        <v>43189.57519675926</v>
      </c>
      <c r="AK106" s="85" t="str">
        <f>HYPERLINK("https://yt3.ggpht.com/ytc/AAUvwnjPIoxBw-EItN8mtPOaD-6Zwr2P5ahn9AWdFVUH6Q=s88-c-k-c0x00ffffff-no-rj")</f>
        <v>https://yt3.ggpht.com/ytc/AAUvwnjPIoxBw-EItN8mtPOaD-6Zwr2P5ahn9AWdFVUH6Q=s88-c-k-c0x00ffffff-no-rj</v>
      </c>
      <c r="AL106" s="80">
        <v>0</v>
      </c>
      <c r="AM106" s="80">
        <v>0</v>
      </c>
      <c r="AN106" s="80">
        <v>0</v>
      </c>
      <c r="AO106" s="80" t="b">
        <v>0</v>
      </c>
      <c r="AP106" s="80">
        <v>0</v>
      </c>
      <c r="AQ106" s="80"/>
      <c r="AR106" s="80"/>
      <c r="AS106" s="80" t="s">
        <v>2664</v>
      </c>
      <c r="AT106" s="85" t="str">
        <f>HYPERLINK("https://www.youtube.com/channel/UCliPFvBl3yH2uyGZHI2lcqg")</f>
        <v>https://www.youtube.com/channel/UCliPFvBl3yH2uyGZHI2lcqg</v>
      </c>
      <c r="AU106" s="80" t="str">
        <f>REPLACE(INDEX(GroupVertices[Group],MATCH(Vertices[[#This Row],[Vertex]],GroupVertices[Vertex],0)),1,1,"")</f>
        <v>3</v>
      </c>
      <c r="AV106" s="49">
        <v>1</v>
      </c>
      <c r="AW106" s="50">
        <v>20</v>
      </c>
      <c r="AX106" s="49">
        <v>0</v>
      </c>
      <c r="AY106" s="50">
        <v>0</v>
      </c>
      <c r="AZ106" s="49">
        <v>0</v>
      </c>
      <c r="BA106" s="50">
        <v>0</v>
      </c>
      <c r="BB106" s="49">
        <v>4</v>
      </c>
      <c r="BC106" s="50">
        <v>80</v>
      </c>
      <c r="BD106" s="49">
        <v>5</v>
      </c>
      <c r="BE106" s="49"/>
      <c r="BF106" s="49"/>
      <c r="BG106" s="49"/>
      <c r="BH106" s="49"/>
      <c r="BI106" s="49"/>
      <c r="BJ106" s="49"/>
      <c r="BK106" s="111" t="s">
        <v>2716</v>
      </c>
      <c r="BL106" s="111" t="s">
        <v>2716</v>
      </c>
      <c r="BM106" s="111" t="s">
        <v>2390</v>
      </c>
      <c r="BN106" s="111" t="s">
        <v>2390</v>
      </c>
      <c r="BO106" s="2"/>
      <c r="BP106" s="3"/>
      <c r="BQ106" s="3"/>
      <c r="BR106" s="3"/>
      <c r="BS106" s="3"/>
    </row>
    <row r="107" spans="1:71" ht="15">
      <c r="A107" s="65" t="s">
        <v>313</v>
      </c>
      <c r="B107" s="66"/>
      <c r="C107" s="66"/>
      <c r="D107" s="67">
        <v>150</v>
      </c>
      <c r="E107" s="69"/>
      <c r="F107" s="103" t="str">
        <f>HYPERLINK("https://yt3.ggpht.com/ytc/AAUvwni74vIBkLRJsrzhiauiQ8cEDaqiJTnM97qoqifUxg=s88-c-k-c0x00ffffff-no-rj")</f>
        <v>https://yt3.ggpht.com/ytc/AAUvwni74vIBkLRJsrzhiauiQ8cEDaqiJTnM97qoqifUxg=s88-c-k-c0x00ffffff-no-rj</v>
      </c>
      <c r="G107" s="66"/>
      <c r="H107" s="70" t="s">
        <v>1672</v>
      </c>
      <c r="I107" s="71"/>
      <c r="J107" s="71" t="s">
        <v>159</v>
      </c>
      <c r="K107" s="70" t="s">
        <v>1672</v>
      </c>
      <c r="L107" s="74">
        <v>1</v>
      </c>
      <c r="M107" s="75">
        <v>5262.9599609375</v>
      </c>
      <c r="N107" s="75">
        <v>8787.2666015625</v>
      </c>
      <c r="O107" s="76"/>
      <c r="P107" s="77"/>
      <c r="Q107" s="77"/>
      <c r="R107" s="89"/>
      <c r="S107" s="49">
        <v>0</v>
      </c>
      <c r="T107" s="49">
        <v>1</v>
      </c>
      <c r="U107" s="50">
        <v>0</v>
      </c>
      <c r="V107" s="50">
        <v>0.000852</v>
      </c>
      <c r="W107" s="50">
        <v>0</v>
      </c>
      <c r="X107" s="50">
        <v>0.517516</v>
      </c>
      <c r="Y107" s="50">
        <v>0</v>
      </c>
      <c r="Z107" s="50">
        <v>0</v>
      </c>
      <c r="AA107" s="72">
        <v>107</v>
      </c>
      <c r="AB107" s="72"/>
      <c r="AC107" s="73"/>
      <c r="AD107" s="80" t="s">
        <v>1672</v>
      </c>
      <c r="AE107" s="80"/>
      <c r="AF107" s="80"/>
      <c r="AG107" s="80"/>
      <c r="AH107" s="80"/>
      <c r="AI107" s="80"/>
      <c r="AJ107" s="87">
        <v>44168.850648148145</v>
      </c>
      <c r="AK107" s="85" t="str">
        <f>HYPERLINK("https://yt3.ggpht.com/ytc/AAUvwni74vIBkLRJsrzhiauiQ8cEDaqiJTnM97qoqifUxg=s88-c-k-c0x00ffffff-no-rj")</f>
        <v>https://yt3.ggpht.com/ytc/AAUvwni74vIBkLRJsrzhiauiQ8cEDaqiJTnM97qoqifUxg=s88-c-k-c0x00ffffff-no-rj</v>
      </c>
      <c r="AL107" s="80">
        <v>0</v>
      </c>
      <c r="AM107" s="80">
        <v>0</v>
      </c>
      <c r="AN107" s="80">
        <v>0</v>
      </c>
      <c r="AO107" s="80" t="b">
        <v>0</v>
      </c>
      <c r="AP107" s="80">
        <v>0</v>
      </c>
      <c r="AQ107" s="80"/>
      <c r="AR107" s="80"/>
      <c r="AS107" s="80" t="s">
        <v>2664</v>
      </c>
      <c r="AT107" s="85" t="str">
        <f>HYPERLINK("https://www.youtube.com/channel/UCfDAkBaAdKSTL133UX0I7Xw")</f>
        <v>https://www.youtube.com/channel/UCfDAkBaAdKSTL133UX0I7Xw</v>
      </c>
      <c r="AU107" s="80" t="str">
        <f>REPLACE(INDEX(GroupVertices[Group],MATCH(Vertices[[#This Row],[Vertex]],GroupVertices[Vertex],0)),1,1,"")</f>
        <v>3</v>
      </c>
      <c r="AV107" s="49">
        <v>0</v>
      </c>
      <c r="AW107" s="50">
        <v>0</v>
      </c>
      <c r="AX107" s="49">
        <v>0</v>
      </c>
      <c r="AY107" s="50">
        <v>0</v>
      </c>
      <c r="AZ107" s="49">
        <v>0</v>
      </c>
      <c r="BA107" s="50">
        <v>0</v>
      </c>
      <c r="BB107" s="49">
        <v>3</v>
      </c>
      <c r="BC107" s="50">
        <v>100</v>
      </c>
      <c r="BD107" s="49">
        <v>3</v>
      </c>
      <c r="BE107" s="49"/>
      <c r="BF107" s="49"/>
      <c r="BG107" s="49"/>
      <c r="BH107" s="49"/>
      <c r="BI107" s="49"/>
      <c r="BJ107" s="49"/>
      <c r="BK107" s="111" t="s">
        <v>3743</v>
      </c>
      <c r="BL107" s="111" t="s">
        <v>3743</v>
      </c>
      <c r="BM107" s="111" t="s">
        <v>2390</v>
      </c>
      <c r="BN107" s="111" t="s">
        <v>2390</v>
      </c>
      <c r="BO107" s="2"/>
      <c r="BP107" s="3"/>
      <c r="BQ107" s="3"/>
      <c r="BR107" s="3"/>
      <c r="BS107" s="3"/>
    </row>
    <row r="108" spans="1:71" ht="15">
      <c r="A108" s="65" t="s">
        <v>314</v>
      </c>
      <c r="B108" s="66"/>
      <c r="C108" s="66"/>
      <c r="D108" s="67">
        <v>150</v>
      </c>
      <c r="E108" s="69"/>
      <c r="F108" s="103" t="str">
        <f>HYPERLINK("https://yt3.ggpht.com/ytc/AAUvwnh838BCqb1Ja2tglMak11qXAuM9C5cGudSsK--7=s88-c-k-c0x00ffffff-no-rj")</f>
        <v>https://yt3.ggpht.com/ytc/AAUvwnh838BCqb1Ja2tglMak11qXAuM9C5cGudSsK--7=s88-c-k-c0x00ffffff-no-rj</v>
      </c>
      <c r="G108" s="66"/>
      <c r="H108" s="70" t="s">
        <v>1673</v>
      </c>
      <c r="I108" s="71"/>
      <c r="J108" s="71" t="s">
        <v>159</v>
      </c>
      <c r="K108" s="70" t="s">
        <v>1673</v>
      </c>
      <c r="L108" s="74">
        <v>1</v>
      </c>
      <c r="M108" s="75">
        <v>4502.2978515625</v>
      </c>
      <c r="N108" s="75">
        <v>7600.025390625</v>
      </c>
      <c r="O108" s="76"/>
      <c r="P108" s="77"/>
      <c r="Q108" s="77"/>
      <c r="R108" s="89"/>
      <c r="S108" s="49">
        <v>0</v>
      </c>
      <c r="T108" s="49">
        <v>1</v>
      </c>
      <c r="U108" s="50">
        <v>0</v>
      </c>
      <c r="V108" s="50">
        <v>0.000852</v>
      </c>
      <c r="W108" s="50">
        <v>0</v>
      </c>
      <c r="X108" s="50">
        <v>0.517516</v>
      </c>
      <c r="Y108" s="50">
        <v>0</v>
      </c>
      <c r="Z108" s="50">
        <v>0</v>
      </c>
      <c r="AA108" s="72">
        <v>108</v>
      </c>
      <c r="AB108" s="72"/>
      <c r="AC108" s="73"/>
      <c r="AD108" s="80" t="s">
        <v>1673</v>
      </c>
      <c r="AE108" s="80"/>
      <c r="AF108" s="80"/>
      <c r="AG108" s="80"/>
      <c r="AH108" s="80"/>
      <c r="AI108" s="80"/>
      <c r="AJ108" s="87">
        <v>41260.62422453704</v>
      </c>
      <c r="AK108" s="85" t="str">
        <f>HYPERLINK("https://yt3.ggpht.com/ytc/AAUvwnh838BCqb1Ja2tglMak11qXAuM9C5cGudSsK--7=s88-c-k-c0x00ffffff-no-rj")</f>
        <v>https://yt3.ggpht.com/ytc/AAUvwnh838BCqb1Ja2tglMak11qXAuM9C5cGudSsK--7=s88-c-k-c0x00ffffff-no-rj</v>
      </c>
      <c r="AL108" s="80">
        <v>0</v>
      </c>
      <c r="AM108" s="80">
        <v>0</v>
      </c>
      <c r="AN108" s="80">
        <v>0</v>
      </c>
      <c r="AO108" s="80" t="b">
        <v>0</v>
      </c>
      <c r="AP108" s="80">
        <v>0</v>
      </c>
      <c r="AQ108" s="80"/>
      <c r="AR108" s="80"/>
      <c r="AS108" s="80" t="s">
        <v>2664</v>
      </c>
      <c r="AT108" s="85" t="str">
        <f>HYPERLINK("https://www.youtube.com/channel/UCpk2BuOuwhPc16sXlfOdiyg")</f>
        <v>https://www.youtube.com/channel/UCpk2BuOuwhPc16sXlfOdiyg</v>
      </c>
      <c r="AU108" s="80" t="str">
        <f>REPLACE(INDEX(GroupVertices[Group],MATCH(Vertices[[#This Row],[Vertex]],GroupVertices[Vertex],0)),1,1,"")</f>
        <v>3</v>
      </c>
      <c r="AV108" s="49">
        <v>1</v>
      </c>
      <c r="AW108" s="50">
        <v>16.666666666666668</v>
      </c>
      <c r="AX108" s="49">
        <v>0</v>
      </c>
      <c r="AY108" s="50">
        <v>0</v>
      </c>
      <c r="AZ108" s="49">
        <v>0</v>
      </c>
      <c r="BA108" s="50">
        <v>0</v>
      </c>
      <c r="BB108" s="49">
        <v>5</v>
      </c>
      <c r="BC108" s="50">
        <v>83.33333333333333</v>
      </c>
      <c r="BD108" s="49">
        <v>6</v>
      </c>
      <c r="BE108" s="49"/>
      <c r="BF108" s="49"/>
      <c r="BG108" s="49"/>
      <c r="BH108" s="49"/>
      <c r="BI108" s="49"/>
      <c r="BJ108" s="49"/>
      <c r="BK108" s="111" t="s">
        <v>3744</v>
      </c>
      <c r="BL108" s="111" t="s">
        <v>3744</v>
      </c>
      <c r="BM108" s="111" t="s">
        <v>4217</v>
      </c>
      <c r="BN108" s="111" t="s">
        <v>4217</v>
      </c>
      <c r="BO108" s="2"/>
      <c r="BP108" s="3"/>
      <c r="BQ108" s="3"/>
      <c r="BR108" s="3"/>
      <c r="BS108" s="3"/>
    </row>
    <row r="109" spans="1:71" ht="15">
      <c r="A109" s="65" t="s">
        <v>315</v>
      </c>
      <c r="B109" s="66"/>
      <c r="C109" s="66"/>
      <c r="D109" s="67">
        <v>150</v>
      </c>
      <c r="E109" s="69"/>
      <c r="F109" s="103" t="str">
        <f>HYPERLINK("https://yt3.ggpht.com/ytc/AAUvwniCX8aTgCblKEKprNKFVSnYPBQVrG5n0czYlg=s88-c-k-c0x00ffffff-no-rj")</f>
        <v>https://yt3.ggpht.com/ytc/AAUvwniCX8aTgCblKEKprNKFVSnYPBQVrG5n0czYlg=s88-c-k-c0x00ffffff-no-rj</v>
      </c>
      <c r="G109" s="66"/>
      <c r="H109" s="70" t="s">
        <v>1674</v>
      </c>
      <c r="I109" s="71"/>
      <c r="J109" s="71" t="s">
        <v>159</v>
      </c>
      <c r="K109" s="70" t="s">
        <v>1674</v>
      </c>
      <c r="L109" s="74">
        <v>1</v>
      </c>
      <c r="M109" s="75">
        <v>5154.47314453125</v>
      </c>
      <c r="N109" s="75">
        <v>8258.3046875</v>
      </c>
      <c r="O109" s="76"/>
      <c r="P109" s="77"/>
      <c r="Q109" s="77"/>
      <c r="R109" s="89"/>
      <c r="S109" s="49">
        <v>0</v>
      </c>
      <c r="T109" s="49">
        <v>1</v>
      </c>
      <c r="U109" s="50">
        <v>0</v>
      </c>
      <c r="V109" s="50">
        <v>0.000852</v>
      </c>
      <c r="W109" s="50">
        <v>0</v>
      </c>
      <c r="X109" s="50">
        <v>0.517516</v>
      </c>
      <c r="Y109" s="50">
        <v>0</v>
      </c>
      <c r="Z109" s="50">
        <v>0</v>
      </c>
      <c r="AA109" s="72">
        <v>109</v>
      </c>
      <c r="AB109" s="72"/>
      <c r="AC109" s="73"/>
      <c r="AD109" s="80" t="s">
        <v>1674</v>
      </c>
      <c r="AE109" s="80"/>
      <c r="AF109" s="80"/>
      <c r="AG109" s="80"/>
      <c r="AH109" s="80"/>
      <c r="AI109" s="80"/>
      <c r="AJ109" s="87">
        <v>43356.628958333335</v>
      </c>
      <c r="AK109" s="85" t="str">
        <f>HYPERLINK("https://yt3.ggpht.com/ytc/AAUvwniCX8aTgCblKEKprNKFVSnYPBQVrG5n0czYlg=s88-c-k-c0x00ffffff-no-rj")</f>
        <v>https://yt3.ggpht.com/ytc/AAUvwniCX8aTgCblKEKprNKFVSnYPBQVrG5n0czYlg=s88-c-k-c0x00ffffff-no-rj</v>
      </c>
      <c r="AL109" s="80">
        <v>0</v>
      </c>
      <c r="AM109" s="80">
        <v>0</v>
      </c>
      <c r="AN109" s="80">
        <v>1</v>
      </c>
      <c r="AO109" s="80" t="b">
        <v>0</v>
      </c>
      <c r="AP109" s="80">
        <v>0</v>
      </c>
      <c r="AQ109" s="80"/>
      <c r="AR109" s="80"/>
      <c r="AS109" s="80" t="s">
        <v>2664</v>
      </c>
      <c r="AT109" s="85" t="str">
        <f>HYPERLINK("https://www.youtube.com/channel/UCn5FBvjUlYQBUFu_2nwyPDg")</f>
        <v>https://www.youtube.com/channel/UCn5FBvjUlYQBUFu_2nwyPDg</v>
      </c>
      <c r="AU109" s="80" t="str">
        <f>REPLACE(INDEX(GroupVertices[Group],MATCH(Vertices[[#This Row],[Vertex]],GroupVertices[Vertex],0)),1,1,"")</f>
        <v>3</v>
      </c>
      <c r="AV109" s="49">
        <v>0</v>
      </c>
      <c r="AW109" s="50">
        <v>0</v>
      </c>
      <c r="AX109" s="49">
        <v>0</v>
      </c>
      <c r="AY109" s="50">
        <v>0</v>
      </c>
      <c r="AZ109" s="49">
        <v>0</v>
      </c>
      <c r="BA109" s="50">
        <v>0</v>
      </c>
      <c r="BB109" s="49">
        <v>4</v>
      </c>
      <c r="BC109" s="50">
        <v>100</v>
      </c>
      <c r="BD109" s="49">
        <v>4</v>
      </c>
      <c r="BE109" s="49"/>
      <c r="BF109" s="49"/>
      <c r="BG109" s="49"/>
      <c r="BH109" s="49"/>
      <c r="BI109" s="49"/>
      <c r="BJ109" s="49"/>
      <c r="BK109" s="111" t="s">
        <v>3745</v>
      </c>
      <c r="BL109" s="111" t="s">
        <v>3745</v>
      </c>
      <c r="BM109" s="111" t="s">
        <v>4218</v>
      </c>
      <c r="BN109" s="111" t="s">
        <v>4218</v>
      </c>
      <c r="BO109" s="2"/>
      <c r="BP109" s="3"/>
      <c r="BQ109" s="3"/>
      <c r="BR109" s="3"/>
      <c r="BS109" s="3"/>
    </row>
    <row r="110" spans="1:71" ht="15">
      <c r="A110" s="65" t="s">
        <v>316</v>
      </c>
      <c r="B110" s="66"/>
      <c r="C110" s="66"/>
      <c r="D110" s="67">
        <v>150</v>
      </c>
      <c r="E110" s="69"/>
      <c r="F110" s="103" t="str">
        <f>HYPERLINK("https://yt3.ggpht.com/JchBQuPD6s2QyUzKcW6LyMHAFqPxH3V6-9kgLeRRyFJtpSk97FKdCElNH4Rpivn41KI7vc6A=s88-c-k-c0x00ffffff-no-rj")</f>
        <v>https://yt3.ggpht.com/JchBQuPD6s2QyUzKcW6LyMHAFqPxH3V6-9kgLeRRyFJtpSk97FKdCElNH4Rpivn41KI7vc6A=s88-c-k-c0x00ffffff-no-rj</v>
      </c>
      <c r="G110" s="66"/>
      <c r="H110" s="70" t="s">
        <v>1675</v>
      </c>
      <c r="I110" s="71"/>
      <c r="J110" s="71" t="s">
        <v>159</v>
      </c>
      <c r="K110" s="70" t="s">
        <v>1675</v>
      </c>
      <c r="L110" s="74">
        <v>1</v>
      </c>
      <c r="M110" s="75">
        <v>4694.47216796875</v>
      </c>
      <c r="N110" s="75">
        <v>8733.220703125</v>
      </c>
      <c r="O110" s="76"/>
      <c r="P110" s="77"/>
      <c r="Q110" s="77"/>
      <c r="R110" s="89"/>
      <c r="S110" s="49">
        <v>0</v>
      </c>
      <c r="T110" s="49">
        <v>1</v>
      </c>
      <c r="U110" s="50">
        <v>0</v>
      </c>
      <c r="V110" s="50">
        <v>0.000852</v>
      </c>
      <c r="W110" s="50">
        <v>0</v>
      </c>
      <c r="X110" s="50">
        <v>0.517516</v>
      </c>
      <c r="Y110" s="50">
        <v>0</v>
      </c>
      <c r="Z110" s="50">
        <v>0</v>
      </c>
      <c r="AA110" s="72">
        <v>110</v>
      </c>
      <c r="AB110" s="72"/>
      <c r="AC110" s="73"/>
      <c r="AD110" s="80" t="s">
        <v>1675</v>
      </c>
      <c r="AE110" s="80" t="s">
        <v>2454</v>
      </c>
      <c r="AF110" s="80"/>
      <c r="AG110" s="80"/>
      <c r="AH110" s="80"/>
      <c r="AI110" s="80"/>
      <c r="AJ110" s="87">
        <v>44062.574583333335</v>
      </c>
      <c r="AK110" s="85" t="str">
        <f>HYPERLINK("https://yt3.ggpht.com/JchBQuPD6s2QyUzKcW6LyMHAFqPxH3V6-9kgLeRRyFJtpSk97FKdCElNH4Rpivn41KI7vc6A=s88-c-k-c0x00ffffff-no-rj")</f>
        <v>https://yt3.ggpht.com/JchBQuPD6s2QyUzKcW6LyMHAFqPxH3V6-9kgLeRRyFJtpSk97FKdCElNH4Rpivn41KI7vc6A=s88-c-k-c0x00ffffff-no-rj</v>
      </c>
      <c r="AL110" s="80">
        <v>1987</v>
      </c>
      <c r="AM110" s="80">
        <v>0</v>
      </c>
      <c r="AN110" s="80">
        <v>87</v>
      </c>
      <c r="AO110" s="80" t="b">
        <v>0</v>
      </c>
      <c r="AP110" s="80">
        <v>20</v>
      </c>
      <c r="AQ110" s="80"/>
      <c r="AR110" s="80"/>
      <c r="AS110" s="80" t="s">
        <v>2664</v>
      </c>
      <c r="AT110" s="85" t="str">
        <f>HYPERLINK("https://www.youtube.com/channel/UCVt_hRn0DxHLPKVM-E3T1gQ")</f>
        <v>https://www.youtube.com/channel/UCVt_hRn0DxHLPKVM-E3T1gQ</v>
      </c>
      <c r="AU110" s="80" t="str">
        <f>REPLACE(INDEX(GroupVertices[Group],MATCH(Vertices[[#This Row],[Vertex]],GroupVertices[Vertex],0)),1,1,"")</f>
        <v>3</v>
      </c>
      <c r="AV110" s="49">
        <v>0</v>
      </c>
      <c r="AW110" s="50">
        <v>0</v>
      </c>
      <c r="AX110" s="49">
        <v>0</v>
      </c>
      <c r="AY110" s="50">
        <v>0</v>
      </c>
      <c r="AZ110" s="49">
        <v>0</v>
      </c>
      <c r="BA110" s="50">
        <v>0</v>
      </c>
      <c r="BB110" s="49">
        <v>8</v>
      </c>
      <c r="BC110" s="50">
        <v>100</v>
      </c>
      <c r="BD110" s="49">
        <v>8</v>
      </c>
      <c r="BE110" s="49"/>
      <c r="BF110" s="49"/>
      <c r="BG110" s="49"/>
      <c r="BH110" s="49"/>
      <c r="BI110" s="49"/>
      <c r="BJ110" s="49"/>
      <c r="BK110" s="111" t="s">
        <v>3746</v>
      </c>
      <c r="BL110" s="111" t="s">
        <v>3746</v>
      </c>
      <c r="BM110" s="111" t="s">
        <v>4219</v>
      </c>
      <c r="BN110" s="111" t="s">
        <v>4219</v>
      </c>
      <c r="BO110" s="2"/>
      <c r="BP110" s="3"/>
      <c r="BQ110" s="3"/>
      <c r="BR110" s="3"/>
      <c r="BS110" s="3"/>
    </row>
    <row r="111" spans="1:71" ht="15">
      <c r="A111" s="65" t="s">
        <v>317</v>
      </c>
      <c r="B111" s="66"/>
      <c r="C111" s="66"/>
      <c r="D111" s="67">
        <v>150</v>
      </c>
      <c r="E111" s="69"/>
      <c r="F111" s="103" t="str">
        <f>HYPERLINK("https://yt3.ggpht.com/ytc/AAUvwnji5OUpeW8sT3ANxlJUlipoi28jiFhJU0HXaRro=s88-c-k-c0x00ffffff-no-rj")</f>
        <v>https://yt3.ggpht.com/ytc/AAUvwnji5OUpeW8sT3ANxlJUlipoi28jiFhJU0HXaRro=s88-c-k-c0x00ffffff-no-rj</v>
      </c>
      <c r="G111" s="66"/>
      <c r="H111" s="70" t="s">
        <v>1676</v>
      </c>
      <c r="I111" s="71"/>
      <c r="J111" s="71" t="s">
        <v>159</v>
      </c>
      <c r="K111" s="70" t="s">
        <v>1676</v>
      </c>
      <c r="L111" s="74">
        <v>1</v>
      </c>
      <c r="M111" s="75">
        <v>4424.88330078125</v>
      </c>
      <c r="N111" s="75">
        <v>7384.6103515625</v>
      </c>
      <c r="O111" s="76"/>
      <c r="P111" s="77"/>
      <c r="Q111" s="77"/>
      <c r="R111" s="89"/>
      <c r="S111" s="49">
        <v>0</v>
      </c>
      <c r="T111" s="49">
        <v>1</v>
      </c>
      <c r="U111" s="50">
        <v>0</v>
      </c>
      <c r="V111" s="50">
        <v>0.000852</v>
      </c>
      <c r="W111" s="50">
        <v>0</v>
      </c>
      <c r="X111" s="50">
        <v>0.517516</v>
      </c>
      <c r="Y111" s="50">
        <v>0</v>
      </c>
      <c r="Z111" s="50">
        <v>0</v>
      </c>
      <c r="AA111" s="72">
        <v>111</v>
      </c>
      <c r="AB111" s="72"/>
      <c r="AC111" s="73"/>
      <c r="AD111" s="80" t="s">
        <v>1676</v>
      </c>
      <c r="AE111" s="80"/>
      <c r="AF111" s="80"/>
      <c r="AG111" s="80"/>
      <c r="AH111" s="80"/>
      <c r="AI111" s="80"/>
      <c r="AJ111" s="87">
        <v>43955.6169212963</v>
      </c>
      <c r="AK111" s="85" t="str">
        <f>HYPERLINK("https://yt3.ggpht.com/ytc/AAUvwnji5OUpeW8sT3ANxlJUlipoi28jiFhJU0HXaRro=s88-c-k-c0x00ffffff-no-rj")</f>
        <v>https://yt3.ggpht.com/ytc/AAUvwnji5OUpeW8sT3ANxlJUlipoi28jiFhJU0HXaRro=s88-c-k-c0x00ffffff-no-rj</v>
      </c>
      <c r="AL111" s="80">
        <v>612</v>
      </c>
      <c r="AM111" s="80">
        <v>0</v>
      </c>
      <c r="AN111" s="80">
        <v>4</v>
      </c>
      <c r="AO111" s="80" t="b">
        <v>0</v>
      </c>
      <c r="AP111" s="80">
        <v>2</v>
      </c>
      <c r="AQ111" s="80"/>
      <c r="AR111" s="80"/>
      <c r="AS111" s="80" t="s">
        <v>2664</v>
      </c>
      <c r="AT111" s="85" t="str">
        <f>HYPERLINK("https://www.youtube.com/channel/UCdGMILgjKkt3yFobo1qwNxQ")</f>
        <v>https://www.youtube.com/channel/UCdGMILgjKkt3yFobo1qwNxQ</v>
      </c>
      <c r="AU111" s="80" t="str">
        <f>REPLACE(INDEX(GroupVertices[Group],MATCH(Vertices[[#This Row],[Vertex]],GroupVertices[Vertex],0)),1,1,"")</f>
        <v>3</v>
      </c>
      <c r="AV111" s="49">
        <v>1</v>
      </c>
      <c r="AW111" s="50">
        <v>33.333333333333336</v>
      </c>
      <c r="AX111" s="49">
        <v>0</v>
      </c>
      <c r="AY111" s="50">
        <v>0</v>
      </c>
      <c r="AZ111" s="49">
        <v>0</v>
      </c>
      <c r="BA111" s="50">
        <v>0</v>
      </c>
      <c r="BB111" s="49">
        <v>2</v>
      </c>
      <c r="BC111" s="50">
        <v>66.66666666666667</v>
      </c>
      <c r="BD111" s="49">
        <v>3</v>
      </c>
      <c r="BE111" s="49"/>
      <c r="BF111" s="49"/>
      <c r="BG111" s="49"/>
      <c r="BH111" s="49"/>
      <c r="BI111" s="49"/>
      <c r="BJ111" s="49"/>
      <c r="BK111" s="111" t="s">
        <v>3747</v>
      </c>
      <c r="BL111" s="111" t="s">
        <v>3747</v>
      </c>
      <c r="BM111" s="111" t="s">
        <v>4220</v>
      </c>
      <c r="BN111" s="111" t="s">
        <v>4220</v>
      </c>
      <c r="BO111" s="2"/>
      <c r="BP111" s="3"/>
      <c r="BQ111" s="3"/>
      <c r="BR111" s="3"/>
      <c r="BS111" s="3"/>
    </row>
    <row r="112" spans="1:71" ht="15">
      <c r="A112" s="65" t="s">
        <v>318</v>
      </c>
      <c r="B112" s="66"/>
      <c r="C112" s="66"/>
      <c r="D112" s="67">
        <v>150</v>
      </c>
      <c r="E112" s="69"/>
      <c r="F112" s="103" t="str">
        <f>HYPERLINK("https://yt3.ggpht.com/ytc/AAUvwnhxsH8F3206o2pNDqHCf6QH9EJ1kZDW8ZsfmCJrNw=s88-c-k-c0x00ffffff-no-rj")</f>
        <v>https://yt3.ggpht.com/ytc/AAUvwnhxsH8F3206o2pNDqHCf6QH9EJ1kZDW8ZsfmCJrNw=s88-c-k-c0x00ffffff-no-rj</v>
      </c>
      <c r="G112" s="66"/>
      <c r="H112" s="70" t="s">
        <v>1677</v>
      </c>
      <c r="I112" s="71"/>
      <c r="J112" s="71" t="s">
        <v>159</v>
      </c>
      <c r="K112" s="70" t="s">
        <v>1677</v>
      </c>
      <c r="L112" s="74">
        <v>1</v>
      </c>
      <c r="M112" s="75">
        <v>5258.68017578125</v>
      </c>
      <c r="N112" s="75">
        <v>7544.73486328125</v>
      </c>
      <c r="O112" s="76"/>
      <c r="P112" s="77"/>
      <c r="Q112" s="77"/>
      <c r="R112" s="89"/>
      <c r="S112" s="49">
        <v>0</v>
      </c>
      <c r="T112" s="49">
        <v>1</v>
      </c>
      <c r="U112" s="50">
        <v>0</v>
      </c>
      <c r="V112" s="50">
        <v>0.000852</v>
      </c>
      <c r="W112" s="50">
        <v>0</v>
      </c>
      <c r="X112" s="50">
        <v>0.517516</v>
      </c>
      <c r="Y112" s="50">
        <v>0</v>
      </c>
      <c r="Z112" s="50">
        <v>0</v>
      </c>
      <c r="AA112" s="72">
        <v>112</v>
      </c>
      <c r="AB112" s="72"/>
      <c r="AC112" s="73"/>
      <c r="AD112" s="80" t="s">
        <v>1677</v>
      </c>
      <c r="AE112" s="80"/>
      <c r="AF112" s="80"/>
      <c r="AG112" s="80"/>
      <c r="AH112" s="80"/>
      <c r="AI112" s="80"/>
      <c r="AJ112" s="87">
        <v>43221.56170138889</v>
      </c>
      <c r="AK112" s="85" t="str">
        <f>HYPERLINK("https://yt3.ggpht.com/ytc/AAUvwnhxsH8F3206o2pNDqHCf6QH9EJ1kZDW8ZsfmCJrNw=s88-c-k-c0x00ffffff-no-rj")</f>
        <v>https://yt3.ggpht.com/ytc/AAUvwnhxsH8F3206o2pNDqHCf6QH9EJ1kZDW8ZsfmCJrNw=s88-c-k-c0x00ffffff-no-rj</v>
      </c>
      <c r="AL112" s="80">
        <v>23</v>
      </c>
      <c r="AM112" s="80">
        <v>0</v>
      </c>
      <c r="AN112" s="80">
        <v>4</v>
      </c>
      <c r="AO112" s="80" t="b">
        <v>0</v>
      </c>
      <c r="AP112" s="80">
        <v>3</v>
      </c>
      <c r="AQ112" s="80"/>
      <c r="AR112" s="80"/>
      <c r="AS112" s="80" t="s">
        <v>2664</v>
      </c>
      <c r="AT112" s="85" t="str">
        <f>HYPERLINK("https://www.youtube.com/channel/UCWrvRrVUPEYzS9gcmvugRXw")</f>
        <v>https://www.youtube.com/channel/UCWrvRrVUPEYzS9gcmvugRXw</v>
      </c>
      <c r="AU112" s="80" t="str">
        <f>REPLACE(INDEX(GroupVertices[Group],MATCH(Vertices[[#This Row],[Vertex]],GroupVertices[Vertex],0)),1,1,"")</f>
        <v>3</v>
      </c>
      <c r="AV112" s="49">
        <v>0</v>
      </c>
      <c r="AW112" s="50">
        <v>0</v>
      </c>
      <c r="AX112" s="49">
        <v>0</v>
      </c>
      <c r="AY112" s="50">
        <v>0</v>
      </c>
      <c r="AZ112" s="49">
        <v>0</v>
      </c>
      <c r="BA112" s="50">
        <v>0</v>
      </c>
      <c r="BB112" s="49">
        <v>7</v>
      </c>
      <c r="BC112" s="50">
        <v>100</v>
      </c>
      <c r="BD112" s="49">
        <v>7</v>
      </c>
      <c r="BE112" s="49"/>
      <c r="BF112" s="49"/>
      <c r="BG112" s="49"/>
      <c r="BH112" s="49"/>
      <c r="BI112" s="49"/>
      <c r="BJ112" s="49"/>
      <c r="BK112" s="111" t="s">
        <v>3748</v>
      </c>
      <c r="BL112" s="111" t="s">
        <v>3748</v>
      </c>
      <c r="BM112" s="111" t="s">
        <v>4221</v>
      </c>
      <c r="BN112" s="111" t="s">
        <v>4221</v>
      </c>
      <c r="BO112" s="2"/>
      <c r="BP112" s="3"/>
      <c r="BQ112" s="3"/>
      <c r="BR112" s="3"/>
      <c r="BS112" s="3"/>
    </row>
    <row r="113" spans="1:71" ht="15">
      <c r="A113" s="65" t="s">
        <v>319</v>
      </c>
      <c r="B113" s="66"/>
      <c r="C113" s="66"/>
      <c r="D113" s="67">
        <v>150</v>
      </c>
      <c r="E113" s="69"/>
      <c r="F113" s="103" t="str">
        <f>HYPERLINK("https://yt3.ggpht.com/ytc/AAUvwnjUqCmvYd9589y0HMw9GzJkUPEMn7dgGMElPOds=s88-c-k-c0x00ffffff-no-rj")</f>
        <v>https://yt3.ggpht.com/ytc/AAUvwnjUqCmvYd9589y0HMw9GzJkUPEMn7dgGMElPOds=s88-c-k-c0x00ffffff-no-rj</v>
      </c>
      <c r="G113" s="66"/>
      <c r="H113" s="70" t="s">
        <v>1678</v>
      </c>
      <c r="I113" s="71"/>
      <c r="J113" s="71" t="s">
        <v>159</v>
      </c>
      <c r="K113" s="70" t="s">
        <v>1678</v>
      </c>
      <c r="L113" s="74">
        <v>1</v>
      </c>
      <c r="M113" s="75">
        <v>5369.41064453125</v>
      </c>
      <c r="N113" s="75">
        <v>8663.884765625</v>
      </c>
      <c r="O113" s="76"/>
      <c r="P113" s="77"/>
      <c r="Q113" s="77"/>
      <c r="R113" s="89"/>
      <c r="S113" s="49">
        <v>0</v>
      </c>
      <c r="T113" s="49">
        <v>1</v>
      </c>
      <c r="U113" s="50">
        <v>0</v>
      </c>
      <c r="V113" s="50">
        <v>0.000852</v>
      </c>
      <c r="W113" s="50">
        <v>0</v>
      </c>
      <c r="X113" s="50">
        <v>0.517516</v>
      </c>
      <c r="Y113" s="50">
        <v>0</v>
      </c>
      <c r="Z113" s="50">
        <v>0</v>
      </c>
      <c r="AA113" s="72">
        <v>113</v>
      </c>
      <c r="AB113" s="72"/>
      <c r="AC113" s="73"/>
      <c r="AD113" s="80" t="s">
        <v>1678</v>
      </c>
      <c r="AE113" s="80"/>
      <c r="AF113" s="80"/>
      <c r="AG113" s="80"/>
      <c r="AH113" s="80"/>
      <c r="AI113" s="80"/>
      <c r="AJ113" s="87">
        <v>44098.57959490741</v>
      </c>
      <c r="AK113" s="85" t="str">
        <f>HYPERLINK("https://yt3.ggpht.com/ytc/AAUvwnjUqCmvYd9589y0HMw9GzJkUPEMn7dgGMElPOds=s88-c-k-c0x00ffffff-no-rj")</f>
        <v>https://yt3.ggpht.com/ytc/AAUvwnjUqCmvYd9589y0HMw9GzJkUPEMn7dgGMElPOds=s88-c-k-c0x00ffffff-no-rj</v>
      </c>
      <c r="AL113" s="80">
        <v>8</v>
      </c>
      <c r="AM113" s="80">
        <v>0</v>
      </c>
      <c r="AN113" s="80">
        <v>1</v>
      </c>
      <c r="AO113" s="80" t="b">
        <v>0</v>
      </c>
      <c r="AP113" s="80">
        <v>3</v>
      </c>
      <c r="AQ113" s="80"/>
      <c r="AR113" s="80"/>
      <c r="AS113" s="80" t="s">
        <v>2664</v>
      </c>
      <c r="AT113" s="85" t="str">
        <f>HYPERLINK("https://www.youtube.com/channel/UC6EBoOUiusNM7Tk7OcY8ljg")</f>
        <v>https://www.youtube.com/channel/UC6EBoOUiusNM7Tk7OcY8ljg</v>
      </c>
      <c r="AU113" s="80" t="str">
        <f>REPLACE(INDEX(GroupVertices[Group],MATCH(Vertices[[#This Row],[Vertex]],GroupVertices[Vertex],0)),1,1,"")</f>
        <v>3</v>
      </c>
      <c r="AV113" s="49">
        <v>1</v>
      </c>
      <c r="AW113" s="50">
        <v>50</v>
      </c>
      <c r="AX113" s="49">
        <v>0</v>
      </c>
      <c r="AY113" s="50">
        <v>0</v>
      </c>
      <c r="AZ113" s="49">
        <v>0</v>
      </c>
      <c r="BA113" s="50">
        <v>0</v>
      </c>
      <c r="BB113" s="49">
        <v>1</v>
      </c>
      <c r="BC113" s="50">
        <v>50</v>
      </c>
      <c r="BD113" s="49">
        <v>2</v>
      </c>
      <c r="BE113" s="49"/>
      <c r="BF113" s="49"/>
      <c r="BG113" s="49"/>
      <c r="BH113" s="49"/>
      <c r="BI113" s="49"/>
      <c r="BJ113" s="49"/>
      <c r="BK113" s="111" t="s">
        <v>3749</v>
      </c>
      <c r="BL113" s="111" t="s">
        <v>3749</v>
      </c>
      <c r="BM113" s="111" t="s">
        <v>4222</v>
      </c>
      <c r="BN113" s="111" t="s">
        <v>4222</v>
      </c>
      <c r="BO113" s="2"/>
      <c r="BP113" s="3"/>
      <c r="BQ113" s="3"/>
      <c r="BR113" s="3"/>
      <c r="BS113" s="3"/>
    </row>
    <row r="114" spans="1:71" ht="15">
      <c r="A114" s="65" t="s">
        <v>320</v>
      </c>
      <c r="B114" s="66"/>
      <c r="C114" s="66"/>
      <c r="D114" s="67">
        <v>150</v>
      </c>
      <c r="E114" s="69"/>
      <c r="F114" s="103" t="str">
        <f>HYPERLINK("https://yt3.ggpht.com/ytc/AAUvwng4QsvgWsnPao5Czn6HQUBd5wxYFMiBbS_j=s88-c-k-c0x00ffffff-no-rj")</f>
        <v>https://yt3.ggpht.com/ytc/AAUvwng4QsvgWsnPao5Czn6HQUBd5wxYFMiBbS_j=s88-c-k-c0x00ffffff-no-rj</v>
      </c>
      <c r="G114" s="66"/>
      <c r="H114" s="70" t="s">
        <v>1679</v>
      </c>
      <c r="I114" s="71"/>
      <c r="J114" s="71" t="s">
        <v>159</v>
      </c>
      <c r="K114" s="70" t="s">
        <v>1679</v>
      </c>
      <c r="L114" s="74">
        <v>1</v>
      </c>
      <c r="M114" s="75">
        <v>4964.9423828125</v>
      </c>
      <c r="N114" s="75">
        <v>7349.93212890625</v>
      </c>
      <c r="O114" s="76"/>
      <c r="P114" s="77"/>
      <c r="Q114" s="77"/>
      <c r="R114" s="89"/>
      <c r="S114" s="49">
        <v>0</v>
      </c>
      <c r="T114" s="49">
        <v>1</v>
      </c>
      <c r="U114" s="50">
        <v>0</v>
      </c>
      <c r="V114" s="50">
        <v>0.000852</v>
      </c>
      <c r="W114" s="50">
        <v>0</v>
      </c>
      <c r="X114" s="50">
        <v>0.517516</v>
      </c>
      <c r="Y114" s="50">
        <v>0</v>
      </c>
      <c r="Z114" s="50">
        <v>0</v>
      </c>
      <c r="AA114" s="72">
        <v>114</v>
      </c>
      <c r="AB114" s="72"/>
      <c r="AC114" s="73"/>
      <c r="AD114" s="80" t="s">
        <v>1679</v>
      </c>
      <c r="AE114" s="80"/>
      <c r="AF114" s="80"/>
      <c r="AG114" s="80"/>
      <c r="AH114" s="80"/>
      <c r="AI114" s="80"/>
      <c r="AJ114" s="87">
        <v>44083.233078703706</v>
      </c>
      <c r="AK114" s="85" t="str">
        <f>HYPERLINK("https://yt3.ggpht.com/ytc/AAUvwng4QsvgWsnPao5Czn6HQUBd5wxYFMiBbS_j=s88-c-k-c0x00ffffff-no-rj")</f>
        <v>https://yt3.ggpht.com/ytc/AAUvwng4QsvgWsnPao5Czn6HQUBd5wxYFMiBbS_j=s88-c-k-c0x00ffffff-no-rj</v>
      </c>
      <c r="AL114" s="80">
        <v>0</v>
      </c>
      <c r="AM114" s="80">
        <v>0</v>
      </c>
      <c r="AN114" s="80">
        <v>4</v>
      </c>
      <c r="AO114" s="80" t="b">
        <v>0</v>
      </c>
      <c r="AP114" s="80">
        <v>0</v>
      </c>
      <c r="AQ114" s="80"/>
      <c r="AR114" s="80"/>
      <c r="AS114" s="80" t="s">
        <v>2664</v>
      </c>
      <c r="AT114" s="85" t="str">
        <f>HYPERLINK("https://www.youtube.com/channel/UCcg7hpzgNJU-8d33PBDEAmg")</f>
        <v>https://www.youtube.com/channel/UCcg7hpzgNJU-8d33PBDEAmg</v>
      </c>
      <c r="AU114" s="80" t="str">
        <f>REPLACE(INDEX(GroupVertices[Group],MATCH(Vertices[[#This Row],[Vertex]],GroupVertices[Vertex],0)),1,1,"")</f>
        <v>3</v>
      </c>
      <c r="AV114" s="49">
        <v>1</v>
      </c>
      <c r="AW114" s="50">
        <v>7.142857142857143</v>
      </c>
      <c r="AX114" s="49">
        <v>0</v>
      </c>
      <c r="AY114" s="50">
        <v>0</v>
      </c>
      <c r="AZ114" s="49">
        <v>0</v>
      </c>
      <c r="BA114" s="50">
        <v>0</v>
      </c>
      <c r="BB114" s="49">
        <v>13</v>
      </c>
      <c r="BC114" s="50">
        <v>92.85714285714286</v>
      </c>
      <c r="BD114" s="49">
        <v>14</v>
      </c>
      <c r="BE114" s="49"/>
      <c r="BF114" s="49"/>
      <c r="BG114" s="49"/>
      <c r="BH114" s="49"/>
      <c r="BI114" s="49"/>
      <c r="BJ114" s="49"/>
      <c r="BK114" s="111" t="s">
        <v>3750</v>
      </c>
      <c r="BL114" s="111" t="s">
        <v>3750</v>
      </c>
      <c r="BM114" s="111" t="s">
        <v>4223</v>
      </c>
      <c r="BN114" s="111" t="s">
        <v>4223</v>
      </c>
      <c r="BO114" s="2"/>
      <c r="BP114" s="3"/>
      <c r="BQ114" s="3"/>
      <c r="BR114" s="3"/>
      <c r="BS114" s="3"/>
    </row>
    <row r="115" spans="1:71" ht="15">
      <c r="A115" s="65" t="s">
        <v>321</v>
      </c>
      <c r="B115" s="66"/>
      <c r="C115" s="66"/>
      <c r="D115" s="67">
        <v>150</v>
      </c>
      <c r="E115" s="69"/>
      <c r="F115" s="103" t="str">
        <f>HYPERLINK("https://yt3.ggpht.com/ytc/AAUvwnhuk5I1AiIFWHs5IhK2bwqBToE_DT1NsJ01l_GzmA=s88-c-k-c0x00ffffff-no-rj")</f>
        <v>https://yt3.ggpht.com/ytc/AAUvwnhuk5I1AiIFWHs5IhK2bwqBToE_DT1NsJ01l_GzmA=s88-c-k-c0x00ffffff-no-rj</v>
      </c>
      <c r="G115" s="66"/>
      <c r="H115" s="70" t="s">
        <v>1680</v>
      </c>
      <c r="I115" s="71"/>
      <c r="J115" s="71" t="s">
        <v>159</v>
      </c>
      <c r="K115" s="70" t="s">
        <v>1680</v>
      </c>
      <c r="L115" s="74">
        <v>1</v>
      </c>
      <c r="M115" s="75">
        <v>4568.7421875</v>
      </c>
      <c r="N115" s="75">
        <v>7338.447265625</v>
      </c>
      <c r="O115" s="76"/>
      <c r="P115" s="77"/>
      <c r="Q115" s="77"/>
      <c r="R115" s="89"/>
      <c r="S115" s="49">
        <v>0</v>
      </c>
      <c r="T115" s="49">
        <v>1</v>
      </c>
      <c r="U115" s="50">
        <v>0</v>
      </c>
      <c r="V115" s="50">
        <v>0.000852</v>
      </c>
      <c r="W115" s="50">
        <v>0</v>
      </c>
      <c r="X115" s="50">
        <v>0.517516</v>
      </c>
      <c r="Y115" s="50">
        <v>0</v>
      </c>
      <c r="Z115" s="50">
        <v>0</v>
      </c>
      <c r="AA115" s="72">
        <v>115</v>
      </c>
      <c r="AB115" s="72"/>
      <c r="AC115" s="73"/>
      <c r="AD115" s="80" t="s">
        <v>1680</v>
      </c>
      <c r="AE115" s="80" t="s">
        <v>2455</v>
      </c>
      <c r="AF115" s="80"/>
      <c r="AG115" s="80"/>
      <c r="AH115" s="80"/>
      <c r="AI115" s="80"/>
      <c r="AJ115" s="87">
        <v>42645.940729166665</v>
      </c>
      <c r="AK115" s="85" t="str">
        <f>HYPERLINK("https://yt3.ggpht.com/ytc/AAUvwnhuk5I1AiIFWHs5IhK2bwqBToE_DT1NsJ01l_GzmA=s88-c-k-c0x00ffffff-no-rj")</f>
        <v>https://yt3.ggpht.com/ytc/AAUvwnhuk5I1AiIFWHs5IhK2bwqBToE_DT1NsJ01l_GzmA=s88-c-k-c0x00ffffff-no-rj</v>
      </c>
      <c r="AL115" s="80">
        <v>0</v>
      </c>
      <c r="AM115" s="80">
        <v>0</v>
      </c>
      <c r="AN115" s="80">
        <v>16</v>
      </c>
      <c r="AO115" s="80" t="b">
        <v>0</v>
      </c>
      <c r="AP115" s="80">
        <v>0</v>
      </c>
      <c r="AQ115" s="80"/>
      <c r="AR115" s="80"/>
      <c r="AS115" s="80" t="s">
        <v>2664</v>
      </c>
      <c r="AT115" s="85" t="str">
        <f>HYPERLINK("https://www.youtube.com/channel/UCNkgHJez9ThFzjZbfGp0meg")</f>
        <v>https://www.youtube.com/channel/UCNkgHJez9ThFzjZbfGp0meg</v>
      </c>
      <c r="AU115" s="80" t="str">
        <f>REPLACE(INDEX(GroupVertices[Group],MATCH(Vertices[[#This Row],[Vertex]],GroupVertices[Vertex],0)),1,1,"")</f>
        <v>3</v>
      </c>
      <c r="AV115" s="49">
        <v>1</v>
      </c>
      <c r="AW115" s="50">
        <v>12.5</v>
      </c>
      <c r="AX115" s="49">
        <v>0</v>
      </c>
      <c r="AY115" s="50">
        <v>0</v>
      </c>
      <c r="AZ115" s="49">
        <v>0</v>
      </c>
      <c r="BA115" s="50">
        <v>0</v>
      </c>
      <c r="BB115" s="49">
        <v>7</v>
      </c>
      <c r="BC115" s="50">
        <v>87.5</v>
      </c>
      <c r="BD115" s="49">
        <v>8</v>
      </c>
      <c r="BE115" s="49"/>
      <c r="BF115" s="49"/>
      <c r="BG115" s="49"/>
      <c r="BH115" s="49"/>
      <c r="BI115" s="49"/>
      <c r="BJ115" s="49"/>
      <c r="BK115" s="111" t="s">
        <v>3751</v>
      </c>
      <c r="BL115" s="111" t="s">
        <v>3751</v>
      </c>
      <c r="BM115" s="111" t="s">
        <v>4224</v>
      </c>
      <c r="BN115" s="111" t="s">
        <v>4224</v>
      </c>
      <c r="BO115" s="2"/>
      <c r="BP115" s="3"/>
      <c r="BQ115" s="3"/>
      <c r="BR115" s="3"/>
      <c r="BS115" s="3"/>
    </row>
    <row r="116" spans="1:71" ht="15">
      <c r="A116" s="65" t="s">
        <v>322</v>
      </c>
      <c r="B116" s="66"/>
      <c r="C116" s="66"/>
      <c r="D116" s="67">
        <v>150</v>
      </c>
      <c r="E116" s="69"/>
      <c r="F116" s="103" t="str">
        <f>HYPERLINK("https://yt3.ggpht.com/ytc/AAUvwnjzswT_YbzfC64-nMm1kJKOAb4vvRJ2XTHshg=s88-c-k-c0x00ffffff-no-rj")</f>
        <v>https://yt3.ggpht.com/ytc/AAUvwnjzswT_YbzfC64-nMm1kJKOAb4vvRJ2XTHshg=s88-c-k-c0x00ffffff-no-rj</v>
      </c>
      <c r="G116" s="66"/>
      <c r="H116" s="70" t="s">
        <v>1681</v>
      </c>
      <c r="I116" s="71"/>
      <c r="J116" s="71" t="s">
        <v>159</v>
      </c>
      <c r="K116" s="70" t="s">
        <v>1681</v>
      </c>
      <c r="L116" s="74">
        <v>1</v>
      </c>
      <c r="M116" s="75">
        <v>4834.6279296875</v>
      </c>
      <c r="N116" s="75">
        <v>7293.1630859375</v>
      </c>
      <c r="O116" s="76"/>
      <c r="P116" s="77"/>
      <c r="Q116" s="77"/>
      <c r="R116" s="89"/>
      <c r="S116" s="49">
        <v>0</v>
      </c>
      <c r="T116" s="49">
        <v>1</v>
      </c>
      <c r="U116" s="50">
        <v>0</v>
      </c>
      <c r="V116" s="50">
        <v>0.000852</v>
      </c>
      <c r="W116" s="50">
        <v>0</v>
      </c>
      <c r="X116" s="50">
        <v>0.517516</v>
      </c>
      <c r="Y116" s="50">
        <v>0</v>
      </c>
      <c r="Z116" s="50">
        <v>0</v>
      </c>
      <c r="AA116" s="72">
        <v>116</v>
      </c>
      <c r="AB116" s="72"/>
      <c r="AC116" s="73"/>
      <c r="AD116" s="80" t="s">
        <v>1681</v>
      </c>
      <c r="AE116" s="80"/>
      <c r="AF116" s="80"/>
      <c r="AG116" s="80"/>
      <c r="AH116" s="80"/>
      <c r="AI116" s="80"/>
      <c r="AJ116" s="87">
        <v>43625.1977662037</v>
      </c>
      <c r="AK116" s="85" t="str">
        <f>HYPERLINK("https://yt3.ggpht.com/ytc/AAUvwnjzswT_YbzfC64-nMm1kJKOAb4vvRJ2XTHshg=s88-c-k-c0x00ffffff-no-rj")</f>
        <v>https://yt3.ggpht.com/ytc/AAUvwnjzswT_YbzfC64-nMm1kJKOAb4vvRJ2XTHshg=s88-c-k-c0x00ffffff-no-rj</v>
      </c>
      <c r="AL116" s="80">
        <v>0</v>
      </c>
      <c r="AM116" s="80">
        <v>0</v>
      </c>
      <c r="AN116" s="80">
        <v>0</v>
      </c>
      <c r="AO116" s="80" t="b">
        <v>0</v>
      </c>
      <c r="AP116" s="80">
        <v>0</v>
      </c>
      <c r="AQ116" s="80"/>
      <c r="AR116" s="80"/>
      <c r="AS116" s="80" t="s">
        <v>2664</v>
      </c>
      <c r="AT116" s="85" t="str">
        <f>HYPERLINK("https://www.youtube.com/channel/UCjNtXvpzLfFO_U-1zw4TD3g")</f>
        <v>https://www.youtube.com/channel/UCjNtXvpzLfFO_U-1zw4TD3g</v>
      </c>
      <c r="AU116" s="80" t="str">
        <f>REPLACE(INDEX(GroupVertices[Group],MATCH(Vertices[[#This Row],[Vertex]],GroupVertices[Vertex],0)),1,1,"")</f>
        <v>3</v>
      </c>
      <c r="AV116" s="49">
        <v>1</v>
      </c>
      <c r="AW116" s="50">
        <v>16.666666666666668</v>
      </c>
      <c r="AX116" s="49">
        <v>0</v>
      </c>
      <c r="AY116" s="50">
        <v>0</v>
      </c>
      <c r="AZ116" s="49">
        <v>0</v>
      </c>
      <c r="BA116" s="50">
        <v>0</v>
      </c>
      <c r="BB116" s="49">
        <v>5</v>
      </c>
      <c r="BC116" s="50">
        <v>83.33333333333333</v>
      </c>
      <c r="BD116" s="49">
        <v>6</v>
      </c>
      <c r="BE116" s="49"/>
      <c r="BF116" s="49"/>
      <c r="BG116" s="49"/>
      <c r="BH116" s="49"/>
      <c r="BI116" s="49"/>
      <c r="BJ116" s="49"/>
      <c r="BK116" s="111" t="s">
        <v>3752</v>
      </c>
      <c r="BL116" s="111" t="s">
        <v>3752</v>
      </c>
      <c r="BM116" s="111" t="s">
        <v>4225</v>
      </c>
      <c r="BN116" s="111" t="s">
        <v>4225</v>
      </c>
      <c r="BO116" s="2"/>
      <c r="BP116" s="3"/>
      <c r="BQ116" s="3"/>
      <c r="BR116" s="3"/>
      <c r="BS116" s="3"/>
    </row>
    <row r="117" spans="1:71" ht="15">
      <c r="A117" s="65" t="s">
        <v>323</v>
      </c>
      <c r="B117" s="66"/>
      <c r="C117" s="66"/>
      <c r="D117" s="67">
        <v>291.66666666666663</v>
      </c>
      <c r="E117" s="69"/>
      <c r="F117" s="103" t="str">
        <f>HYPERLINK("https://yt3.ggpht.com/ytc/AAUvwnicN-2SOg7yDHdvGKQ--hCt7_8LuyQYxDZFzA=s88-c-k-c0x00ffffff-no-rj")</f>
        <v>https://yt3.ggpht.com/ytc/AAUvwnicN-2SOg7yDHdvGKQ--hCt7_8LuyQYxDZFzA=s88-c-k-c0x00ffffff-no-rj</v>
      </c>
      <c r="G117" s="66"/>
      <c r="H117" s="70" t="s">
        <v>1682</v>
      </c>
      <c r="I117" s="71"/>
      <c r="J117" s="71" t="s">
        <v>159</v>
      </c>
      <c r="K117" s="70" t="s">
        <v>1682</v>
      </c>
      <c r="L117" s="74">
        <v>96.21904761904761</v>
      </c>
      <c r="M117" s="75">
        <v>5523.3046875</v>
      </c>
      <c r="N117" s="75">
        <v>7833.79931640625</v>
      </c>
      <c r="O117" s="76"/>
      <c r="P117" s="77"/>
      <c r="Q117" s="77"/>
      <c r="R117" s="89"/>
      <c r="S117" s="49">
        <v>1</v>
      </c>
      <c r="T117" s="49">
        <v>1</v>
      </c>
      <c r="U117" s="50">
        <v>3493.766667</v>
      </c>
      <c r="V117" s="50">
        <v>0.000975</v>
      </c>
      <c r="W117" s="50">
        <v>0</v>
      </c>
      <c r="X117" s="50">
        <v>0.875177</v>
      </c>
      <c r="Y117" s="50">
        <v>0</v>
      </c>
      <c r="Z117" s="50">
        <v>0</v>
      </c>
      <c r="AA117" s="72">
        <v>117</v>
      </c>
      <c r="AB117" s="72"/>
      <c r="AC117" s="73"/>
      <c r="AD117" s="80" t="s">
        <v>1682</v>
      </c>
      <c r="AE117" s="80"/>
      <c r="AF117" s="80"/>
      <c r="AG117" s="80"/>
      <c r="AH117" s="80"/>
      <c r="AI117" s="80"/>
      <c r="AJ117" s="87">
        <v>43437.255474537036</v>
      </c>
      <c r="AK117" s="85" t="str">
        <f>HYPERLINK("https://yt3.ggpht.com/ytc/AAUvwnicN-2SOg7yDHdvGKQ--hCt7_8LuyQYxDZFzA=s88-c-k-c0x00ffffff-no-rj")</f>
        <v>https://yt3.ggpht.com/ytc/AAUvwnicN-2SOg7yDHdvGKQ--hCt7_8LuyQYxDZFzA=s88-c-k-c0x00ffffff-no-rj</v>
      </c>
      <c r="AL117" s="80">
        <v>0</v>
      </c>
      <c r="AM117" s="80">
        <v>0</v>
      </c>
      <c r="AN117" s="80">
        <v>2</v>
      </c>
      <c r="AO117" s="80" t="b">
        <v>0</v>
      </c>
      <c r="AP117" s="80">
        <v>0</v>
      </c>
      <c r="AQ117" s="80"/>
      <c r="AR117" s="80"/>
      <c r="AS117" s="80" t="s">
        <v>2664</v>
      </c>
      <c r="AT117" s="85" t="str">
        <f>HYPERLINK("https://www.youtube.com/channel/UCHaSyW6beXgBHgIVRxulg1Q")</f>
        <v>https://www.youtube.com/channel/UCHaSyW6beXgBHgIVRxulg1Q</v>
      </c>
      <c r="AU117" s="80" t="str">
        <f>REPLACE(INDEX(GroupVertices[Group],MATCH(Vertices[[#This Row],[Vertex]],GroupVertices[Vertex],0)),1,1,"")</f>
        <v>3</v>
      </c>
      <c r="AV117" s="49">
        <v>0</v>
      </c>
      <c r="AW117" s="50">
        <v>0</v>
      </c>
      <c r="AX117" s="49">
        <v>0</v>
      </c>
      <c r="AY117" s="50">
        <v>0</v>
      </c>
      <c r="AZ117" s="49">
        <v>0</v>
      </c>
      <c r="BA117" s="50">
        <v>0</v>
      </c>
      <c r="BB117" s="49">
        <v>7</v>
      </c>
      <c r="BC117" s="50">
        <v>100</v>
      </c>
      <c r="BD117" s="49">
        <v>7</v>
      </c>
      <c r="BE117" s="49"/>
      <c r="BF117" s="49"/>
      <c r="BG117" s="49"/>
      <c r="BH117" s="49"/>
      <c r="BI117" s="49"/>
      <c r="BJ117" s="49"/>
      <c r="BK117" s="111" t="s">
        <v>3753</v>
      </c>
      <c r="BL117" s="111" t="s">
        <v>3753</v>
      </c>
      <c r="BM117" s="111" t="s">
        <v>4226</v>
      </c>
      <c r="BN117" s="111" t="s">
        <v>4226</v>
      </c>
      <c r="BO117" s="2"/>
      <c r="BP117" s="3"/>
      <c r="BQ117" s="3"/>
      <c r="BR117" s="3"/>
      <c r="BS117" s="3"/>
    </row>
    <row r="118" spans="1:71" ht="15">
      <c r="A118" s="65" t="s">
        <v>324</v>
      </c>
      <c r="B118" s="66"/>
      <c r="C118" s="66"/>
      <c r="D118" s="67">
        <v>150</v>
      </c>
      <c r="E118" s="69"/>
      <c r="F118" s="103" t="str">
        <f>HYPERLINK("https://yt3.ggpht.com/ytc/AAUvwnj17l7vSjyxQS1eIiYj4hNr1h4yja5vSYUYuzgs=s88-c-k-c0x00ffffff-no-rj")</f>
        <v>https://yt3.ggpht.com/ytc/AAUvwnj17l7vSjyxQS1eIiYj4hNr1h4yja5vSYUYuzgs=s88-c-k-c0x00ffffff-no-rj</v>
      </c>
      <c r="G118" s="66"/>
      <c r="H118" s="70" t="s">
        <v>1683</v>
      </c>
      <c r="I118" s="71"/>
      <c r="J118" s="71" t="s">
        <v>159</v>
      </c>
      <c r="K118" s="70" t="s">
        <v>1683</v>
      </c>
      <c r="L118" s="74">
        <v>1</v>
      </c>
      <c r="M118" s="75">
        <v>3700.134765625</v>
      </c>
      <c r="N118" s="75">
        <v>8055.7529296875</v>
      </c>
      <c r="O118" s="76"/>
      <c r="P118" s="77"/>
      <c r="Q118" s="77"/>
      <c r="R118" s="89"/>
      <c r="S118" s="49">
        <v>0</v>
      </c>
      <c r="T118" s="49">
        <v>1</v>
      </c>
      <c r="U118" s="50">
        <v>0</v>
      </c>
      <c r="V118" s="50">
        <v>0.000852</v>
      </c>
      <c r="W118" s="50">
        <v>0</v>
      </c>
      <c r="X118" s="50">
        <v>0.517516</v>
      </c>
      <c r="Y118" s="50">
        <v>0</v>
      </c>
      <c r="Z118" s="50">
        <v>0</v>
      </c>
      <c r="AA118" s="72">
        <v>118</v>
      </c>
      <c r="AB118" s="72"/>
      <c r="AC118" s="73"/>
      <c r="AD118" s="80" t="s">
        <v>1683</v>
      </c>
      <c r="AE118" s="80"/>
      <c r="AF118" s="80"/>
      <c r="AG118" s="80"/>
      <c r="AH118" s="80"/>
      <c r="AI118" s="80"/>
      <c r="AJ118" s="87">
        <v>44201.24775462963</v>
      </c>
      <c r="AK118" s="85" t="str">
        <f>HYPERLINK("https://yt3.ggpht.com/ytc/AAUvwnj17l7vSjyxQS1eIiYj4hNr1h4yja5vSYUYuzgs=s88-c-k-c0x00ffffff-no-rj")</f>
        <v>https://yt3.ggpht.com/ytc/AAUvwnj17l7vSjyxQS1eIiYj4hNr1h4yja5vSYUYuzgs=s88-c-k-c0x00ffffff-no-rj</v>
      </c>
      <c r="AL118" s="80">
        <v>288</v>
      </c>
      <c r="AM118" s="80">
        <v>0</v>
      </c>
      <c r="AN118" s="80">
        <v>20</v>
      </c>
      <c r="AO118" s="80" t="b">
        <v>0</v>
      </c>
      <c r="AP118" s="80">
        <v>21</v>
      </c>
      <c r="AQ118" s="80"/>
      <c r="AR118" s="80"/>
      <c r="AS118" s="80" t="s">
        <v>2664</v>
      </c>
      <c r="AT118" s="85" t="str">
        <f>HYPERLINK("https://www.youtube.com/channel/UChKaNMuqrOYPeC3qNtAlouQ")</f>
        <v>https://www.youtube.com/channel/UChKaNMuqrOYPeC3qNtAlouQ</v>
      </c>
      <c r="AU118" s="80" t="str">
        <f>REPLACE(INDEX(GroupVertices[Group],MATCH(Vertices[[#This Row],[Vertex]],GroupVertices[Vertex],0)),1,1,"")</f>
        <v>3</v>
      </c>
      <c r="AV118" s="49">
        <v>1</v>
      </c>
      <c r="AW118" s="50">
        <v>10</v>
      </c>
      <c r="AX118" s="49">
        <v>0</v>
      </c>
      <c r="AY118" s="50">
        <v>0</v>
      </c>
      <c r="AZ118" s="49">
        <v>0</v>
      </c>
      <c r="BA118" s="50">
        <v>0</v>
      </c>
      <c r="BB118" s="49">
        <v>9</v>
      </c>
      <c r="BC118" s="50">
        <v>90</v>
      </c>
      <c r="BD118" s="49">
        <v>10</v>
      </c>
      <c r="BE118" s="49"/>
      <c r="BF118" s="49"/>
      <c r="BG118" s="49"/>
      <c r="BH118" s="49"/>
      <c r="BI118" s="49"/>
      <c r="BJ118" s="49"/>
      <c r="BK118" s="111" t="s">
        <v>3754</v>
      </c>
      <c r="BL118" s="111" t="s">
        <v>3754</v>
      </c>
      <c r="BM118" s="111" t="s">
        <v>4227</v>
      </c>
      <c r="BN118" s="111" t="s">
        <v>4227</v>
      </c>
      <c r="BO118" s="2"/>
      <c r="BP118" s="3"/>
      <c r="BQ118" s="3"/>
      <c r="BR118" s="3"/>
      <c r="BS118" s="3"/>
    </row>
    <row r="119" spans="1:71" ht="15">
      <c r="A119" s="65" t="s">
        <v>325</v>
      </c>
      <c r="B119" s="66"/>
      <c r="C119" s="66"/>
      <c r="D119" s="67">
        <v>150</v>
      </c>
      <c r="E119" s="69"/>
      <c r="F119" s="103" t="str">
        <f>HYPERLINK("https://yt3.ggpht.com/ytc/AAUvwnjOjugGKGZd9o_Sim83UDMCZCojM0fr1-aNq344rg=s88-c-k-c0x00ffffff-no-rj")</f>
        <v>https://yt3.ggpht.com/ytc/AAUvwnjOjugGKGZd9o_Sim83UDMCZCojM0fr1-aNq344rg=s88-c-k-c0x00ffffff-no-rj</v>
      </c>
      <c r="G119" s="66"/>
      <c r="H119" s="70" t="s">
        <v>1684</v>
      </c>
      <c r="I119" s="71"/>
      <c r="J119" s="71" t="s">
        <v>159</v>
      </c>
      <c r="K119" s="70" t="s">
        <v>1684</v>
      </c>
      <c r="L119" s="74">
        <v>1</v>
      </c>
      <c r="M119" s="75">
        <v>5113.17333984375</v>
      </c>
      <c r="N119" s="75">
        <v>7391.97998046875</v>
      </c>
      <c r="O119" s="76"/>
      <c r="P119" s="77"/>
      <c r="Q119" s="77"/>
      <c r="R119" s="89"/>
      <c r="S119" s="49">
        <v>0</v>
      </c>
      <c r="T119" s="49">
        <v>1</v>
      </c>
      <c r="U119" s="50">
        <v>0</v>
      </c>
      <c r="V119" s="50">
        <v>0.000852</v>
      </c>
      <c r="W119" s="50">
        <v>0</v>
      </c>
      <c r="X119" s="50">
        <v>0.517516</v>
      </c>
      <c r="Y119" s="50">
        <v>0</v>
      </c>
      <c r="Z119" s="50">
        <v>0</v>
      </c>
      <c r="AA119" s="72">
        <v>119</v>
      </c>
      <c r="AB119" s="72"/>
      <c r="AC119" s="73"/>
      <c r="AD119" s="80" t="s">
        <v>1684</v>
      </c>
      <c r="AE119" s="80"/>
      <c r="AF119" s="80"/>
      <c r="AG119" s="80"/>
      <c r="AH119" s="80"/>
      <c r="AI119" s="80"/>
      <c r="AJ119" s="87">
        <v>40840.210393518515</v>
      </c>
      <c r="AK119" s="85" t="str">
        <f>HYPERLINK("https://yt3.ggpht.com/ytc/AAUvwnjOjugGKGZd9o_Sim83UDMCZCojM0fr1-aNq344rg=s88-c-k-c0x00ffffff-no-rj")</f>
        <v>https://yt3.ggpht.com/ytc/AAUvwnjOjugGKGZd9o_Sim83UDMCZCojM0fr1-aNq344rg=s88-c-k-c0x00ffffff-no-rj</v>
      </c>
      <c r="AL119" s="80">
        <v>0</v>
      </c>
      <c r="AM119" s="80">
        <v>0</v>
      </c>
      <c r="AN119" s="80">
        <v>0</v>
      </c>
      <c r="AO119" s="80" t="b">
        <v>0</v>
      </c>
      <c r="AP119" s="80">
        <v>0</v>
      </c>
      <c r="AQ119" s="80"/>
      <c r="AR119" s="80"/>
      <c r="AS119" s="80" t="s">
        <v>2664</v>
      </c>
      <c r="AT119" s="85" t="str">
        <f>HYPERLINK("https://www.youtube.com/channel/UCk54dTDeL3itKr1s9RExZ0g")</f>
        <v>https://www.youtube.com/channel/UCk54dTDeL3itKr1s9RExZ0g</v>
      </c>
      <c r="AU119" s="80" t="str">
        <f>REPLACE(INDEX(GroupVertices[Group],MATCH(Vertices[[#This Row],[Vertex]],GroupVertices[Vertex],0)),1,1,"")</f>
        <v>3</v>
      </c>
      <c r="AV119" s="49">
        <v>4</v>
      </c>
      <c r="AW119" s="50">
        <v>20</v>
      </c>
      <c r="AX119" s="49">
        <v>0</v>
      </c>
      <c r="AY119" s="50">
        <v>0</v>
      </c>
      <c r="AZ119" s="49">
        <v>0</v>
      </c>
      <c r="BA119" s="50">
        <v>0</v>
      </c>
      <c r="BB119" s="49">
        <v>16</v>
      </c>
      <c r="BC119" s="50">
        <v>80</v>
      </c>
      <c r="BD119" s="49">
        <v>20</v>
      </c>
      <c r="BE119" s="49"/>
      <c r="BF119" s="49"/>
      <c r="BG119" s="49"/>
      <c r="BH119" s="49"/>
      <c r="BI119" s="49"/>
      <c r="BJ119" s="49"/>
      <c r="BK119" s="111" t="s">
        <v>3755</v>
      </c>
      <c r="BL119" s="111" t="s">
        <v>3755</v>
      </c>
      <c r="BM119" s="111" t="s">
        <v>4228</v>
      </c>
      <c r="BN119" s="111" t="s">
        <v>4228</v>
      </c>
      <c r="BO119" s="2"/>
      <c r="BP119" s="3"/>
      <c r="BQ119" s="3"/>
      <c r="BR119" s="3"/>
      <c r="BS119" s="3"/>
    </row>
    <row r="120" spans="1:71" ht="15">
      <c r="A120" s="65" t="s">
        <v>326</v>
      </c>
      <c r="B120" s="66"/>
      <c r="C120" s="66"/>
      <c r="D120" s="67">
        <v>150</v>
      </c>
      <c r="E120" s="69"/>
      <c r="F120" s="103" t="str">
        <f>HYPERLINK("https://yt3.ggpht.com/ytc/AAUvwnis0RgZ336yNZnpRhd2ps5PE4d6b9kq86QMdg=s88-c-k-c0x00ffffff-no-rj")</f>
        <v>https://yt3.ggpht.com/ytc/AAUvwnis0RgZ336yNZnpRhd2ps5PE4d6b9kq86QMdg=s88-c-k-c0x00ffffff-no-rj</v>
      </c>
      <c r="G120" s="66"/>
      <c r="H120" s="70" t="s">
        <v>1685</v>
      </c>
      <c r="I120" s="71"/>
      <c r="J120" s="71" t="s">
        <v>159</v>
      </c>
      <c r="K120" s="70" t="s">
        <v>1685</v>
      </c>
      <c r="L120" s="74">
        <v>1</v>
      </c>
      <c r="M120" s="75">
        <v>4949.08935546875</v>
      </c>
      <c r="N120" s="75">
        <v>7707.19921875</v>
      </c>
      <c r="O120" s="76"/>
      <c r="P120" s="77"/>
      <c r="Q120" s="77"/>
      <c r="R120" s="89"/>
      <c r="S120" s="49">
        <v>0</v>
      </c>
      <c r="T120" s="49">
        <v>1</v>
      </c>
      <c r="U120" s="50">
        <v>0</v>
      </c>
      <c r="V120" s="50">
        <v>0.000852</v>
      </c>
      <c r="W120" s="50">
        <v>0</v>
      </c>
      <c r="X120" s="50">
        <v>0.517516</v>
      </c>
      <c r="Y120" s="50">
        <v>0</v>
      </c>
      <c r="Z120" s="50">
        <v>0</v>
      </c>
      <c r="AA120" s="72">
        <v>120</v>
      </c>
      <c r="AB120" s="72"/>
      <c r="AC120" s="73"/>
      <c r="AD120" s="80" t="s">
        <v>1685</v>
      </c>
      <c r="AE120" s="80"/>
      <c r="AF120" s="80"/>
      <c r="AG120" s="80"/>
      <c r="AH120" s="80"/>
      <c r="AI120" s="80"/>
      <c r="AJ120" s="87">
        <v>41937.52516203704</v>
      </c>
      <c r="AK120" s="85" t="str">
        <f>HYPERLINK("https://yt3.ggpht.com/ytc/AAUvwnis0RgZ336yNZnpRhd2ps5PE4d6b9kq86QMdg=s88-c-k-c0x00ffffff-no-rj")</f>
        <v>https://yt3.ggpht.com/ytc/AAUvwnis0RgZ336yNZnpRhd2ps5PE4d6b9kq86QMdg=s88-c-k-c0x00ffffff-no-rj</v>
      </c>
      <c r="AL120" s="80">
        <v>0</v>
      </c>
      <c r="AM120" s="80">
        <v>0</v>
      </c>
      <c r="AN120" s="80">
        <v>0</v>
      </c>
      <c r="AO120" s="80" t="b">
        <v>0</v>
      </c>
      <c r="AP120" s="80">
        <v>0</v>
      </c>
      <c r="AQ120" s="80"/>
      <c r="AR120" s="80"/>
      <c r="AS120" s="80" t="s">
        <v>2664</v>
      </c>
      <c r="AT120" s="85" t="str">
        <f>HYPERLINK("https://www.youtube.com/channel/UC7BhXPzyrxo8GYXtOpWMfaQ")</f>
        <v>https://www.youtube.com/channel/UC7BhXPzyrxo8GYXtOpWMfaQ</v>
      </c>
      <c r="AU120" s="80" t="str">
        <f>REPLACE(INDEX(GroupVertices[Group],MATCH(Vertices[[#This Row],[Vertex]],GroupVertices[Vertex],0)),1,1,"")</f>
        <v>3</v>
      </c>
      <c r="AV120" s="49">
        <v>1</v>
      </c>
      <c r="AW120" s="50">
        <v>50</v>
      </c>
      <c r="AX120" s="49">
        <v>0</v>
      </c>
      <c r="AY120" s="50">
        <v>0</v>
      </c>
      <c r="AZ120" s="49">
        <v>0</v>
      </c>
      <c r="BA120" s="50">
        <v>0</v>
      </c>
      <c r="BB120" s="49">
        <v>1</v>
      </c>
      <c r="BC120" s="50">
        <v>50</v>
      </c>
      <c r="BD120" s="49">
        <v>2</v>
      </c>
      <c r="BE120" s="49"/>
      <c r="BF120" s="49"/>
      <c r="BG120" s="49"/>
      <c r="BH120" s="49"/>
      <c r="BI120" s="49"/>
      <c r="BJ120" s="49"/>
      <c r="BK120" s="111" t="s">
        <v>1421</v>
      </c>
      <c r="BL120" s="111" t="s">
        <v>1421</v>
      </c>
      <c r="BM120" s="111" t="s">
        <v>2390</v>
      </c>
      <c r="BN120" s="111" t="s">
        <v>2390</v>
      </c>
      <c r="BO120" s="2"/>
      <c r="BP120" s="3"/>
      <c r="BQ120" s="3"/>
      <c r="BR120" s="3"/>
      <c r="BS120" s="3"/>
    </row>
    <row r="121" spans="1:71" ht="15">
      <c r="A121" s="65" t="s">
        <v>327</v>
      </c>
      <c r="B121" s="66"/>
      <c r="C121" s="66"/>
      <c r="D121" s="67">
        <v>150</v>
      </c>
      <c r="E121" s="69"/>
      <c r="F121" s="103" t="str">
        <f>HYPERLINK("https://yt3.ggpht.com/RKUan7knvl4l_pa9DJqb3i3fhgKPZqRlbdvdBp3m5NIocxUnPSi29G2qrWVFQkNbZu_S88Bsfw=s88-c-k-c0x00ffffff-no-rj")</f>
        <v>https://yt3.ggpht.com/RKUan7knvl4l_pa9DJqb3i3fhgKPZqRlbdvdBp3m5NIocxUnPSi29G2qrWVFQkNbZu_S88Bsfw=s88-c-k-c0x00ffffff-no-rj</v>
      </c>
      <c r="G121" s="66"/>
      <c r="H121" s="70" t="s">
        <v>1686</v>
      </c>
      <c r="I121" s="71"/>
      <c r="J121" s="71" t="s">
        <v>159</v>
      </c>
      <c r="K121" s="70" t="s">
        <v>1686</v>
      </c>
      <c r="L121" s="74">
        <v>1</v>
      </c>
      <c r="M121" s="75">
        <v>5392.6259765625</v>
      </c>
      <c r="N121" s="75">
        <v>8405.0234375</v>
      </c>
      <c r="O121" s="76"/>
      <c r="P121" s="77"/>
      <c r="Q121" s="77"/>
      <c r="R121" s="89"/>
      <c r="S121" s="49">
        <v>0</v>
      </c>
      <c r="T121" s="49">
        <v>1</v>
      </c>
      <c r="U121" s="50">
        <v>0</v>
      </c>
      <c r="V121" s="50">
        <v>0.000852</v>
      </c>
      <c r="W121" s="50">
        <v>0</v>
      </c>
      <c r="X121" s="50">
        <v>0.517516</v>
      </c>
      <c r="Y121" s="50">
        <v>0</v>
      </c>
      <c r="Z121" s="50">
        <v>0</v>
      </c>
      <c r="AA121" s="72">
        <v>121</v>
      </c>
      <c r="AB121" s="72"/>
      <c r="AC121" s="73"/>
      <c r="AD121" s="80" t="s">
        <v>1686</v>
      </c>
      <c r="AE121" s="80" t="s">
        <v>2456</v>
      </c>
      <c r="AF121" s="80"/>
      <c r="AG121" s="80"/>
      <c r="AH121" s="80"/>
      <c r="AI121" s="80"/>
      <c r="AJ121" s="87">
        <v>43952.751122685186</v>
      </c>
      <c r="AK121" s="85" t="str">
        <f>HYPERLINK("https://yt3.ggpht.com/RKUan7knvl4l_pa9DJqb3i3fhgKPZqRlbdvdBp3m5NIocxUnPSi29G2qrWVFQkNbZu_S88Bsfw=s88-c-k-c0x00ffffff-no-rj")</f>
        <v>https://yt3.ggpht.com/RKUan7knvl4l_pa9DJqb3i3fhgKPZqRlbdvdBp3m5NIocxUnPSi29G2qrWVFQkNbZu_S88Bsfw=s88-c-k-c0x00ffffff-no-rj</v>
      </c>
      <c r="AL121" s="80">
        <v>909</v>
      </c>
      <c r="AM121" s="80">
        <v>0</v>
      </c>
      <c r="AN121" s="80">
        <v>24</v>
      </c>
      <c r="AO121" s="80" t="b">
        <v>0</v>
      </c>
      <c r="AP121" s="80">
        <v>18</v>
      </c>
      <c r="AQ121" s="80"/>
      <c r="AR121" s="80"/>
      <c r="AS121" s="80" t="s">
        <v>2664</v>
      </c>
      <c r="AT121" s="85" t="str">
        <f>HYPERLINK("https://www.youtube.com/channel/UCoRiIi240DGZFMU-GdSM2uQ")</f>
        <v>https://www.youtube.com/channel/UCoRiIi240DGZFMU-GdSM2uQ</v>
      </c>
      <c r="AU121" s="80" t="str">
        <f>REPLACE(INDEX(GroupVertices[Group],MATCH(Vertices[[#This Row],[Vertex]],GroupVertices[Vertex],0)),1,1,"")</f>
        <v>3</v>
      </c>
      <c r="AV121" s="49">
        <v>0</v>
      </c>
      <c r="AW121" s="50">
        <v>0</v>
      </c>
      <c r="AX121" s="49">
        <v>0</v>
      </c>
      <c r="AY121" s="50">
        <v>0</v>
      </c>
      <c r="AZ121" s="49">
        <v>0</v>
      </c>
      <c r="BA121" s="50">
        <v>0</v>
      </c>
      <c r="BB121" s="49">
        <v>2</v>
      </c>
      <c r="BC121" s="50">
        <v>100</v>
      </c>
      <c r="BD121" s="49">
        <v>2</v>
      </c>
      <c r="BE121" s="49"/>
      <c r="BF121" s="49"/>
      <c r="BG121" s="49"/>
      <c r="BH121" s="49"/>
      <c r="BI121" s="49"/>
      <c r="BJ121" s="49"/>
      <c r="BK121" s="111" t="s">
        <v>2762</v>
      </c>
      <c r="BL121" s="111" t="s">
        <v>2762</v>
      </c>
      <c r="BM121" s="111" t="s">
        <v>2390</v>
      </c>
      <c r="BN121" s="111" t="s">
        <v>2390</v>
      </c>
      <c r="BO121" s="2"/>
      <c r="BP121" s="3"/>
      <c r="BQ121" s="3"/>
      <c r="BR121" s="3"/>
      <c r="BS121" s="3"/>
    </row>
    <row r="122" spans="1:71" ht="15">
      <c r="A122" s="65" t="s">
        <v>328</v>
      </c>
      <c r="B122" s="66"/>
      <c r="C122" s="66"/>
      <c r="D122" s="67">
        <v>150</v>
      </c>
      <c r="E122" s="69"/>
      <c r="F122" s="103" t="str">
        <f>HYPERLINK("https://yt3.ggpht.com/ytc/AAUvwnjqKC23ewRXwW4-EDLu02zJ6wSGJpr6rOV42w=s88-c-k-c0x00ffffff-no-rj")</f>
        <v>https://yt3.ggpht.com/ytc/AAUvwnjqKC23ewRXwW4-EDLu02zJ6wSGJpr6rOV42w=s88-c-k-c0x00ffffff-no-rj</v>
      </c>
      <c r="G122" s="66"/>
      <c r="H122" s="70" t="s">
        <v>1687</v>
      </c>
      <c r="I122" s="71"/>
      <c r="J122" s="71" t="s">
        <v>159</v>
      </c>
      <c r="K122" s="70" t="s">
        <v>1687</v>
      </c>
      <c r="L122" s="74">
        <v>1</v>
      </c>
      <c r="M122" s="75">
        <v>5339.78271484375</v>
      </c>
      <c r="N122" s="75">
        <v>8154.90478515625</v>
      </c>
      <c r="O122" s="76"/>
      <c r="P122" s="77"/>
      <c r="Q122" s="77"/>
      <c r="R122" s="89"/>
      <c r="S122" s="49">
        <v>0</v>
      </c>
      <c r="T122" s="49">
        <v>1</v>
      </c>
      <c r="U122" s="50">
        <v>0</v>
      </c>
      <c r="V122" s="50">
        <v>0.000852</v>
      </c>
      <c r="W122" s="50">
        <v>0</v>
      </c>
      <c r="X122" s="50">
        <v>0.517516</v>
      </c>
      <c r="Y122" s="50">
        <v>0</v>
      </c>
      <c r="Z122" s="50">
        <v>0</v>
      </c>
      <c r="AA122" s="72">
        <v>122</v>
      </c>
      <c r="AB122" s="72"/>
      <c r="AC122" s="73"/>
      <c r="AD122" s="80" t="s">
        <v>1687</v>
      </c>
      <c r="AE122" s="80"/>
      <c r="AF122" s="80"/>
      <c r="AG122" s="80"/>
      <c r="AH122" s="80"/>
      <c r="AI122" s="80"/>
      <c r="AJ122" s="87">
        <v>41366.76332175926</v>
      </c>
      <c r="AK122" s="85" t="str">
        <f>HYPERLINK("https://yt3.ggpht.com/ytc/AAUvwnjqKC23ewRXwW4-EDLu02zJ6wSGJpr6rOV42w=s88-c-k-c0x00ffffff-no-rj")</f>
        <v>https://yt3.ggpht.com/ytc/AAUvwnjqKC23ewRXwW4-EDLu02zJ6wSGJpr6rOV42w=s88-c-k-c0x00ffffff-no-rj</v>
      </c>
      <c r="AL122" s="80">
        <v>0</v>
      </c>
      <c r="AM122" s="80">
        <v>0</v>
      </c>
      <c r="AN122" s="80">
        <v>0</v>
      </c>
      <c r="AO122" s="80" t="b">
        <v>0</v>
      </c>
      <c r="AP122" s="80">
        <v>0</v>
      </c>
      <c r="AQ122" s="80"/>
      <c r="AR122" s="80"/>
      <c r="AS122" s="80" t="s">
        <v>2664</v>
      </c>
      <c r="AT122" s="85" t="str">
        <f>HYPERLINK("https://www.youtube.com/channel/UChu_F4PvpOCkYC7OucP4izA")</f>
        <v>https://www.youtube.com/channel/UChu_F4PvpOCkYC7OucP4izA</v>
      </c>
      <c r="AU122" s="80" t="str">
        <f>REPLACE(INDEX(GroupVertices[Group],MATCH(Vertices[[#This Row],[Vertex]],GroupVertices[Vertex],0)),1,1,"")</f>
        <v>3</v>
      </c>
      <c r="AV122" s="49">
        <v>1</v>
      </c>
      <c r="AW122" s="50">
        <v>20</v>
      </c>
      <c r="AX122" s="49">
        <v>0</v>
      </c>
      <c r="AY122" s="50">
        <v>0</v>
      </c>
      <c r="AZ122" s="49">
        <v>0</v>
      </c>
      <c r="BA122" s="50">
        <v>0</v>
      </c>
      <c r="BB122" s="49">
        <v>4</v>
      </c>
      <c r="BC122" s="50">
        <v>80</v>
      </c>
      <c r="BD122" s="49">
        <v>5</v>
      </c>
      <c r="BE122" s="49"/>
      <c r="BF122" s="49"/>
      <c r="BG122" s="49"/>
      <c r="BH122" s="49"/>
      <c r="BI122" s="49"/>
      <c r="BJ122" s="49"/>
      <c r="BK122" s="111" t="s">
        <v>3756</v>
      </c>
      <c r="BL122" s="111" t="s">
        <v>3756</v>
      </c>
      <c r="BM122" s="111" t="s">
        <v>4229</v>
      </c>
      <c r="BN122" s="111" t="s">
        <v>4229</v>
      </c>
      <c r="BO122" s="2"/>
      <c r="BP122" s="3"/>
      <c r="BQ122" s="3"/>
      <c r="BR122" s="3"/>
      <c r="BS122" s="3"/>
    </row>
    <row r="123" spans="1:71" ht="15">
      <c r="A123" s="65" t="s">
        <v>329</v>
      </c>
      <c r="B123" s="66"/>
      <c r="C123" s="66"/>
      <c r="D123" s="67">
        <v>150</v>
      </c>
      <c r="E123" s="69"/>
      <c r="F123" s="103" t="str">
        <f>HYPERLINK("https://yt3.ggpht.com/ytc/AAUvwniOu6JvIWqDL1zJyVcbpw9B_ZWxdqm8U982iM7Q2w=s88-c-k-c0x00ffffff-no-rj")</f>
        <v>https://yt3.ggpht.com/ytc/AAUvwniOu6JvIWqDL1zJyVcbpw9B_ZWxdqm8U982iM7Q2w=s88-c-k-c0x00ffffff-no-rj</v>
      </c>
      <c r="G123" s="66"/>
      <c r="H123" s="70" t="s">
        <v>1688</v>
      </c>
      <c r="I123" s="71"/>
      <c r="J123" s="71" t="s">
        <v>159</v>
      </c>
      <c r="K123" s="70" t="s">
        <v>1688</v>
      </c>
      <c r="L123" s="74">
        <v>1</v>
      </c>
      <c r="M123" s="75">
        <v>4695.41015625</v>
      </c>
      <c r="N123" s="75">
        <v>7768.29052734375</v>
      </c>
      <c r="O123" s="76"/>
      <c r="P123" s="77"/>
      <c r="Q123" s="77"/>
      <c r="R123" s="89"/>
      <c r="S123" s="49">
        <v>0</v>
      </c>
      <c r="T123" s="49">
        <v>1</v>
      </c>
      <c r="U123" s="50">
        <v>0</v>
      </c>
      <c r="V123" s="50">
        <v>0.000852</v>
      </c>
      <c r="W123" s="50">
        <v>0</v>
      </c>
      <c r="X123" s="50">
        <v>0.517516</v>
      </c>
      <c r="Y123" s="50">
        <v>0</v>
      </c>
      <c r="Z123" s="50">
        <v>0</v>
      </c>
      <c r="AA123" s="72">
        <v>123</v>
      </c>
      <c r="AB123" s="72"/>
      <c r="AC123" s="73"/>
      <c r="AD123" s="80" t="s">
        <v>1688</v>
      </c>
      <c r="AE123" s="80"/>
      <c r="AF123" s="80"/>
      <c r="AG123" s="80"/>
      <c r="AH123" s="80"/>
      <c r="AI123" s="80"/>
      <c r="AJ123" s="87">
        <v>41404.14983796296</v>
      </c>
      <c r="AK123" s="85" t="str">
        <f>HYPERLINK("https://yt3.ggpht.com/ytc/AAUvwniOu6JvIWqDL1zJyVcbpw9B_ZWxdqm8U982iM7Q2w=s88-c-k-c0x00ffffff-no-rj")</f>
        <v>https://yt3.ggpht.com/ytc/AAUvwniOu6JvIWqDL1zJyVcbpw9B_ZWxdqm8U982iM7Q2w=s88-c-k-c0x00ffffff-no-rj</v>
      </c>
      <c r="AL123" s="80">
        <v>2854</v>
      </c>
      <c r="AM123" s="80">
        <v>0</v>
      </c>
      <c r="AN123" s="80">
        <v>19</v>
      </c>
      <c r="AO123" s="80" t="b">
        <v>0</v>
      </c>
      <c r="AP123" s="80">
        <v>15</v>
      </c>
      <c r="AQ123" s="80"/>
      <c r="AR123" s="80"/>
      <c r="AS123" s="80" t="s">
        <v>2664</v>
      </c>
      <c r="AT123" s="85" t="str">
        <f>HYPERLINK("https://www.youtube.com/channel/UC3CZMToTwqMZNRiHmDKaUMw")</f>
        <v>https://www.youtube.com/channel/UC3CZMToTwqMZNRiHmDKaUMw</v>
      </c>
      <c r="AU123" s="80" t="str">
        <f>REPLACE(INDEX(GroupVertices[Group],MATCH(Vertices[[#This Row],[Vertex]],GroupVertices[Vertex],0)),1,1,"")</f>
        <v>3</v>
      </c>
      <c r="AV123" s="49">
        <v>0</v>
      </c>
      <c r="AW123" s="50">
        <v>0</v>
      </c>
      <c r="AX123" s="49">
        <v>0</v>
      </c>
      <c r="AY123" s="50">
        <v>0</v>
      </c>
      <c r="AZ123" s="49">
        <v>0</v>
      </c>
      <c r="BA123" s="50">
        <v>0</v>
      </c>
      <c r="BB123" s="49">
        <v>22</v>
      </c>
      <c r="BC123" s="50">
        <v>100</v>
      </c>
      <c r="BD123" s="49">
        <v>22</v>
      </c>
      <c r="BE123" s="49"/>
      <c r="BF123" s="49"/>
      <c r="BG123" s="49"/>
      <c r="BH123" s="49"/>
      <c r="BI123" s="49"/>
      <c r="BJ123" s="49"/>
      <c r="BK123" s="111" t="s">
        <v>3757</v>
      </c>
      <c r="BL123" s="111" t="s">
        <v>3757</v>
      </c>
      <c r="BM123" s="111" t="s">
        <v>4230</v>
      </c>
      <c r="BN123" s="111" t="s">
        <v>4230</v>
      </c>
      <c r="BO123" s="2"/>
      <c r="BP123" s="3"/>
      <c r="BQ123" s="3"/>
      <c r="BR123" s="3"/>
      <c r="BS123" s="3"/>
    </row>
    <row r="124" spans="1:71" ht="15">
      <c r="A124" s="65" t="s">
        <v>330</v>
      </c>
      <c r="B124" s="66"/>
      <c r="C124" s="66"/>
      <c r="D124" s="67">
        <v>150</v>
      </c>
      <c r="E124" s="69"/>
      <c r="F124" s="103" t="str">
        <f>HYPERLINK("https://yt3.ggpht.com/ytc/AAUvwnhbU_HBMK_4Kd0PFv2Rux7Yq6nrDvaT5vhQQWritw=s88-c-k-c0x00ffffff-no-rj")</f>
        <v>https://yt3.ggpht.com/ytc/AAUvwnhbU_HBMK_4Kd0PFv2Rux7Yq6nrDvaT5vhQQWritw=s88-c-k-c0x00ffffff-no-rj</v>
      </c>
      <c r="G124" s="66"/>
      <c r="H124" s="70" t="s">
        <v>1689</v>
      </c>
      <c r="I124" s="71"/>
      <c r="J124" s="71" t="s">
        <v>159</v>
      </c>
      <c r="K124" s="70" t="s">
        <v>1689</v>
      </c>
      <c r="L124" s="74">
        <v>1</v>
      </c>
      <c r="M124" s="75">
        <v>4843.0244140625</v>
      </c>
      <c r="N124" s="75">
        <v>8881.3837890625</v>
      </c>
      <c r="O124" s="76"/>
      <c r="P124" s="77"/>
      <c r="Q124" s="77"/>
      <c r="R124" s="89"/>
      <c r="S124" s="49">
        <v>0</v>
      </c>
      <c r="T124" s="49">
        <v>1</v>
      </c>
      <c r="U124" s="50">
        <v>0</v>
      </c>
      <c r="V124" s="50">
        <v>0.000852</v>
      </c>
      <c r="W124" s="50">
        <v>0</v>
      </c>
      <c r="X124" s="50">
        <v>0.517516</v>
      </c>
      <c r="Y124" s="50">
        <v>0</v>
      </c>
      <c r="Z124" s="50">
        <v>0</v>
      </c>
      <c r="AA124" s="72">
        <v>124</v>
      </c>
      <c r="AB124" s="72"/>
      <c r="AC124" s="73"/>
      <c r="AD124" s="80" t="s">
        <v>1689</v>
      </c>
      <c r="AE124" s="80"/>
      <c r="AF124" s="80"/>
      <c r="AG124" s="80"/>
      <c r="AH124" s="80"/>
      <c r="AI124" s="80"/>
      <c r="AJ124" s="87">
        <v>43133.435428240744</v>
      </c>
      <c r="AK124" s="85" t="str">
        <f>HYPERLINK("https://yt3.ggpht.com/ytc/AAUvwnhbU_HBMK_4Kd0PFv2Rux7Yq6nrDvaT5vhQQWritw=s88-c-k-c0x00ffffff-no-rj")</f>
        <v>https://yt3.ggpht.com/ytc/AAUvwnhbU_HBMK_4Kd0PFv2Rux7Yq6nrDvaT5vhQQWritw=s88-c-k-c0x00ffffff-no-rj</v>
      </c>
      <c r="AL124" s="80">
        <v>0</v>
      </c>
      <c r="AM124" s="80">
        <v>0</v>
      </c>
      <c r="AN124" s="80">
        <v>5</v>
      </c>
      <c r="AO124" s="80" t="b">
        <v>0</v>
      </c>
      <c r="AP124" s="80">
        <v>0</v>
      </c>
      <c r="AQ124" s="80"/>
      <c r="AR124" s="80"/>
      <c r="AS124" s="80" t="s">
        <v>2664</v>
      </c>
      <c r="AT124" s="85" t="str">
        <f>HYPERLINK("https://www.youtube.com/channel/UCk4RmdXiRi_Ad_l4rvGXvhg")</f>
        <v>https://www.youtube.com/channel/UCk4RmdXiRi_Ad_l4rvGXvhg</v>
      </c>
      <c r="AU124" s="80" t="str">
        <f>REPLACE(INDEX(GroupVertices[Group],MATCH(Vertices[[#This Row],[Vertex]],GroupVertices[Vertex],0)),1,1,"")</f>
        <v>3</v>
      </c>
      <c r="AV124" s="49">
        <v>0</v>
      </c>
      <c r="AW124" s="50">
        <v>0</v>
      </c>
      <c r="AX124" s="49">
        <v>1</v>
      </c>
      <c r="AY124" s="50">
        <v>20</v>
      </c>
      <c r="AZ124" s="49">
        <v>0</v>
      </c>
      <c r="BA124" s="50">
        <v>0</v>
      </c>
      <c r="BB124" s="49">
        <v>4</v>
      </c>
      <c r="BC124" s="50">
        <v>80</v>
      </c>
      <c r="BD124" s="49">
        <v>5</v>
      </c>
      <c r="BE124" s="49"/>
      <c r="BF124" s="49"/>
      <c r="BG124" s="49"/>
      <c r="BH124" s="49"/>
      <c r="BI124" s="49"/>
      <c r="BJ124" s="49"/>
      <c r="BK124" s="111" t="s">
        <v>3758</v>
      </c>
      <c r="BL124" s="111" t="s">
        <v>3758</v>
      </c>
      <c r="BM124" s="111" t="s">
        <v>4231</v>
      </c>
      <c r="BN124" s="111" t="s">
        <v>4231</v>
      </c>
      <c r="BO124" s="2"/>
      <c r="BP124" s="3"/>
      <c r="BQ124" s="3"/>
      <c r="BR124" s="3"/>
      <c r="BS124" s="3"/>
    </row>
    <row r="125" spans="1:71" ht="15">
      <c r="A125" s="65" t="s">
        <v>331</v>
      </c>
      <c r="B125" s="66"/>
      <c r="C125" s="66"/>
      <c r="D125" s="67">
        <v>150</v>
      </c>
      <c r="E125" s="69"/>
      <c r="F125" s="103" t="str">
        <f>HYPERLINK("https://yt3.ggpht.com/ytc/AAUvwng2RFvSKc9DO4AOsxZEbO11obewfLi1mEkf538w=s88-c-k-c0x00ffffff-no-rj")</f>
        <v>https://yt3.ggpht.com/ytc/AAUvwng2RFvSKc9DO4AOsxZEbO11obewfLi1mEkf538w=s88-c-k-c0x00ffffff-no-rj</v>
      </c>
      <c r="G125" s="66"/>
      <c r="H125" s="70" t="s">
        <v>1690</v>
      </c>
      <c r="I125" s="71"/>
      <c r="J125" s="71" t="s">
        <v>159</v>
      </c>
      <c r="K125" s="70" t="s">
        <v>1690</v>
      </c>
      <c r="L125" s="74">
        <v>1</v>
      </c>
      <c r="M125" s="75">
        <v>4522.154296875</v>
      </c>
      <c r="N125" s="75">
        <v>8876.53515625</v>
      </c>
      <c r="O125" s="76"/>
      <c r="P125" s="77"/>
      <c r="Q125" s="77"/>
      <c r="R125" s="89"/>
      <c r="S125" s="49">
        <v>0</v>
      </c>
      <c r="T125" s="49">
        <v>1</v>
      </c>
      <c r="U125" s="50">
        <v>0</v>
      </c>
      <c r="V125" s="50">
        <v>0.000852</v>
      </c>
      <c r="W125" s="50">
        <v>0</v>
      </c>
      <c r="X125" s="50">
        <v>0.517516</v>
      </c>
      <c r="Y125" s="50">
        <v>0</v>
      </c>
      <c r="Z125" s="50">
        <v>0</v>
      </c>
      <c r="AA125" s="72">
        <v>125</v>
      </c>
      <c r="AB125" s="72"/>
      <c r="AC125" s="73"/>
      <c r="AD125" s="80" t="s">
        <v>1690</v>
      </c>
      <c r="AE125" s="80"/>
      <c r="AF125" s="80"/>
      <c r="AG125" s="80"/>
      <c r="AH125" s="80"/>
      <c r="AI125" s="80"/>
      <c r="AJ125" s="87">
        <v>43849.941828703704</v>
      </c>
      <c r="AK125" s="85" t="str">
        <f>HYPERLINK("https://yt3.ggpht.com/ytc/AAUvwng2RFvSKc9DO4AOsxZEbO11obewfLi1mEkf538w=s88-c-k-c0x00ffffff-no-rj")</f>
        <v>https://yt3.ggpht.com/ytc/AAUvwng2RFvSKc9DO4AOsxZEbO11obewfLi1mEkf538w=s88-c-k-c0x00ffffff-no-rj</v>
      </c>
      <c r="AL125" s="80">
        <v>0</v>
      </c>
      <c r="AM125" s="80">
        <v>0</v>
      </c>
      <c r="AN125" s="80">
        <v>0</v>
      </c>
      <c r="AO125" s="80" t="b">
        <v>0</v>
      </c>
      <c r="AP125" s="80">
        <v>0</v>
      </c>
      <c r="AQ125" s="80"/>
      <c r="AR125" s="80"/>
      <c r="AS125" s="80" t="s">
        <v>2664</v>
      </c>
      <c r="AT125" s="85" t="str">
        <f>HYPERLINK("https://www.youtube.com/channel/UC0-9DqPDBZuUlkte_JxRorA")</f>
        <v>https://www.youtube.com/channel/UC0-9DqPDBZuUlkte_JxRorA</v>
      </c>
      <c r="AU125" s="80" t="str">
        <f>REPLACE(INDEX(GroupVertices[Group],MATCH(Vertices[[#This Row],[Vertex]],GroupVertices[Vertex],0)),1,1,"")</f>
        <v>3</v>
      </c>
      <c r="AV125" s="49">
        <v>1</v>
      </c>
      <c r="AW125" s="50">
        <v>3.5714285714285716</v>
      </c>
      <c r="AX125" s="49">
        <v>0</v>
      </c>
      <c r="AY125" s="50">
        <v>0</v>
      </c>
      <c r="AZ125" s="49">
        <v>0</v>
      </c>
      <c r="BA125" s="50">
        <v>0</v>
      </c>
      <c r="BB125" s="49">
        <v>27</v>
      </c>
      <c r="BC125" s="50">
        <v>96.42857142857143</v>
      </c>
      <c r="BD125" s="49">
        <v>28</v>
      </c>
      <c r="BE125" s="49"/>
      <c r="BF125" s="49"/>
      <c r="BG125" s="49"/>
      <c r="BH125" s="49"/>
      <c r="BI125" s="49"/>
      <c r="BJ125" s="49"/>
      <c r="BK125" s="111" t="s">
        <v>3759</v>
      </c>
      <c r="BL125" s="111" t="s">
        <v>3759</v>
      </c>
      <c r="BM125" s="111" t="s">
        <v>4232</v>
      </c>
      <c r="BN125" s="111" t="s">
        <v>4232</v>
      </c>
      <c r="BO125" s="2"/>
      <c r="BP125" s="3"/>
      <c r="BQ125" s="3"/>
      <c r="BR125" s="3"/>
      <c r="BS125" s="3"/>
    </row>
    <row r="126" spans="1:71" ht="15">
      <c r="A126" s="65" t="s">
        <v>332</v>
      </c>
      <c r="B126" s="66"/>
      <c r="C126" s="66"/>
      <c r="D126" s="67">
        <v>150</v>
      </c>
      <c r="E126" s="69"/>
      <c r="F126" s="103" t="str">
        <f>HYPERLINK("https://yt3.ggpht.com/ytc/AAUvwnjTs5KYM0NtCeJGxc9SqushLq_PjGmcjwXv2w=s88-c-k-c0x00ffffff-no-rj")</f>
        <v>https://yt3.ggpht.com/ytc/AAUvwnjTs5KYM0NtCeJGxc9SqushLq_PjGmcjwXv2w=s88-c-k-c0x00ffffff-no-rj</v>
      </c>
      <c r="G126" s="66"/>
      <c r="H126" s="70" t="s">
        <v>1691</v>
      </c>
      <c r="I126" s="71"/>
      <c r="J126" s="71" t="s">
        <v>159</v>
      </c>
      <c r="K126" s="70" t="s">
        <v>1691</v>
      </c>
      <c r="L126" s="74">
        <v>1</v>
      </c>
      <c r="M126" s="75">
        <v>5510.6015625</v>
      </c>
      <c r="N126" s="75">
        <v>8265.14453125</v>
      </c>
      <c r="O126" s="76"/>
      <c r="P126" s="77"/>
      <c r="Q126" s="77"/>
      <c r="R126" s="89"/>
      <c r="S126" s="49">
        <v>0</v>
      </c>
      <c r="T126" s="49">
        <v>1</v>
      </c>
      <c r="U126" s="50">
        <v>0</v>
      </c>
      <c r="V126" s="50">
        <v>0.000852</v>
      </c>
      <c r="W126" s="50">
        <v>0</v>
      </c>
      <c r="X126" s="50">
        <v>0.517516</v>
      </c>
      <c r="Y126" s="50">
        <v>0</v>
      </c>
      <c r="Z126" s="50">
        <v>0</v>
      </c>
      <c r="AA126" s="72">
        <v>126</v>
      </c>
      <c r="AB126" s="72"/>
      <c r="AC126" s="73"/>
      <c r="AD126" s="80" t="s">
        <v>1691</v>
      </c>
      <c r="AE126" s="80"/>
      <c r="AF126" s="80"/>
      <c r="AG126" s="80"/>
      <c r="AH126" s="80"/>
      <c r="AI126" s="80"/>
      <c r="AJ126" s="87">
        <v>44053.018171296295</v>
      </c>
      <c r="AK126" s="85" t="str">
        <f>HYPERLINK("https://yt3.ggpht.com/ytc/AAUvwnjTs5KYM0NtCeJGxc9SqushLq_PjGmcjwXv2w=s88-c-k-c0x00ffffff-no-rj")</f>
        <v>https://yt3.ggpht.com/ytc/AAUvwnjTs5KYM0NtCeJGxc9SqushLq_PjGmcjwXv2w=s88-c-k-c0x00ffffff-no-rj</v>
      </c>
      <c r="AL126" s="80">
        <v>0</v>
      </c>
      <c r="AM126" s="80">
        <v>0</v>
      </c>
      <c r="AN126" s="80">
        <v>0</v>
      </c>
      <c r="AO126" s="80" t="b">
        <v>0</v>
      </c>
      <c r="AP126" s="80">
        <v>0</v>
      </c>
      <c r="AQ126" s="80"/>
      <c r="AR126" s="80"/>
      <c r="AS126" s="80" t="s">
        <v>2664</v>
      </c>
      <c r="AT126" s="85" t="str">
        <f>HYPERLINK("https://www.youtube.com/channel/UCW1cxUDBPmXb9Uaiw3gcl5g")</f>
        <v>https://www.youtube.com/channel/UCW1cxUDBPmXb9Uaiw3gcl5g</v>
      </c>
      <c r="AU126" s="80" t="str">
        <f>REPLACE(INDEX(GroupVertices[Group],MATCH(Vertices[[#This Row],[Vertex]],GroupVertices[Vertex],0)),1,1,"")</f>
        <v>3</v>
      </c>
      <c r="AV126" s="49">
        <v>4</v>
      </c>
      <c r="AW126" s="50">
        <v>7.547169811320755</v>
      </c>
      <c r="AX126" s="49">
        <v>3</v>
      </c>
      <c r="AY126" s="50">
        <v>5.660377358490566</v>
      </c>
      <c r="AZ126" s="49">
        <v>0</v>
      </c>
      <c r="BA126" s="50">
        <v>0</v>
      </c>
      <c r="BB126" s="49">
        <v>46</v>
      </c>
      <c r="BC126" s="50">
        <v>86.79245283018868</v>
      </c>
      <c r="BD126" s="49">
        <v>53</v>
      </c>
      <c r="BE126" s="49"/>
      <c r="BF126" s="49"/>
      <c r="BG126" s="49"/>
      <c r="BH126" s="49"/>
      <c r="BI126" s="49"/>
      <c r="BJ126" s="49"/>
      <c r="BK126" s="111" t="s">
        <v>3760</v>
      </c>
      <c r="BL126" s="111" t="s">
        <v>3760</v>
      </c>
      <c r="BM126" s="111" t="s">
        <v>4233</v>
      </c>
      <c r="BN126" s="111" t="s">
        <v>4233</v>
      </c>
      <c r="BO126" s="2"/>
      <c r="BP126" s="3"/>
      <c r="BQ126" s="3"/>
      <c r="BR126" s="3"/>
      <c r="BS126" s="3"/>
    </row>
    <row r="127" spans="1:71" ht="15">
      <c r="A127" s="65" t="s">
        <v>333</v>
      </c>
      <c r="B127" s="66"/>
      <c r="C127" s="66"/>
      <c r="D127" s="67">
        <v>150</v>
      </c>
      <c r="E127" s="69"/>
      <c r="F127" s="103" t="str">
        <f>HYPERLINK("https://yt3.ggpht.com/ytc/AAUvwniJCQFiZ5hcVECF4fGSTY9w7XgtBK_CQ_09VLyp=s88-c-k-c0x00ffffff-no-rj")</f>
        <v>https://yt3.ggpht.com/ytc/AAUvwniJCQFiZ5hcVECF4fGSTY9w7XgtBK_CQ_09VLyp=s88-c-k-c0x00ffffff-no-rj</v>
      </c>
      <c r="G127" s="66"/>
      <c r="H127" s="70" t="s">
        <v>1692</v>
      </c>
      <c r="I127" s="71"/>
      <c r="J127" s="71" t="s">
        <v>159</v>
      </c>
      <c r="K127" s="70" t="s">
        <v>1692</v>
      </c>
      <c r="L127" s="74">
        <v>1</v>
      </c>
      <c r="M127" s="75">
        <v>4681.95751953125</v>
      </c>
      <c r="N127" s="75">
        <v>7265.328125</v>
      </c>
      <c r="O127" s="76"/>
      <c r="P127" s="77"/>
      <c r="Q127" s="77"/>
      <c r="R127" s="89"/>
      <c r="S127" s="49">
        <v>0</v>
      </c>
      <c r="T127" s="49">
        <v>1</v>
      </c>
      <c r="U127" s="50">
        <v>0</v>
      </c>
      <c r="V127" s="50">
        <v>0.000852</v>
      </c>
      <c r="W127" s="50">
        <v>0</v>
      </c>
      <c r="X127" s="50">
        <v>0.517516</v>
      </c>
      <c r="Y127" s="50">
        <v>0</v>
      </c>
      <c r="Z127" s="50">
        <v>0</v>
      </c>
      <c r="AA127" s="72">
        <v>127</v>
      </c>
      <c r="AB127" s="72"/>
      <c r="AC127" s="73"/>
      <c r="AD127" s="80" t="s">
        <v>1692</v>
      </c>
      <c r="AE127" s="80"/>
      <c r="AF127" s="80"/>
      <c r="AG127" s="80"/>
      <c r="AH127" s="80"/>
      <c r="AI127" s="80"/>
      <c r="AJ127" s="87">
        <v>44156.71423611111</v>
      </c>
      <c r="AK127" s="85" t="str">
        <f>HYPERLINK("https://yt3.ggpht.com/ytc/AAUvwniJCQFiZ5hcVECF4fGSTY9w7XgtBK_CQ_09VLyp=s88-c-k-c0x00ffffff-no-rj")</f>
        <v>https://yt3.ggpht.com/ytc/AAUvwniJCQFiZ5hcVECF4fGSTY9w7XgtBK_CQ_09VLyp=s88-c-k-c0x00ffffff-no-rj</v>
      </c>
      <c r="AL127" s="80">
        <v>0</v>
      </c>
      <c r="AM127" s="80">
        <v>0</v>
      </c>
      <c r="AN127" s="80">
        <v>0</v>
      </c>
      <c r="AO127" s="80" t="b">
        <v>0</v>
      </c>
      <c r="AP127" s="80">
        <v>0</v>
      </c>
      <c r="AQ127" s="80"/>
      <c r="AR127" s="80"/>
      <c r="AS127" s="80" t="s">
        <v>2664</v>
      </c>
      <c r="AT127" s="85" t="str">
        <f>HYPERLINK("https://www.youtube.com/channel/UCdeCufBUMozc9vUfN0DiUwg")</f>
        <v>https://www.youtube.com/channel/UCdeCufBUMozc9vUfN0DiUwg</v>
      </c>
      <c r="AU127" s="80" t="str">
        <f>REPLACE(INDEX(GroupVertices[Group],MATCH(Vertices[[#This Row],[Vertex]],GroupVertices[Vertex],0)),1,1,"")</f>
        <v>3</v>
      </c>
      <c r="AV127" s="49">
        <v>5</v>
      </c>
      <c r="AW127" s="50">
        <v>2.4271844660194173</v>
      </c>
      <c r="AX127" s="49">
        <v>4</v>
      </c>
      <c r="AY127" s="50">
        <v>1.941747572815534</v>
      </c>
      <c r="AZ127" s="49">
        <v>0</v>
      </c>
      <c r="BA127" s="50">
        <v>0</v>
      </c>
      <c r="BB127" s="49">
        <v>197</v>
      </c>
      <c r="BC127" s="50">
        <v>95.63106796116504</v>
      </c>
      <c r="BD127" s="49">
        <v>206</v>
      </c>
      <c r="BE127" s="49"/>
      <c r="BF127" s="49"/>
      <c r="BG127" s="49"/>
      <c r="BH127" s="49"/>
      <c r="BI127" s="49"/>
      <c r="BJ127" s="49"/>
      <c r="BK127" s="111" t="s">
        <v>3761</v>
      </c>
      <c r="BL127" s="111" t="s">
        <v>3761</v>
      </c>
      <c r="BM127" s="111" t="s">
        <v>4234</v>
      </c>
      <c r="BN127" s="111" t="s">
        <v>4234</v>
      </c>
      <c r="BO127" s="2"/>
      <c r="BP127" s="3"/>
      <c r="BQ127" s="3"/>
      <c r="BR127" s="3"/>
      <c r="BS127" s="3"/>
    </row>
    <row r="128" spans="1:71" ht="15">
      <c r="A128" s="65" t="s">
        <v>334</v>
      </c>
      <c r="B128" s="66"/>
      <c r="C128" s="66"/>
      <c r="D128" s="67">
        <v>150</v>
      </c>
      <c r="E128" s="69"/>
      <c r="F128" s="103" t="str">
        <f>HYPERLINK("https://yt3.ggpht.com/ytc/AAUvwnj4mHUXquFqFY4ObT6eeTshkHj9_LJUk5skhk6l=s88-c-k-c0x00ffffff-no-rj")</f>
        <v>https://yt3.ggpht.com/ytc/AAUvwnj4mHUXquFqFY4ObT6eeTshkHj9_LJUk5skhk6l=s88-c-k-c0x00ffffff-no-rj</v>
      </c>
      <c r="G128" s="66"/>
      <c r="H128" s="70" t="s">
        <v>1693</v>
      </c>
      <c r="I128" s="71"/>
      <c r="J128" s="71" t="s">
        <v>159</v>
      </c>
      <c r="K128" s="70" t="s">
        <v>1693</v>
      </c>
      <c r="L128" s="74">
        <v>1</v>
      </c>
      <c r="M128" s="75">
        <v>3855.333251953125</v>
      </c>
      <c r="N128" s="75">
        <v>8009.60205078125</v>
      </c>
      <c r="O128" s="76"/>
      <c r="P128" s="77"/>
      <c r="Q128" s="77"/>
      <c r="R128" s="89"/>
      <c r="S128" s="49">
        <v>0</v>
      </c>
      <c r="T128" s="49">
        <v>1</v>
      </c>
      <c r="U128" s="50">
        <v>0</v>
      </c>
      <c r="V128" s="50">
        <v>0.000852</v>
      </c>
      <c r="W128" s="50">
        <v>0</v>
      </c>
      <c r="X128" s="50">
        <v>0.517516</v>
      </c>
      <c r="Y128" s="50">
        <v>0</v>
      </c>
      <c r="Z128" s="50">
        <v>0</v>
      </c>
      <c r="AA128" s="72">
        <v>128</v>
      </c>
      <c r="AB128" s="72"/>
      <c r="AC128" s="73"/>
      <c r="AD128" s="80" t="s">
        <v>1693</v>
      </c>
      <c r="AE128" s="80" t="s">
        <v>2457</v>
      </c>
      <c r="AF128" s="80"/>
      <c r="AG128" s="80"/>
      <c r="AH128" s="80"/>
      <c r="AI128" s="80"/>
      <c r="AJ128" s="87">
        <v>43119.14408564815</v>
      </c>
      <c r="AK128" s="85" t="str">
        <f>HYPERLINK("https://yt3.ggpht.com/ytc/AAUvwnj4mHUXquFqFY4ObT6eeTshkHj9_LJUk5skhk6l=s88-c-k-c0x00ffffff-no-rj")</f>
        <v>https://yt3.ggpht.com/ytc/AAUvwnj4mHUXquFqFY4ObT6eeTshkHj9_LJUk5skhk6l=s88-c-k-c0x00ffffff-no-rj</v>
      </c>
      <c r="AL128" s="80">
        <v>0</v>
      </c>
      <c r="AM128" s="80">
        <v>0</v>
      </c>
      <c r="AN128" s="80">
        <v>4</v>
      </c>
      <c r="AO128" s="80" t="b">
        <v>0</v>
      </c>
      <c r="AP128" s="80">
        <v>0</v>
      </c>
      <c r="AQ128" s="80"/>
      <c r="AR128" s="80"/>
      <c r="AS128" s="80" t="s">
        <v>2664</v>
      </c>
      <c r="AT128" s="85" t="str">
        <f>HYPERLINK("https://www.youtube.com/channel/UCyAvQ66sltINGcJeA0gOLZw")</f>
        <v>https://www.youtube.com/channel/UCyAvQ66sltINGcJeA0gOLZw</v>
      </c>
      <c r="AU128" s="80" t="str">
        <f>REPLACE(INDEX(GroupVertices[Group],MATCH(Vertices[[#This Row],[Vertex]],GroupVertices[Vertex],0)),1,1,"")</f>
        <v>3</v>
      </c>
      <c r="AV128" s="49">
        <v>0</v>
      </c>
      <c r="AW128" s="50">
        <v>0</v>
      </c>
      <c r="AX128" s="49">
        <v>0</v>
      </c>
      <c r="AY128" s="50">
        <v>0</v>
      </c>
      <c r="AZ128" s="49">
        <v>0</v>
      </c>
      <c r="BA128" s="50">
        <v>0</v>
      </c>
      <c r="BB128" s="49">
        <v>1</v>
      </c>
      <c r="BC128" s="50">
        <v>100</v>
      </c>
      <c r="BD128" s="49">
        <v>1</v>
      </c>
      <c r="BE128" s="49"/>
      <c r="BF128" s="49"/>
      <c r="BG128" s="49"/>
      <c r="BH128" s="49"/>
      <c r="BI128" s="49"/>
      <c r="BJ128" s="49"/>
      <c r="BK128" s="111" t="s">
        <v>3762</v>
      </c>
      <c r="BL128" s="111" t="s">
        <v>3762</v>
      </c>
      <c r="BM128" s="111" t="s">
        <v>2390</v>
      </c>
      <c r="BN128" s="111" t="s">
        <v>2390</v>
      </c>
      <c r="BO128" s="2"/>
      <c r="BP128" s="3"/>
      <c r="BQ128" s="3"/>
      <c r="BR128" s="3"/>
      <c r="BS128" s="3"/>
    </row>
    <row r="129" spans="1:71" ht="15">
      <c r="A129" s="65" t="s">
        <v>335</v>
      </c>
      <c r="B129" s="66"/>
      <c r="C129" s="66"/>
      <c r="D129" s="67">
        <v>150</v>
      </c>
      <c r="E129" s="69"/>
      <c r="F129" s="103" t="str">
        <f>HYPERLINK("https://yt3.ggpht.com/ytc/AAUvwnjP0ijR_-4iO877Tc2xAaunAqCjaxb_GrSyhY4ZGQ=s88-c-k-c0x00ffffff-no-rj")</f>
        <v>https://yt3.ggpht.com/ytc/AAUvwnjP0ijR_-4iO877Tc2xAaunAqCjaxb_GrSyhY4ZGQ=s88-c-k-c0x00ffffff-no-rj</v>
      </c>
      <c r="G129" s="66"/>
      <c r="H129" s="70" t="s">
        <v>1694</v>
      </c>
      <c r="I129" s="71"/>
      <c r="J129" s="71" t="s">
        <v>159</v>
      </c>
      <c r="K129" s="70" t="s">
        <v>1694</v>
      </c>
      <c r="L129" s="74">
        <v>1</v>
      </c>
      <c r="M129" s="75">
        <v>4053.7421875</v>
      </c>
      <c r="N129" s="75">
        <v>7868.38427734375</v>
      </c>
      <c r="O129" s="76"/>
      <c r="P129" s="77"/>
      <c r="Q129" s="77"/>
      <c r="R129" s="89"/>
      <c r="S129" s="49">
        <v>0</v>
      </c>
      <c r="T129" s="49">
        <v>1</v>
      </c>
      <c r="U129" s="50">
        <v>0</v>
      </c>
      <c r="V129" s="50">
        <v>0.000852</v>
      </c>
      <c r="W129" s="50">
        <v>0</v>
      </c>
      <c r="X129" s="50">
        <v>0.517516</v>
      </c>
      <c r="Y129" s="50">
        <v>0</v>
      </c>
      <c r="Z129" s="50">
        <v>0</v>
      </c>
      <c r="AA129" s="72">
        <v>129</v>
      </c>
      <c r="AB129" s="72"/>
      <c r="AC129" s="73"/>
      <c r="AD129" s="80" t="s">
        <v>1694</v>
      </c>
      <c r="AE129" s="80" t="s">
        <v>2458</v>
      </c>
      <c r="AF129" s="80"/>
      <c r="AG129" s="80"/>
      <c r="AH129" s="80"/>
      <c r="AI129" s="80"/>
      <c r="AJ129" s="87">
        <v>43567.66538194445</v>
      </c>
      <c r="AK129" s="85" t="str">
        <f>HYPERLINK("https://yt3.ggpht.com/ytc/AAUvwnjP0ijR_-4iO877Tc2xAaunAqCjaxb_GrSyhY4ZGQ=s88-c-k-c0x00ffffff-no-rj")</f>
        <v>https://yt3.ggpht.com/ytc/AAUvwnjP0ijR_-4iO877Tc2xAaunAqCjaxb_GrSyhY4ZGQ=s88-c-k-c0x00ffffff-no-rj</v>
      </c>
      <c r="AL129" s="80">
        <v>772</v>
      </c>
      <c r="AM129" s="80">
        <v>0</v>
      </c>
      <c r="AN129" s="80">
        <v>13</v>
      </c>
      <c r="AO129" s="80" t="b">
        <v>0</v>
      </c>
      <c r="AP129" s="80">
        <v>48</v>
      </c>
      <c r="AQ129" s="80"/>
      <c r="AR129" s="80"/>
      <c r="AS129" s="80" t="s">
        <v>2664</v>
      </c>
      <c r="AT129" s="85" t="str">
        <f>HYPERLINK("https://www.youtube.com/channel/UCmcCU9CY86IsTMggOzc9c1w")</f>
        <v>https://www.youtube.com/channel/UCmcCU9CY86IsTMggOzc9c1w</v>
      </c>
      <c r="AU129" s="80" t="str">
        <f>REPLACE(INDEX(GroupVertices[Group],MATCH(Vertices[[#This Row],[Vertex]],GroupVertices[Vertex],0)),1,1,"")</f>
        <v>3</v>
      </c>
      <c r="AV129" s="49">
        <v>0</v>
      </c>
      <c r="AW129" s="50">
        <v>0</v>
      </c>
      <c r="AX129" s="49">
        <v>0</v>
      </c>
      <c r="AY129" s="50">
        <v>0</v>
      </c>
      <c r="AZ129" s="49">
        <v>0</v>
      </c>
      <c r="BA129" s="50">
        <v>0</v>
      </c>
      <c r="BB129" s="49">
        <v>0</v>
      </c>
      <c r="BC129" s="50">
        <v>0</v>
      </c>
      <c r="BD129" s="49">
        <v>0</v>
      </c>
      <c r="BE129" s="49"/>
      <c r="BF129" s="49"/>
      <c r="BG129" s="49"/>
      <c r="BH129" s="49"/>
      <c r="BI129" s="49"/>
      <c r="BJ129" s="49"/>
      <c r="BK129" s="111" t="s">
        <v>2390</v>
      </c>
      <c r="BL129" s="111" t="s">
        <v>2390</v>
      </c>
      <c r="BM129" s="111" t="s">
        <v>2390</v>
      </c>
      <c r="BN129" s="111" t="s">
        <v>2390</v>
      </c>
      <c r="BO129" s="2"/>
      <c r="BP129" s="3"/>
      <c r="BQ129" s="3"/>
      <c r="BR129" s="3"/>
      <c r="BS129" s="3"/>
    </row>
    <row r="130" spans="1:71" ht="15">
      <c r="A130" s="65" t="s">
        <v>336</v>
      </c>
      <c r="B130" s="66"/>
      <c r="C130" s="66"/>
      <c r="D130" s="67">
        <v>150</v>
      </c>
      <c r="E130" s="69"/>
      <c r="F130" s="103" t="str">
        <f>HYPERLINK("https://yt3.ggpht.com/f-qCuTwldZXSq5kgtuVbenVrjmPIGOblhk2wfwfbUxkU_1UHnoC1OMnFysvYPDhfUI5aN236J9c=s88-c-k-c0x00ffffff-no-rj")</f>
        <v>https://yt3.ggpht.com/f-qCuTwldZXSq5kgtuVbenVrjmPIGOblhk2wfwfbUxkU_1UHnoC1OMnFysvYPDhfUI5aN236J9c=s88-c-k-c0x00ffffff-no-rj</v>
      </c>
      <c r="G130" s="66"/>
      <c r="H130" s="70" t="s">
        <v>1695</v>
      </c>
      <c r="I130" s="71"/>
      <c r="J130" s="71" t="s">
        <v>159</v>
      </c>
      <c r="K130" s="70" t="s">
        <v>1695</v>
      </c>
      <c r="L130" s="74">
        <v>1</v>
      </c>
      <c r="M130" s="75">
        <v>4106.38525390625</v>
      </c>
      <c r="N130" s="75">
        <v>8451.4130859375</v>
      </c>
      <c r="O130" s="76"/>
      <c r="P130" s="77"/>
      <c r="Q130" s="77"/>
      <c r="R130" s="89"/>
      <c r="S130" s="49">
        <v>0</v>
      </c>
      <c r="T130" s="49">
        <v>1</v>
      </c>
      <c r="U130" s="50">
        <v>0</v>
      </c>
      <c r="V130" s="50">
        <v>0.000852</v>
      </c>
      <c r="W130" s="50">
        <v>0</v>
      </c>
      <c r="X130" s="50">
        <v>0.517516</v>
      </c>
      <c r="Y130" s="50">
        <v>0</v>
      </c>
      <c r="Z130" s="50">
        <v>0</v>
      </c>
      <c r="AA130" s="72">
        <v>130</v>
      </c>
      <c r="AB130" s="72"/>
      <c r="AC130" s="73"/>
      <c r="AD130" s="80" t="s">
        <v>1695</v>
      </c>
      <c r="AE130" s="80" t="s">
        <v>2459</v>
      </c>
      <c r="AF130" s="80"/>
      <c r="AG130" s="80"/>
      <c r="AH130" s="80"/>
      <c r="AI130" s="80"/>
      <c r="AJ130" s="87">
        <v>42650.68320601852</v>
      </c>
      <c r="AK130" s="85" t="str">
        <f>HYPERLINK("https://yt3.ggpht.com/f-qCuTwldZXSq5kgtuVbenVrjmPIGOblhk2wfwfbUxkU_1UHnoC1OMnFysvYPDhfUI5aN236J9c=s88-c-k-c0x00ffffff-no-rj")</f>
        <v>https://yt3.ggpht.com/f-qCuTwldZXSq5kgtuVbenVrjmPIGOblhk2wfwfbUxkU_1UHnoC1OMnFysvYPDhfUI5aN236J9c=s88-c-k-c0x00ffffff-no-rj</v>
      </c>
      <c r="AL130" s="80">
        <v>9826</v>
      </c>
      <c r="AM130" s="80">
        <v>0</v>
      </c>
      <c r="AN130" s="80">
        <v>39</v>
      </c>
      <c r="AO130" s="80" t="b">
        <v>0</v>
      </c>
      <c r="AP130" s="80">
        <v>24</v>
      </c>
      <c r="AQ130" s="80"/>
      <c r="AR130" s="80"/>
      <c r="AS130" s="80" t="s">
        <v>2664</v>
      </c>
      <c r="AT130" s="85" t="str">
        <f>HYPERLINK("https://www.youtube.com/channel/UCnq6GOWcAMgieiQL0GoPhPA")</f>
        <v>https://www.youtube.com/channel/UCnq6GOWcAMgieiQL0GoPhPA</v>
      </c>
      <c r="AU130" s="80" t="str">
        <f>REPLACE(INDEX(GroupVertices[Group],MATCH(Vertices[[#This Row],[Vertex]],GroupVertices[Vertex],0)),1,1,"")</f>
        <v>3</v>
      </c>
      <c r="AV130" s="49">
        <v>0</v>
      </c>
      <c r="AW130" s="50">
        <v>0</v>
      </c>
      <c r="AX130" s="49">
        <v>0</v>
      </c>
      <c r="AY130" s="50">
        <v>0</v>
      </c>
      <c r="AZ130" s="49">
        <v>0</v>
      </c>
      <c r="BA130" s="50">
        <v>0</v>
      </c>
      <c r="BB130" s="49">
        <v>1</v>
      </c>
      <c r="BC130" s="50">
        <v>100</v>
      </c>
      <c r="BD130" s="49">
        <v>1</v>
      </c>
      <c r="BE130" s="49"/>
      <c r="BF130" s="49"/>
      <c r="BG130" s="49"/>
      <c r="BH130" s="49"/>
      <c r="BI130" s="49"/>
      <c r="BJ130" s="49"/>
      <c r="BK130" s="111" t="s">
        <v>2390</v>
      </c>
      <c r="BL130" s="111" t="s">
        <v>2390</v>
      </c>
      <c r="BM130" s="111" t="s">
        <v>2390</v>
      </c>
      <c r="BN130" s="111" t="s">
        <v>2390</v>
      </c>
      <c r="BO130" s="2"/>
      <c r="BP130" s="3"/>
      <c r="BQ130" s="3"/>
      <c r="BR130" s="3"/>
      <c r="BS130" s="3"/>
    </row>
    <row r="131" spans="1:71" ht="15">
      <c r="A131" s="65" t="s">
        <v>337</v>
      </c>
      <c r="B131" s="66"/>
      <c r="C131" s="66"/>
      <c r="D131" s="67">
        <v>150</v>
      </c>
      <c r="E131" s="69"/>
      <c r="F131" s="103" t="str">
        <f>HYPERLINK("https://yt3.ggpht.com/ytc/AAUvwnhEII2h01xdKZHkCcp6YHiQHOTLJ-Eg544uo3lGLg=s88-c-k-c0x00ffffff-no-rj")</f>
        <v>https://yt3.ggpht.com/ytc/AAUvwnhEII2h01xdKZHkCcp6YHiQHOTLJ-Eg544uo3lGLg=s88-c-k-c0x00ffffff-no-rj</v>
      </c>
      <c r="G131" s="66"/>
      <c r="H131" s="70" t="s">
        <v>1696</v>
      </c>
      <c r="I131" s="71"/>
      <c r="J131" s="71" t="s">
        <v>159</v>
      </c>
      <c r="K131" s="70" t="s">
        <v>1696</v>
      </c>
      <c r="L131" s="74">
        <v>1</v>
      </c>
      <c r="M131" s="75">
        <v>4526.4287109375</v>
      </c>
      <c r="N131" s="75">
        <v>8522.46484375</v>
      </c>
      <c r="O131" s="76"/>
      <c r="P131" s="77"/>
      <c r="Q131" s="77"/>
      <c r="R131" s="89"/>
      <c r="S131" s="49">
        <v>0</v>
      </c>
      <c r="T131" s="49">
        <v>1</v>
      </c>
      <c r="U131" s="50">
        <v>0</v>
      </c>
      <c r="V131" s="50">
        <v>0.000852</v>
      </c>
      <c r="W131" s="50">
        <v>0</v>
      </c>
      <c r="X131" s="50">
        <v>0.517516</v>
      </c>
      <c r="Y131" s="50">
        <v>0</v>
      </c>
      <c r="Z131" s="50">
        <v>0</v>
      </c>
      <c r="AA131" s="72">
        <v>131</v>
      </c>
      <c r="AB131" s="72"/>
      <c r="AC131" s="73"/>
      <c r="AD131" s="80" t="s">
        <v>1696</v>
      </c>
      <c r="AE131" s="80"/>
      <c r="AF131" s="80"/>
      <c r="AG131" s="80"/>
      <c r="AH131" s="80"/>
      <c r="AI131" s="80"/>
      <c r="AJ131" s="87">
        <v>42778.28770833334</v>
      </c>
      <c r="AK131" s="85" t="str">
        <f>HYPERLINK("https://yt3.ggpht.com/ytc/AAUvwnhEII2h01xdKZHkCcp6YHiQHOTLJ-Eg544uo3lGLg=s88-c-k-c0x00ffffff-no-rj")</f>
        <v>https://yt3.ggpht.com/ytc/AAUvwnhEII2h01xdKZHkCcp6YHiQHOTLJ-Eg544uo3lGLg=s88-c-k-c0x00ffffff-no-rj</v>
      </c>
      <c r="AL131" s="80">
        <v>0</v>
      </c>
      <c r="AM131" s="80">
        <v>0</v>
      </c>
      <c r="AN131" s="80">
        <v>0</v>
      </c>
      <c r="AO131" s="80" t="b">
        <v>0</v>
      </c>
      <c r="AP131" s="80">
        <v>0</v>
      </c>
      <c r="AQ131" s="80"/>
      <c r="AR131" s="80"/>
      <c r="AS131" s="80" t="s">
        <v>2664</v>
      </c>
      <c r="AT131" s="85" t="str">
        <f>HYPERLINK("https://www.youtube.com/channel/UCCh2ckjPJ7h0mTb7jsiqEtg")</f>
        <v>https://www.youtube.com/channel/UCCh2ckjPJ7h0mTb7jsiqEtg</v>
      </c>
      <c r="AU131" s="80" t="str">
        <f>REPLACE(INDEX(GroupVertices[Group],MATCH(Vertices[[#This Row],[Vertex]],GroupVertices[Vertex],0)),1,1,"")</f>
        <v>3</v>
      </c>
      <c r="AV131" s="49">
        <v>2</v>
      </c>
      <c r="AW131" s="50">
        <v>25</v>
      </c>
      <c r="AX131" s="49">
        <v>0</v>
      </c>
      <c r="AY131" s="50">
        <v>0</v>
      </c>
      <c r="AZ131" s="49">
        <v>0</v>
      </c>
      <c r="BA131" s="50">
        <v>0</v>
      </c>
      <c r="BB131" s="49">
        <v>6</v>
      </c>
      <c r="BC131" s="50">
        <v>75</v>
      </c>
      <c r="BD131" s="49">
        <v>8</v>
      </c>
      <c r="BE131" s="49"/>
      <c r="BF131" s="49"/>
      <c r="BG131" s="49"/>
      <c r="BH131" s="49"/>
      <c r="BI131" s="49"/>
      <c r="BJ131" s="49"/>
      <c r="BK131" s="111" t="s">
        <v>3763</v>
      </c>
      <c r="BL131" s="111" t="s">
        <v>3763</v>
      </c>
      <c r="BM131" s="111" t="s">
        <v>4235</v>
      </c>
      <c r="BN131" s="111" t="s">
        <v>4235</v>
      </c>
      <c r="BO131" s="2"/>
      <c r="BP131" s="3"/>
      <c r="BQ131" s="3"/>
      <c r="BR131" s="3"/>
      <c r="BS131" s="3"/>
    </row>
    <row r="132" spans="1:71" ht="15">
      <c r="A132" s="65" t="s">
        <v>338</v>
      </c>
      <c r="B132" s="66"/>
      <c r="C132" s="66"/>
      <c r="D132" s="67">
        <v>150</v>
      </c>
      <c r="E132" s="69"/>
      <c r="F132" s="103" t="str">
        <f>HYPERLINK("https://yt3.ggpht.com/ytc/AAUvwnjyw87ulxFf2jNWMjhIRI-JvHOr6u-JR5sRVFCl=s88-c-k-c0x00ffffff-no-rj")</f>
        <v>https://yt3.ggpht.com/ytc/AAUvwnjyw87ulxFf2jNWMjhIRI-JvHOr6u-JR5sRVFCl=s88-c-k-c0x00ffffff-no-rj</v>
      </c>
      <c r="G132" s="66"/>
      <c r="H132" s="70" t="s">
        <v>1697</v>
      </c>
      <c r="I132" s="71"/>
      <c r="J132" s="71" t="s">
        <v>159</v>
      </c>
      <c r="K132" s="70" t="s">
        <v>1697</v>
      </c>
      <c r="L132" s="74">
        <v>1</v>
      </c>
      <c r="M132" s="75">
        <v>4206.2958984375</v>
      </c>
      <c r="N132" s="75">
        <v>7577.8466796875</v>
      </c>
      <c r="O132" s="76"/>
      <c r="P132" s="77"/>
      <c r="Q132" s="77"/>
      <c r="R132" s="89"/>
      <c r="S132" s="49">
        <v>0</v>
      </c>
      <c r="T132" s="49">
        <v>1</v>
      </c>
      <c r="U132" s="50">
        <v>0</v>
      </c>
      <c r="V132" s="50">
        <v>0.000852</v>
      </c>
      <c r="W132" s="50">
        <v>0</v>
      </c>
      <c r="X132" s="50">
        <v>0.517516</v>
      </c>
      <c r="Y132" s="50">
        <v>0</v>
      </c>
      <c r="Z132" s="50">
        <v>0</v>
      </c>
      <c r="AA132" s="72">
        <v>132</v>
      </c>
      <c r="AB132" s="72"/>
      <c r="AC132" s="73"/>
      <c r="AD132" s="80" t="s">
        <v>1697</v>
      </c>
      <c r="AE132" s="80" t="s">
        <v>2460</v>
      </c>
      <c r="AF132" s="80"/>
      <c r="AG132" s="80"/>
      <c r="AH132" s="80"/>
      <c r="AI132" s="80"/>
      <c r="AJ132" s="87">
        <v>44224.4409375</v>
      </c>
      <c r="AK132" s="85" t="str">
        <f>HYPERLINK("https://yt3.ggpht.com/ytc/AAUvwnjyw87ulxFf2jNWMjhIRI-JvHOr6u-JR5sRVFCl=s88-c-k-c0x00ffffff-no-rj")</f>
        <v>https://yt3.ggpht.com/ytc/AAUvwnjyw87ulxFf2jNWMjhIRI-JvHOr6u-JR5sRVFCl=s88-c-k-c0x00ffffff-no-rj</v>
      </c>
      <c r="AL132" s="80">
        <v>0</v>
      </c>
      <c r="AM132" s="80">
        <v>0</v>
      </c>
      <c r="AN132" s="80">
        <v>0</v>
      </c>
      <c r="AO132" s="80" t="b">
        <v>0</v>
      </c>
      <c r="AP132" s="80">
        <v>0</v>
      </c>
      <c r="AQ132" s="80"/>
      <c r="AR132" s="80"/>
      <c r="AS132" s="80" t="s">
        <v>2664</v>
      </c>
      <c r="AT132" s="85" t="str">
        <f>HYPERLINK("https://www.youtube.com/channel/UCp8ZgTPmxFx3Byn4FrNseNw")</f>
        <v>https://www.youtube.com/channel/UCp8ZgTPmxFx3Byn4FrNseNw</v>
      </c>
      <c r="AU132" s="80" t="str">
        <f>REPLACE(INDEX(GroupVertices[Group],MATCH(Vertices[[#This Row],[Vertex]],GroupVertices[Vertex],0)),1,1,"")</f>
        <v>3</v>
      </c>
      <c r="AV132" s="49">
        <v>4</v>
      </c>
      <c r="AW132" s="50">
        <v>3.4482758620689653</v>
      </c>
      <c r="AX132" s="49">
        <v>8</v>
      </c>
      <c r="AY132" s="50">
        <v>6.896551724137931</v>
      </c>
      <c r="AZ132" s="49">
        <v>0</v>
      </c>
      <c r="BA132" s="50">
        <v>0</v>
      </c>
      <c r="BB132" s="49">
        <v>104</v>
      </c>
      <c r="BC132" s="50">
        <v>89.65517241379311</v>
      </c>
      <c r="BD132" s="49">
        <v>116</v>
      </c>
      <c r="BE132" s="49"/>
      <c r="BF132" s="49"/>
      <c r="BG132" s="49"/>
      <c r="BH132" s="49"/>
      <c r="BI132" s="49"/>
      <c r="BJ132" s="49"/>
      <c r="BK132" s="111" t="s">
        <v>3764</v>
      </c>
      <c r="BL132" s="111" t="s">
        <v>3764</v>
      </c>
      <c r="BM132" s="111" t="s">
        <v>4236</v>
      </c>
      <c r="BN132" s="111" t="s">
        <v>4236</v>
      </c>
      <c r="BO132" s="2"/>
      <c r="BP132" s="3"/>
      <c r="BQ132" s="3"/>
      <c r="BR132" s="3"/>
      <c r="BS132" s="3"/>
    </row>
    <row r="133" spans="1:71" ht="15">
      <c r="A133" s="65" t="s">
        <v>339</v>
      </c>
      <c r="B133" s="66"/>
      <c r="C133" s="66"/>
      <c r="D133" s="67">
        <v>150</v>
      </c>
      <c r="E133" s="69"/>
      <c r="F133" s="103" t="str">
        <f>HYPERLINK("https://yt3.ggpht.com/ytc/AAUvwngBg6uJWEYv6RfUIGv4_Qzff72JvnL5w7bKh1CY=s88-c-k-c0x00ffffff-no-rj")</f>
        <v>https://yt3.ggpht.com/ytc/AAUvwngBg6uJWEYv6RfUIGv4_Qzff72JvnL5w7bKh1CY=s88-c-k-c0x00ffffff-no-rj</v>
      </c>
      <c r="G133" s="66"/>
      <c r="H133" s="70" t="s">
        <v>1698</v>
      </c>
      <c r="I133" s="71"/>
      <c r="J133" s="71" t="s">
        <v>159</v>
      </c>
      <c r="K133" s="70" t="s">
        <v>1698</v>
      </c>
      <c r="L133" s="74">
        <v>1</v>
      </c>
      <c r="M133" s="75">
        <v>5242.00390625</v>
      </c>
      <c r="N133" s="75">
        <v>7760.40478515625</v>
      </c>
      <c r="O133" s="76"/>
      <c r="P133" s="77"/>
      <c r="Q133" s="77"/>
      <c r="R133" s="89"/>
      <c r="S133" s="49">
        <v>0</v>
      </c>
      <c r="T133" s="49">
        <v>1</v>
      </c>
      <c r="U133" s="50">
        <v>0</v>
      </c>
      <c r="V133" s="50">
        <v>0.000852</v>
      </c>
      <c r="W133" s="50">
        <v>0</v>
      </c>
      <c r="X133" s="50">
        <v>0.517516</v>
      </c>
      <c r="Y133" s="50">
        <v>0</v>
      </c>
      <c r="Z133" s="50">
        <v>0</v>
      </c>
      <c r="AA133" s="72">
        <v>133</v>
      </c>
      <c r="AB133" s="72"/>
      <c r="AC133" s="73"/>
      <c r="AD133" s="80" t="s">
        <v>1698</v>
      </c>
      <c r="AE133" s="80"/>
      <c r="AF133" s="80"/>
      <c r="AG133" s="80"/>
      <c r="AH133" s="80"/>
      <c r="AI133" s="80"/>
      <c r="AJ133" s="87">
        <v>41312.72001157407</v>
      </c>
      <c r="AK133" s="85" t="str">
        <f>HYPERLINK("https://yt3.ggpht.com/ytc/AAUvwngBg6uJWEYv6RfUIGv4_Qzff72JvnL5w7bKh1CY=s88-c-k-c0x00ffffff-no-rj")</f>
        <v>https://yt3.ggpht.com/ytc/AAUvwngBg6uJWEYv6RfUIGv4_Qzff72JvnL5w7bKh1CY=s88-c-k-c0x00ffffff-no-rj</v>
      </c>
      <c r="AL133" s="80">
        <v>0</v>
      </c>
      <c r="AM133" s="80">
        <v>0</v>
      </c>
      <c r="AN133" s="80">
        <v>1</v>
      </c>
      <c r="AO133" s="80" t="b">
        <v>0</v>
      </c>
      <c r="AP133" s="80">
        <v>0</v>
      </c>
      <c r="AQ133" s="80"/>
      <c r="AR133" s="80"/>
      <c r="AS133" s="80" t="s">
        <v>2664</v>
      </c>
      <c r="AT133" s="85" t="str">
        <f>HYPERLINK("https://www.youtube.com/channel/UCje3PxipWZYavjpN0rQ6KIA")</f>
        <v>https://www.youtube.com/channel/UCje3PxipWZYavjpN0rQ6KIA</v>
      </c>
      <c r="AU133" s="80" t="str">
        <f>REPLACE(INDEX(GroupVertices[Group],MATCH(Vertices[[#This Row],[Vertex]],GroupVertices[Vertex],0)),1,1,"")</f>
        <v>3</v>
      </c>
      <c r="AV133" s="49">
        <v>0</v>
      </c>
      <c r="AW133" s="50">
        <v>0</v>
      </c>
      <c r="AX133" s="49">
        <v>0</v>
      </c>
      <c r="AY133" s="50">
        <v>0</v>
      </c>
      <c r="AZ133" s="49">
        <v>0</v>
      </c>
      <c r="BA133" s="50">
        <v>0</v>
      </c>
      <c r="BB133" s="49">
        <v>1</v>
      </c>
      <c r="BC133" s="50">
        <v>100</v>
      </c>
      <c r="BD133" s="49">
        <v>1</v>
      </c>
      <c r="BE133" s="49"/>
      <c r="BF133" s="49"/>
      <c r="BG133" s="49"/>
      <c r="BH133" s="49"/>
      <c r="BI133" s="49"/>
      <c r="BJ133" s="49"/>
      <c r="BK133" s="111" t="s">
        <v>2390</v>
      </c>
      <c r="BL133" s="111" t="s">
        <v>2390</v>
      </c>
      <c r="BM133" s="111" t="s">
        <v>2390</v>
      </c>
      <c r="BN133" s="111" t="s">
        <v>2390</v>
      </c>
      <c r="BO133" s="2"/>
      <c r="BP133" s="3"/>
      <c r="BQ133" s="3"/>
      <c r="BR133" s="3"/>
      <c r="BS133" s="3"/>
    </row>
    <row r="134" spans="1:71" ht="15">
      <c r="A134" s="65" t="s">
        <v>340</v>
      </c>
      <c r="B134" s="66"/>
      <c r="C134" s="66"/>
      <c r="D134" s="67">
        <v>150</v>
      </c>
      <c r="E134" s="69"/>
      <c r="F134" s="103" t="str">
        <f>HYPERLINK("https://yt3.ggpht.com/ytc/AAUvwngsfDn_9oWS4JCxrMGD8UrUsvcS2qQuMqIlZDAhjA=s88-c-k-c0x00ffffff-no-rj")</f>
        <v>https://yt3.ggpht.com/ytc/AAUvwngsfDn_9oWS4JCxrMGD8UrUsvcS2qQuMqIlZDAhjA=s88-c-k-c0x00ffffff-no-rj</v>
      </c>
      <c r="G134" s="66"/>
      <c r="H134" s="70" t="s">
        <v>1699</v>
      </c>
      <c r="I134" s="71"/>
      <c r="J134" s="71" t="s">
        <v>159</v>
      </c>
      <c r="K134" s="70" t="s">
        <v>1699</v>
      </c>
      <c r="L134" s="74">
        <v>1</v>
      </c>
      <c r="M134" s="75">
        <v>4189.51708984375</v>
      </c>
      <c r="N134" s="75">
        <v>8731.0498046875</v>
      </c>
      <c r="O134" s="76"/>
      <c r="P134" s="77"/>
      <c r="Q134" s="77"/>
      <c r="R134" s="89"/>
      <c r="S134" s="49">
        <v>0</v>
      </c>
      <c r="T134" s="49">
        <v>1</v>
      </c>
      <c r="U134" s="50">
        <v>0</v>
      </c>
      <c r="V134" s="50">
        <v>0.000852</v>
      </c>
      <c r="W134" s="50">
        <v>0</v>
      </c>
      <c r="X134" s="50">
        <v>0.517516</v>
      </c>
      <c r="Y134" s="50">
        <v>0</v>
      </c>
      <c r="Z134" s="50">
        <v>0</v>
      </c>
      <c r="AA134" s="72">
        <v>134</v>
      </c>
      <c r="AB134" s="72"/>
      <c r="AC134" s="73"/>
      <c r="AD134" s="80" t="s">
        <v>1699</v>
      </c>
      <c r="AE134" s="80" t="s">
        <v>2461</v>
      </c>
      <c r="AF134" s="80"/>
      <c r="AG134" s="80"/>
      <c r="AH134" s="80"/>
      <c r="AI134" s="80"/>
      <c r="AJ134" s="87">
        <v>43459.69773148148</v>
      </c>
      <c r="AK134" s="85" t="str">
        <f>HYPERLINK("https://yt3.ggpht.com/ytc/AAUvwngsfDn_9oWS4JCxrMGD8UrUsvcS2qQuMqIlZDAhjA=s88-c-k-c0x00ffffff-no-rj")</f>
        <v>https://yt3.ggpht.com/ytc/AAUvwngsfDn_9oWS4JCxrMGD8UrUsvcS2qQuMqIlZDAhjA=s88-c-k-c0x00ffffff-no-rj</v>
      </c>
      <c r="AL134" s="80">
        <v>637</v>
      </c>
      <c r="AM134" s="80">
        <v>0</v>
      </c>
      <c r="AN134" s="80">
        <v>18</v>
      </c>
      <c r="AO134" s="80" t="b">
        <v>0</v>
      </c>
      <c r="AP134" s="80">
        <v>17</v>
      </c>
      <c r="AQ134" s="80"/>
      <c r="AR134" s="80"/>
      <c r="AS134" s="80" t="s">
        <v>2664</v>
      </c>
      <c r="AT134" s="85" t="str">
        <f>HYPERLINK("https://www.youtube.com/channel/UCJ9K3iJG-Y9q1T1ob7boPWA")</f>
        <v>https://www.youtube.com/channel/UCJ9K3iJG-Y9q1T1ob7boPWA</v>
      </c>
      <c r="AU134" s="80" t="str">
        <f>REPLACE(INDEX(GroupVertices[Group],MATCH(Vertices[[#This Row],[Vertex]],GroupVertices[Vertex],0)),1,1,"")</f>
        <v>3</v>
      </c>
      <c r="AV134" s="49">
        <v>1</v>
      </c>
      <c r="AW134" s="50">
        <v>20</v>
      </c>
      <c r="AX134" s="49">
        <v>0</v>
      </c>
      <c r="AY134" s="50">
        <v>0</v>
      </c>
      <c r="AZ134" s="49">
        <v>0</v>
      </c>
      <c r="BA134" s="50">
        <v>0</v>
      </c>
      <c r="BB134" s="49">
        <v>4</v>
      </c>
      <c r="BC134" s="50">
        <v>80</v>
      </c>
      <c r="BD134" s="49">
        <v>5</v>
      </c>
      <c r="BE134" s="49"/>
      <c r="BF134" s="49"/>
      <c r="BG134" s="49"/>
      <c r="BH134" s="49"/>
      <c r="BI134" s="49"/>
      <c r="BJ134" s="49"/>
      <c r="BK134" s="111" t="s">
        <v>3765</v>
      </c>
      <c r="BL134" s="111" t="s">
        <v>3765</v>
      </c>
      <c r="BM134" s="111" t="s">
        <v>4237</v>
      </c>
      <c r="BN134" s="111" t="s">
        <v>4237</v>
      </c>
      <c r="BO134" s="2"/>
      <c r="BP134" s="3"/>
      <c r="BQ134" s="3"/>
      <c r="BR134" s="3"/>
      <c r="BS134" s="3"/>
    </row>
    <row r="135" spans="1:71" ht="15">
      <c r="A135" s="65" t="s">
        <v>341</v>
      </c>
      <c r="B135" s="66"/>
      <c r="C135" s="66"/>
      <c r="D135" s="67">
        <v>150</v>
      </c>
      <c r="E135" s="69"/>
      <c r="F135" s="103" t="str">
        <f>HYPERLINK("https://yt3.ggpht.com/ytc/AAUvwng1kpzX_VFIZ6fWoe891tLgD3tr4lb0sEvukWVWcQ=s88-c-k-c0x00ffffff-no-rj")</f>
        <v>https://yt3.ggpht.com/ytc/AAUvwng1kpzX_VFIZ6fWoe891tLgD3tr4lb0sEvukWVWcQ=s88-c-k-c0x00ffffff-no-rj</v>
      </c>
      <c r="G135" s="66"/>
      <c r="H135" s="70" t="s">
        <v>1700</v>
      </c>
      <c r="I135" s="71"/>
      <c r="J135" s="71" t="s">
        <v>159</v>
      </c>
      <c r="K135" s="70" t="s">
        <v>1700</v>
      </c>
      <c r="L135" s="74">
        <v>1</v>
      </c>
      <c r="M135" s="75">
        <v>4383.69384765625</v>
      </c>
      <c r="N135" s="75">
        <v>8725.609375</v>
      </c>
      <c r="O135" s="76"/>
      <c r="P135" s="77"/>
      <c r="Q135" s="77"/>
      <c r="R135" s="89"/>
      <c r="S135" s="49">
        <v>0</v>
      </c>
      <c r="T135" s="49">
        <v>1</v>
      </c>
      <c r="U135" s="50">
        <v>0</v>
      </c>
      <c r="V135" s="50">
        <v>0.000852</v>
      </c>
      <c r="W135" s="50">
        <v>0</v>
      </c>
      <c r="X135" s="50">
        <v>0.517516</v>
      </c>
      <c r="Y135" s="50">
        <v>0</v>
      </c>
      <c r="Z135" s="50">
        <v>0</v>
      </c>
      <c r="AA135" s="72">
        <v>135</v>
      </c>
      <c r="AB135" s="72"/>
      <c r="AC135" s="73"/>
      <c r="AD135" s="80" t="s">
        <v>1700</v>
      </c>
      <c r="AE135" s="80"/>
      <c r="AF135" s="80"/>
      <c r="AG135" s="80"/>
      <c r="AH135" s="80"/>
      <c r="AI135" s="80"/>
      <c r="AJ135" s="87">
        <v>40814.75216435185</v>
      </c>
      <c r="AK135" s="85" t="str">
        <f>HYPERLINK("https://yt3.ggpht.com/ytc/AAUvwng1kpzX_VFIZ6fWoe891tLgD3tr4lb0sEvukWVWcQ=s88-c-k-c0x00ffffff-no-rj")</f>
        <v>https://yt3.ggpht.com/ytc/AAUvwng1kpzX_VFIZ6fWoe891tLgD3tr4lb0sEvukWVWcQ=s88-c-k-c0x00ffffff-no-rj</v>
      </c>
      <c r="AL135" s="80">
        <v>5</v>
      </c>
      <c r="AM135" s="80">
        <v>0</v>
      </c>
      <c r="AN135" s="80">
        <v>9</v>
      </c>
      <c r="AO135" s="80" t="b">
        <v>0</v>
      </c>
      <c r="AP135" s="80">
        <v>1</v>
      </c>
      <c r="AQ135" s="80"/>
      <c r="AR135" s="80"/>
      <c r="AS135" s="80" t="s">
        <v>2664</v>
      </c>
      <c r="AT135" s="85" t="str">
        <f>HYPERLINK("https://www.youtube.com/channel/UCegghkfUlTirnZe1VpjgrrQ")</f>
        <v>https://www.youtube.com/channel/UCegghkfUlTirnZe1VpjgrrQ</v>
      </c>
      <c r="AU135" s="80" t="str">
        <f>REPLACE(INDEX(GroupVertices[Group],MATCH(Vertices[[#This Row],[Vertex]],GroupVertices[Vertex],0)),1,1,"")</f>
        <v>3</v>
      </c>
      <c r="AV135" s="49">
        <v>1</v>
      </c>
      <c r="AW135" s="50">
        <v>6.25</v>
      </c>
      <c r="AX135" s="49">
        <v>0</v>
      </c>
      <c r="AY135" s="50">
        <v>0</v>
      </c>
      <c r="AZ135" s="49">
        <v>0</v>
      </c>
      <c r="BA135" s="50">
        <v>0</v>
      </c>
      <c r="BB135" s="49">
        <v>15</v>
      </c>
      <c r="BC135" s="50">
        <v>93.75</v>
      </c>
      <c r="BD135" s="49">
        <v>16</v>
      </c>
      <c r="BE135" s="49"/>
      <c r="BF135" s="49"/>
      <c r="BG135" s="49"/>
      <c r="BH135" s="49"/>
      <c r="BI135" s="49"/>
      <c r="BJ135" s="49"/>
      <c r="BK135" s="111" t="s">
        <v>3766</v>
      </c>
      <c r="BL135" s="111" t="s">
        <v>3766</v>
      </c>
      <c r="BM135" s="111" t="s">
        <v>4238</v>
      </c>
      <c r="BN135" s="111" t="s">
        <v>4238</v>
      </c>
      <c r="BO135" s="2"/>
      <c r="BP135" s="3"/>
      <c r="BQ135" s="3"/>
      <c r="BR135" s="3"/>
      <c r="BS135" s="3"/>
    </row>
    <row r="136" spans="1:71" ht="15">
      <c r="A136" s="65" t="s">
        <v>342</v>
      </c>
      <c r="B136" s="66"/>
      <c r="C136" s="66"/>
      <c r="D136" s="67">
        <v>150</v>
      </c>
      <c r="E136" s="69"/>
      <c r="F136" s="103" t="str">
        <f>HYPERLINK("https://yt3.ggpht.com/ytc/AAUvwni_UJImorI93yiKaHVrrhCmg4vG60gpjGxr7NsI=s88-c-k-c0x00ffffff-no-rj")</f>
        <v>https://yt3.ggpht.com/ytc/AAUvwni_UJImorI93yiKaHVrrhCmg4vG60gpjGxr7NsI=s88-c-k-c0x00ffffff-no-rj</v>
      </c>
      <c r="G136" s="66"/>
      <c r="H136" s="70" t="s">
        <v>1701</v>
      </c>
      <c r="I136" s="71"/>
      <c r="J136" s="71" t="s">
        <v>159</v>
      </c>
      <c r="K136" s="70" t="s">
        <v>1701</v>
      </c>
      <c r="L136" s="74">
        <v>1</v>
      </c>
      <c r="M136" s="75">
        <v>4331.23095703125</v>
      </c>
      <c r="N136" s="75">
        <v>8358.859375</v>
      </c>
      <c r="O136" s="76"/>
      <c r="P136" s="77"/>
      <c r="Q136" s="77"/>
      <c r="R136" s="89"/>
      <c r="S136" s="49">
        <v>0</v>
      </c>
      <c r="T136" s="49">
        <v>1</v>
      </c>
      <c r="U136" s="50">
        <v>0</v>
      </c>
      <c r="V136" s="50">
        <v>0.000852</v>
      </c>
      <c r="W136" s="50">
        <v>0</v>
      </c>
      <c r="X136" s="50">
        <v>0.517516</v>
      </c>
      <c r="Y136" s="50">
        <v>0</v>
      </c>
      <c r="Z136" s="50">
        <v>0</v>
      </c>
      <c r="AA136" s="72">
        <v>136</v>
      </c>
      <c r="AB136" s="72"/>
      <c r="AC136" s="73"/>
      <c r="AD136" s="80" t="s">
        <v>1701</v>
      </c>
      <c r="AE136" s="80"/>
      <c r="AF136" s="80"/>
      <c r="AG136" s="80"/>
      <c r="AH136" s="80"/>
      <c r="AI136" s="80"/>
      <c r="AJ136" s="87">
        <v>44249.02863425926</v>
      </c>
      <c r="AK136" s="85" t="str">
        <f>HYPERLINK("https://yt3.ggpht.com/ytc/AAUvwni_UJImorI93yiKaHVrrhCmg4vG60gpjGxr7NsI=s88-c-k-c0x00ffffff-no-rj")</f>
        <v>https://yt3.ggpht.com/ytc/AAUvwni_UJImorI93yiKaHVrrhCmg4vG60gpjGxr7NsI=s88-c-k-c0x00ffffff-no-rj</v>
      </c>
      <c r="AL136" s="80">
        <v>0</v>
      </c>
      <c r="AM136" s="80">
        <v>0</v>
      </c>
      <c r="AN136" s="80">
        <v>1</v>
      </c>
      <c r="AO136" s="80" t="b">
        <v>0</v>
      </c>
      <c r="AP136" s="80">
        <v>0</v>
      </c>
      <c r="AQ136" s="80"/>
      <c r="AR136" s="80"/>
      <c r="AS136" s="80" t="s">
        <v>2664</v>
      </c>
      <c r="AT136" s="85" t="str">
        <f>HYPERLINK("https://www.youtube.com/channel/UCFxc9HtSJfGsoM343LVWIYw")</f>
        <v>https://www.youtube.com/channel/UCFxc9HtSJfGsoM343LVWIYw</v>
      </c>
      <c r="AU136" s="80" t="str">
        <f>REPLACE(INDEX(GroupVertices[Group],MATCH(Vertices[[#This Row],[Vertex]],GroupVertices[Vertex],0)),1,1,"")</f>
        <v>3</v>
      </c>
      <c r="AV136" s="49">
        <v>7</v>
      </c>
      <c r="AW136" s="50">
        <v>6.481481481481482</v>
      </c>
      <c r="AX136" s="49">
        <v>1</v>
      </c>
      <c r="AY136" s="50">
        <v>0.9259259259259259</v>
      </c>
      <c r="AZ136" s="49">
        <v>0</v>
      </c>
      <c r="BA136" s="50">
        <v>0</v>
      </c>
      <c r="BB136" s="49">
        <v>100</v>
      </c>
      <c r="BC136" s="50">
        <v>92.5925925925926</v>
      </c>
      <c r="BD136" s="49">
        <v>108</v>
      </c>
      <c r="BE136" s="49" t="s">
        <v>3659</v>
      </c>
      <c r="BF136" s="49" t="s">
        <v>3659</v>
      </c>
      <c r="BG136" s="49" t="s">
        <v>3665</v>
      </c>
      <c r="BH136" s="49" t="s">
        <v>3665</v>
      </c>
      <c r="BI136" s="49"/>
      <c r="BJ136" s="49"/>
      <c r="BK136" s="111" t="s">
        <v>3767</v>
      </c>
      <c r="BL136" s="111" t="s">
        <v>3767</v>
      </c>
      <c r="BM136" s="111" t="s">
        <v>4239</v>
      </c>
      <c r="BN136" s="111" t="s">
        <v>4239</v>
      </c>
      <c r="BO136" s="2"/>
      <c r="BP136" s="3"/>
      <c r="BQ136" s="3"/>
      <c r="BR136" s="3"/>
      <c r="BS136" s="3"/>
    </row>
    <row r="137" spans="1:71" ht="15">
      <c r="A137" s="65" t="s">
        <v>343</v>
      </c>
      <c r="B137" s="66"/>
      <c r="C137" s="66"/>
      <c r="D137" s="67">
        <v>150</v>
      </c>
      <c r="E137" s="69"/>
      <c r="F137" s="103" t="str">
        <f>HYPERLINK("https://yt3.ggpht.com/ytc/AAUvwngLb67fKZeSDlXLttW9o5HVCDxuhIfIXF9lk1iDXw=s88-c-k-c0x00ffffff-no-rj")</f>
        <v>https://yt3.ggpht.com/ytc/AAUvwngLb67fKZeSDlXLttW9o5HVCDxuhIfIXF9lk1iDXw=s88-c-k-c0x00ffffff-no-rj</v>
      </c>
      <c r="G137" s="66"/>
      <c r="H137" s="70" t="s">
        <v>1702</v>
      </c>
      <c r="I137" s="71"/>
      <c r="J137" s="71" t="s">
        <v>159</v>
      </c>
      <c r="K137" s="70" t="s">
        <v>1702</v>
      </c>
      <c r="L137" s="74">
        <v>1</v>
      </c>
      <c r="M137" s="75">
        <v>4201.49853515625</v>
      </c>
      <c r="N137" s="75">
        <v>7422.52734375</v>
      </c>
      <c r="O137" s="76"/>
      <c r="P137" s="77"/>
      <c r="Q137" s="77"/>
      <c r="R137" s="89"/>
      <c r="S137" s="49">
        <v>0</v>
      </c>
      <c r="T137" s="49">
        <v>1</v>
      </c>
      <c r="U137" s="50">
        <v>0</v>
      </c>
      <c r="V137" s="50">
        <v>0.000852</v>
      </c>
      <c r="W137" s="50">
        <v>0</v>
      </c>
      <c r="X137" s="50">
        <v>0.517516</v>
      </c>
      <c r="Y137" s="50">
        <v>0</v>
      </c>
      <c r="Z137" s="50">
        <v>0</v>
      </c>
      <c r="AA137" s="72">
        <v>137</v>
      </c>
      <c r="AB137" s="72"/>
      <c r="AC137" s="73"/>
      <c r="AD137" s="80" t="s">
        <v>1702</v>
      </c>
      <c r="AE137" s="80"/>
      <c r="AF137" s="80"/>
      <c r="AG137" s="80"/>
      <c r="AH137" s="80"/>
      <c r="AI137" s="80"/>
      <c r="AJ137" s="87">
        <v>43802.69657407407</v>
      </c>
      <c r="AK137" s="85" t="str">
        <f>HYPERLINK("https://yt3.ggpht.com/ytc/AAUvwngLb67fKZeSDlXLttW9o5HVCDxuhIfIXF9lk1iDXw=s88-c-k-c0x00ffffff-no-rj")</f>
        <v>https://yt3.ggpht.com/ytc/AAUvwngLb67fKZeSDlXLttW9o5HVCDxuhIfIXF9lk1iDXw=s88-c-k-c0x00ffffff-no-rj</v>
      </c>
      <c r="AL137" s="80">
        <v>0</v>
      </c>
      <c r="AM137" s="80">
        <v>0</v>
      </c>
      <c r="AN137" s="80">
        <v>1</v>
      </c>
      <c r="AO137" s="80" t="b">
        <v>0</v>
      </c>
      <c r="AP137" s="80">
        <v>0</v>
      </c>
      <c r="AQ137" s="80"/>
      <c r="AR137" s="80"/>
      <c r="AS137" s="80" t="s">
        <v>2664</v>
      </c>
      <c r="AT137" s="85" t="str">
        <f>HYPERLINK("https://www.youtube.com/channel/UCMy1HbkjoOgpHJYtdMENr_w")</f>
        <v>https://www.youtube.com/channel/UCMy1HbkjoOgpHJYtdMENr_w</v>
      </c>
      <c r="AU137" s="80" t="str">
        <f>REPLACE(INDEX(GroupVertices[Group],MATCH(Vertices[[#This Row],[Vertex]],GroupVertices[Vertex],0)),1,1,"")</f>
        <v>3</v>
      </c>
      <c r="AV137" s="49">
        <v>1</v>
      </c>
      <c r="AW137" s="50">
        <v>6.25</v>
      </c>
      <c r="AX137" s="49">
        <v>1</v>
      </c>
      <c r="AY137" s="50">
        <v>6.25</v>
      </c>
      <c r="AZ137" s="49">
        <v>0</v>
      </c>
      <c r="BA137" s="50">
        <v>0</v>
      </c>
      <c r="BB137" s="49">
        <v>14</v>
      </c>
      <c r="BC137" s="50">
        <v>87.5</v>
      </c>
      <c r="BD137" s="49">
        <v>16</v>
      </c>
      <c r="BE137" s="49"/>
      <c r="BF137" s="49"/>
      <c r="BG137" s="49"/>
      <c r="BH137" s="49"/>
      <c r="BI137" s="49"/>
      <c r="BJ137" s="49"/>
      <c r="BK137" s="111" t="s">
        <v>3768</v>
      </c>
      <c r="BL137" s="111" t="s">
        <v>3768</v>
      </c>
      <c r="BM137" s="111" t="s">
        <v>4240</v>
      </c>
      <c r="BN137" s="111" t="s">
        <v>4240</v>
      </c>
      <c r="BO137" s="2"/>
      <c r="BP137" s="3"/>
      <c r="BQ137" s="3"/>
      <c r="BR137" s="3"/>
      <c r="BS137" s="3"/>
    </row>
    <row r="138" spans="1:71" ht="15">
      <c r="A138" s="65" t="s">
        <v>344</v>
      </c>
      <c r="B138" s="66"/>
      <c r="C138" s="66"/>
      <c r="D138" s="67">
        <v>150</v>
      </c>
      <c r="E138" s="69"/>
      <c r="F138" s="103" t="str">
        <f>HYPERLINK("https://yt3.ggpht.com/ytc/AAUvwnglbTcY5JWEr4kKziNh4iTTBiLSBz4CqckCkMuA=s88-c-k-c0x00ffffff-no-rj")</f>
        <v>https://yt3.ggpht.com/ytc/AAUvwnglbTcY5JWEr4kKziNh4iTTBiLSBz4CqckCkMuA=s88-c-k-c0x00ffffff-no-rj</v>
      </c>
      <c r="G138" s="66"/>
      <c r="H138" s="70" t="s">
        <v>1703</v>
      </c>
      <c r="I138" s="71"/>
      <c r="J138" s="71" t="s">
        <v>159</v>
      </c>
      <c r="K138" s="70" t="s">
        <v>1703</v>
      </c>
      <c r="L138" s="74">
        <v>1</v>
      </c>
      <c r="M138" s="75">
        <v>8571.330078125</v>
      </c>
      <c r="N138" s="75">
        <v>6343.29638671875</v>
      </c>
      <c r="O138" s="76"/>
      <c r="P138" s="77"/>
      <c r="Q138" s="77"/>
      <c r="R138" s="89"/>
      <c r="S138" s="49">
        <v>0</v>
      </c>
      <c r="T138" s="49">
        <v>1</v>
      </c>
      <c r="U138" s="50">
        <v>0</v>
      </c>
      <c r="V138" s="50">
        <v>0.000619</v>
      </c>
      <c r="W138" s="50">
        <v>0</v>
      </c>
      <c r="X138" s="50">
        <v>0.485552</v>
      </c>
      <c r="Y138" s="50">
        <v>0</v>
      </c>
      <c r="Z138" s="50">
        <v>0</v>
      </c>
      <c r="AA138" s="72">
        <v>138</v>
      </c>
      <c r="AB138" s="72"/>
      <c r="AC138" s="73"/>
      <c r="AD138" s="80" t="s">
        <v>1703</v>
      </c>
      <c r="AE138" s="80"/>
      <c r="AF138" s="80"/>
      <c r="AG138" s="80"/>
      <c r="AH138" s="80"/>
      <c r="AI138" s="80"/>
      <c r="AJ138" s="87">
        <v>43825.90914351852</v>
      </c>
      <c r="AK138" s="85" t="str">
        <f>HYPERLINK("https://yt3.ggpht.com/ytc/AAUvwnglbTcY5JWEr4kKziNh4iTTBiLSBz4CqckCkMuA=s88-c-k-c0x00ffffff-no-rj")</f>
        <v>https://yt3.ggpht.com/ytc/AAUvwnglbTcY5JWEr4kKziNh4iTTBiLSBz4CqckCkMuA=s88-c-k-c0x00ffffff-no-rj</v>
      </c>
      <c r="AL138" s="80">
        <v>543</v>
      </c>
      <c r="AM138" s="80">
        <v>0</v>
      </c>
      <c r="AN138" s="80">
        <v>7</v>
      </c>
      <c r="AO138" s="80" t="b">
        <v>0</v>
      </c>
      <c r="AP138" s="80">
        <v>4</v>
      </c>
      <c r="AQ138" s="80"/>
      <c r="AR138" s="80"/>
      <c r="AS138" s="80" t="s">
        <v>2664</v>
      </c>
      <c r="AT138" s="85" t="str">
        <f>HYPERLINK("https://www.youtube.com/channel/UC87q_c5ZLiL--c2y5ecFsXQ")</f>
        <v>https://www.youtube.com/channel/UC87q_c5ZLiL--c2y5ecFsXQ</v>
      </c>
      <c r="AU138" s="80" t="str">
        <f>REPLACE(INDEX(GroupVertices[Group],MATCH(Vertices[[#This Row],[Vertex]],GroupVertices[Vertex],0)),1,1,"")</f>
        <v>8</v>
      </c>
      <c r="AV138" s="49">
        <v>0</v>
      </c>
      <c r="AW138" s="50">
        <v>0</v>
      </c>
      <c r="AX138" s="49">
        <v>0</v>
      </c>
      <c r="AY138" s="50">
        <v>0</v>
      </c>
      <c r="AZ138" s="49">
        <v>0</v>
      </c>
      <c r="BA138" s="50">
        <v>0</v>
      </c>
      <c r="BB138" s="49">
        <v>9</v>
      </c>
      <c r="BC138" s="50">
        <v>100</v>
      </c>
      <c r="BD138" s="49">
        <v>9</v>
      </c>
      <c r="BE138" s="49"/>
      <c r="BF138" s="49"/>
      <c r="BG138" s="49"/>
      <c r="BH138" s="49"/>
      <c r="BI138" s="49"/>
      <c r="BJ138" s="49"/>
      <c r="BK138" s="111" t="s">
        <v>3769</v>
      </c>
      <c r="BL138" s="111" t="s">
        <v>3769</v>
      </c>
      <c r="BM138" s="111" t="s">
        <v>4241</v>
      </c>
      <c r="BN138" s="111" t="s">
        <v>4241</v>
      </c>
      <c r="BO138" s="2"/>
      <c r="BP138" s="3"/>
      <c r="BQ138" s="3"/>
      <c r="BR138" s="3"/>
      <c r="BS138" s="3"/>
    </row>
    <row r="139" spans="1:71" ht="15">
      <c r="A139" s="65" t="s">
        <v>347</v>
      </c>
      <c r="B139" s="66"/>
      <c r="C139" s="66"/>
      <c r="D139" s="67">
        <v>575</v>
      </c>
      <c r="E139" s="69"/>
      <c r="F139" s="103" t="str">
        <f>HYPERLINK("https://yt3.ggpht.com/ytc/AAUvwngjsHB-lCH-bw3ds8PpzYn9elp9UfXtk4Rf2DfWqw=s88-c-k-c0x00ffffff-no-rj")</f>
        <v>https://yt3.ggpht.com/ytc/AAUvwngjsHB-lCH-bw3ds8PpzYn9elp9UfXtk4Rf2DfWqw=s88-c-k-c0x00ffffff-no-rj</v>
      </c>
      <c r="G139" s="66"/>
      <c r="H139" s="70" t="s">
        <v>1706</v>
      </c>
      <c r="I139" s="71"/>
      <c r="J139" s="71" t="s">
        <v>75</v>
      </c>
      <c r="K139" s="70" t="s">
        <v>1706</v>
      </c>
      <c r="L139" s="74">
        <v>286.65714285714284</v>
      </c>
      <c r="M139" s="75">
        <v>8729.1220703125</v>
      </c>
      <c r="N139" s="75">
        <v>5892.71337890625</v>
      </c>
      <c r="O139" s="76"/>
      <c r="P139" s="77"/>
      <c r="Q139" s="77"/>
      <c r="R139" s="89"/>
      <c r="S139" s="49">
        <v>3</v>
      </c>
      <c r="T139" s="49">
        <v>1</v>
      </c>
      <c r="U139" s="50">
        <v>530</v>
      </c>
      <c r="V139" s="50">
        <v>0.00074</v>
      </c>
      <c r="W139" s="50">
        <v>0</v>
      </c>
      <c r="X139" s="50">
        <v>1.184302</v>
      </c>
      <c r="Y139" s="50">
        <v>0.16666666666666666</v>
      </c>
      <c r="Z139" s="50">
        <v>0.3333333333333333</v>
      </c>
      <c r="AA139" s="72">
        <v>139</v>
      </c>
      <c r="AB139" s="72"/>
      <c r="AC139" s="73"/>
      <c r="AD139" s="80" t="s">
        <v>1706</v>
      </c>
      <c r="AE139" s="80"/>
      <c r="AF139" s="80"/>
      <c r="AG139" s="80"/>
      <c r="AH139" s="80"/>
      <c r="AI139" s="80"/>
      <c r="AJ139" s="87">
        <v>41980.974386574075</v>
      </c>
      <c r="AK139" s="85" t="str">
        <f>HYPERLINK("https://yt3.ggpht.com/ytc/AAUvwngjsHB-lCH-bw3ds8PpzYn9elp9UfXtk4Rf2DfWqw=s88-c-k-c0x00ffffff-no-rj")</f>
        <v>https://yt3.ggpht.com/ytc/AAUvwngjsHB-lCH-bw3ds8PpzYn9elp9UfXtk4Rf2DfWqw=s88-c-k-c0x00ffffff-no-rj</v>
      </c>
      <c r="AL139" s="80">
        <v>0</v>
      </c>
      <c r="AM139" s="80">
        <v>0</v>
      </c>
      <c r="AN139" s="80">
        <v>38</v>
      </c>
      <c r="AO139" s="80" t="b">
        <v>0</v>
      </c>
      <c r="AP139" s="80">
        <v>0</v>
      </c>
      <c r="AQ139" s="80"/>
      <c r="AR139" s="80"/>
      <c r="AS139" s="80" t="s">
        <v>2664</v>
      </c>
      <c r="AT139" s="85" t="str">
        <f>HYPERLINK("https://www.youtube.com/channel/UCJyxx3causzxZ0ia8ZrS7kw")</f>
        <v>https://www.youtube.com/channel/UCJyxx3causzxZ0ia8ZrS7kw</v>
      </c>
      <c r="AU139" s="80" t="str">
        <f>REPLACE(INDEX(GroupVertices[Group],MATCH(Vertices[[#This Row],[Vertex]],GroupVertices[Vertex],0)),1,1,"")</f>
        <v>8</v>
      </c>
      <c r="AV139" s="49">
        <v>0</v>
      </c>
      <c r="AW139" s="50">
        <v>0</v>
      </c>
      <c r="AX139" s="49">
        <v>0</v>
      </c>
      <c r="AY139" s="50">
        <v>0</v>
      </c>
      <c r="AZ139" s="49">
        <v>0</v>
      </c>
      <c r="BA139" s="50">
        <v>0</v>
      </c>
      <c r="BB139" s="49">
        <v>6</v>
      </c>
      <c r="BC139" s="50">
        <v>100</v>
      </c>
      <c r="BD139" s="49">
        <v>6</v>
      </c>
      <c r="BE139" s="49"/>
      <c r="BF139" s="49"/>
      <c r="BG139" s="49"/>
      <c r="BH139" s="49"/>
      <c r="BI139" s="49"/>
      <c r="BJ139" s="49"/>
      <c r="BK139" s="111" t="s">
        <v>3770</v>
      </c>
      <c r="BL139" s="111" t="s">
        <v>3770</v>
      </c>
      <c r="BM139" s="111" t="s">
        <v>4242</v>
      </c>
      <c r="BN139" s="111" t="s">
        <v>4242</v>
      </c>
      <c r="BO139" s="2"/>
      <c r="BP139" s="3"/>
      <c r="BQ139" s="3"/>
      <c r="BR139" s="3"/>
      <c r="BS139" s="3"/>
    </row>
    <row r="140" spans="1:71" ht="15">
      <c r="A140" s="65" t="s">
        <v>345</v>
      </c>
      <c r="B140" s="66"/>
      <c r="C140" s="66"/>
      <c r="D140" s="67">
        <v>1000</v>
      </c>
      <c r="E140" s="69"/>
      <c r="F140" s="103" t="str">
        <f>HYPERLINK("https://yt3.ggpht.com/ytc/AAUvwnioKw5vCSl2pKO0jyUjf4o-gn1FzH0FpW4WGv6M9A=s88-c-k-c0x00ffffff-no-rj")</f>
        <v>https://yt3.ggpht.com/ytc/AAUvwnioKw5vCSl2pKO0jyUjf4o-gn1FzH0FpW4WGv6M9A=s88-c-k-c0x00ffffff-no-rj</v>
      </c>
      <c r="G140" s="66"/>
      <c r="H140" s="70" t="s">
        <v>1704</v>
      </c>
      <c r="I140" s="71"/>
      <c r="J140" s="71" t="s">
        <v>75</v>
      </c>
      <c r="K140" s="70" t="s">
        <v>1704</v>
      </c>
      <c r="L140" s="74">
        <v>2191.038095238095</v>
      </c>
      <c r="M140" s="75">
        <v>8845.19921875</v>
      </c>
      <c r="N140" s="75">
        <v>5329.59912109375</v>
      </c>
      <c r="O140" s="76"/>
      <c r="P140" s="77"/>
      <c r="Q140" s="77"/>
      <c r="R140" s="89"/>
      <c r="S140" s="49">
        <v>23</v>
      </c>
      <c r="T140" s="49">
        <v>5</v>
      </c>
      <c r="U140" s="50">
        <v>13092</v>
      </c>
      <c r="V140" s="50">
        <v>0.000918</v>
      </c>
      <c r="W140" s="50">
        <v>0</v>
      </c>
      <c r="X140" s="50">
        <v>8.610966</v>
      </c>
      <c r="Y140" s="50">
        <v>0.010822510822510822</v>
      </c>
      <c r="Z140" s="50">
        <v>0.18181818181818182</v>
      </c>
      <c r="AA140" s="72">
        <v>140</v>
      </c>
      <c r="AB140" s="72"/>
      <c r="AC140" s="73"/>
      <c r="AD140" s="80" t="s">
        <v>1704</v>
      </c>
      <c r="AE140" s="80" t="s">
        <v>2462</v>
      </c>
      <c r="AF140" s="80"/>
      <c r="AG140" s="80"/>
      <c r="AH140" s="80"/>
      <c r="AI140" s="80" t="s">
        <v>2634</v>
      </c>
      <c r="AJ140" s="87">
        <v>43093.87480324074</v>
      </c>
      <c r="AK140" s="85" t="str">
        <f>HYPERLINK("https://yt3.ggpht.com/ytc/AAUvwnioKw5vCSl2pKO0jyUjf4o-gn1FzH0FpW4WGv6M9A=s88-c-k-c0x00ffffff-no-rj")</f>
        <v>https://yt3.ggpht.com/ytc/AAUvwnioKw5vCSl2pKO0jyUjf4o-gn1FzH0FpW4WGv6M9A=s88-c-k-c0x00ffffff-no-rj</v>
      </c>
      <c r="AL140" s="80">
        <v>17129823</v>
      </c>
      <c r="AM140" s="80">
        <v>0</v>
      </c>
      <c r="AN140" s="80">
        <v>147000</v>
      </c>
      <c r="AO140" s="80" t="b">
        <v>0</v>
      </c>
      <c r="AP140" s="80">
        <v>368</v>
      </c>
      <c r="AQ140" s="80"/>
      <c r="AR140" s="80"/>
      <c r="AS140" s="80" t="s">
        <v>2664</v>
      </c>
      <c r="AT140" s="85" t="str">
        <f>HYPERLINK("https://www.youtube.com/channel/UCaGEe4KXZrjou9kQx6ezG2w")</f>
        <v>https://www.youtube.com/channel/UCaGEe4KXZrjou9kQx6ezG2w</v>
      </c>
      <c r="AU140" s="80" t="str">
        <f>REPLACE(INDEX(GroupVertices[Group],MATCH(Vertices[[#This Row],[Vertex]],GroupVertices[Vertex],0)),1,1,"")</f>
        <v>8</v>
      </c>
      <c r="AV140" s="49">
        <v>12</v>
      </c>
      <c r="AW140" s="50">
        <v>19.35483870967742</v>
      </c>
      <c r="AX140" s="49">
        <v>0</v>
      </c>
      <c r="AY140" s="50">
        <v>0</v>
      </c>
      <c r="AZ140" s="49">
        <v>0</v>
      </c>
      <c r="BA140" s="50">
        <v>0</v>
      </c>
      <c r="BB140" s="49">
        <v>50</v>
      </c>
      <c r="BC140" s="50">
        <v>80.64516129032258</v>
      </c>
      <c r="BD140" s="49">
        <v>62</v>
      </c>
      <c r="BE140" s="49"/>
      <c r="BF140" s="49"/>
      <c r="BG140" s="49"/>
      <c r="BH140" s="49"/>
      <c r="BI140" s="49"/>
      <c r="BJ140" s="49"/>
      <c r="BK140" s="111" t="s">
        <v>3771</v>
      </c>
      <c r="BL140" s="111" t="s">
        <v>3771</v>
      </c>
      <c r="BM140" s="111" t="s">
        <v>4243</v>
      </c>
      <c r="BN140" s="111" t="s">
        <v>4243</v>
      </c>
      <c r="BO140" s="2"/>
      <c r="BP140" s="3"/>
      <c r="BQ140" s="3"/>
      <c r="BR140" s="3"/>
      <c r="BS140" s="3"/>
    </row>
    <row r="141" spans="1:71" ht="15">
      <c r="A141" s="65" t="s">
        <v>346</v>
      </c>
      <c r="B141" s="66"/>
      <c r="C141" s="66"/>
      <c r="D141" s="67">
        <v>150</v>
      </c>
      <c r="E141" s="69"/>
      <c r="F141" s="103" t="str">
        <f>HYPERLINK("https://yt3.ggpht.com/ytc/AAUvwnj21EBtVBCyPjtWw8OBZfqYZ5mYVR3jhuskuhdl=s88-c-k-c0x00ffffff-no-rj")</f>
        <v>https://yt3.ggpht.com/ytc/AAUvwnj21EBtVBCyPjtWw8OBZfqYZ5mYVR3jhuskuhdl=s88-c-k-c0x00ffffff-no-rj</v>
      </c>
      <c r="G141" s="66"/>
      <c r="H141" s="70" t="s">
        <v>1705</v>
      </c>
      <c r="I141" s="71"/>
      <c r="J141" s="71" t="s">
        <v>159</v>
      </c>
      <c r="K141" s="70" t="s">
        <v>1705</v>
      </c>
      <c r="L141" s="74">
        <v>1</v>
      </c>
      <c r="M141" s="75">
        <v>8630.2275390625</v>
      </c>
      <c r="N141" s="75">
        <v>5745.45849609375</v>
      </c>
      <c r="O141" s="76"/>
      <c r="P141" s="77"/>
      <c r="Q141" s="77"/>
      <c r="R141" s="89"/>
      <c r="S141" s="49">
        <v>0</v>
      </c>
      <c r="T141" s="49">
        <v>4</v>
      </c>
      <c r="U141" s="50">
        <v>5</v>
      </c>
      <c r="V141" s="50">
        <v>0.000741</v>
      </c>
      <c r="W141" s="50">
        <v>0</v>
      </c>
      <c r="X141" s="50">
        <v>1.427535</v>
      </c>
      <c r="Y141" s="50">
        <v>0.3333333333333333</v>
      </c>
      <c r="Z141" s="50">
        <v>0</v>
      </c>
      <c r="AA141" s="72">
        <v>141</v>
      </c>
      <c r="AB141" s="72"/>
      <c r="AC141" s="73"/>
      <c r="AD141" s="80" t="s">
        <v>1705</v>
      </c>
      <c r="AE141" s="80"/>
      <c r="AF141" s="80"/>
      <c r="AG141" s="80"/>
      <c r="AH141" s="80"/>
      <c r="AI141" s="80"/>
      <c r="AJ141" s="87">
        <v>43979.332083333335</v>
      </c>
      <c r="AK141" s="85" t="str">
        <f>HYPERLINK("https://yt3.ggpht.com/ytc/AAUvwnj21EBtVBCyPjtWw8OBZfqYZ5mYVR3jhuskuhdl=s88-c-k-c0x00ffffff-no-rj")</f>
        <v>https://yt3.ggpht.com/ytc/AAUvwnj21EBtVBCyPjtWw8OBZfqYZ5mYVR3jhuskuhdl=s88-c-k-c0x00ffffff-no-rj</v>
      </c>
      <c r="AL141" s="80">
        <v>0</v>
      </c>
      <c r="AM141" s="80">
        <v>0</v>
      </c>
      <c r="AN141" s="80">
        <v>1</v>
      </c>
      <c r="AO141" s="80" t="b">
        <v>0</v>
      </c>
      <c r="AP141" s="80">
        <v>0</v>
      </c>
      <c r="AQ141" s="80"/>
      <c r="AR141" s="80"/>
      <c r="AS141" s="80" t="s">
        <v>2664</v>
      </c>
      <c r="AT141" s="85" t="str">
        <f>HYPERLINK("https://www.youtube.com/channel/UC6fFQW6FPEYzN3hpzQ2Aa1A")</f>
        <v>https://www.youtube.com/channel/UC6fFQW6FPEYzN3hpzQ2Aa1A</v>
      </c>
      <c r="AU141" s="80" t="str">
        <f>REPLACE(INDEX(GroupVertices[Group],MATCH(Vertices[[#This Row],[Vertex]],GroupVertices[Vertex],0)),1,1,"")</f>
        <v>8</v>
      </c>
      <c r="AV141" s="49">
        <v>0</v>
      </c>
      <c r="AW141" s="50">
        <v>0</v>
      </c>
      <c r="AX141" s="49">
        <v>1</v>
      </c>
      <c r="AY141" s="50">
        <v>7.142857142857143</v>
      </c>
      <c r="AZ141" s="49">
        <v>0</v>
      </c>
      <c r="BA141" s="50">
        <v>0</v>
      </c>
      <c r="BB141" s="49">
        <v>13</v>
      </c>
      <c r="BC141" s="50">
        <v>92.85714285714286</v>
      </c>
      <c r="BD141" s="49">
        <v>14</v>
      </c>
      <c r="BE141" s="49"/>
      <c r="BF141" s="49"/>
      <c r="BG141" s="49"/>
      <c r="BH141" s="49"/>
      <c r="BI141" s="49"/>
      <c r="BJ141" s="49"/>
      <c r="BK141" s="111" t="s">
        <v>3772</v>
      </c>
      <c r="BL141" s="111" t="s">
        <v>3772</v>
      </c>
      <c r="BM141" s="111" t="s">
        <v>4244</v>
      </c>
      <c r="BN141" s="111" t="s">
        <v>4244</v>
      </c>
      <c r="BO141" s="2"/>
      <c r="BP141" s="3"/>
      <c r="BQ141" s="3"/>
      <c r="BR141" s="3"/>
      <c r="BS141" s="3"/>
    </row>
    <row r="142" spans="1:71" ht="15">
      <c r="A142" s="65" t="s">
        <v>348</v>
      </c>
      <c r="B142" s="66"/>
      <c r="C142" s="66"/>
      <c r="D142" s="67">
        <v>291.66666666666663</v>
      </c>
      <c r="E142" s="69"/>
      <c r="F142" s="103" t="str">
        <f>HYPERLINK("https://yt3.ggpht.com/ytc/AAUvwnhYz8buOZFJ8JwnXvV9Rz7EhATupgFX1dDmDXZL_A=s88-c-k-c0x00ffffff-no-rj")</f>
        <v>https://yt3.ggpht.com/ytc/AAUvwnhYz8buOZFJ8JwnXvV9Rz7EhATupgFX1dDmDXZL_A=s88-c-k-c0x00ffffff-no-rj</v>
      </c>
      <c r="G142" s="66"/>
      <c r="H142" s="70" t="s">
        <v>1707</v>
      </c>
      <c r="I142" s="71"/>
      <c r="J142" s="71" t="s">
        <v>159</v>
      </c>
      <c r="K142" s="70" t="s">
        <v>1707</v>
      </c>
      <c r="L142" s="74">
        <v>96.21904761904761</v>
      </c>
      <c r="M142" s="75">
        <v>8399.541015625</v>
      </c>
      <c r="N142" s="75">
        <v>5091.3603515625</v>
      </c>
      <c r="O142" s="76"/>
      <c r="P142" s="77"/>
      <c r="Q142" s="77"/>
      <c r="R142" s="89"/>
      <c r="S142" s="49">
        <v>1</v>
      </c>
      <c r="T142" s="49">
        <v>1</v>
      </c>
      <c r="U142" s="50">
        <v>0</v>
      </c>
      <c r="V142" s="50">
        <v>0.000739</v>
      </c>
      <c r="W142" s="50">
        <v>0</v>
      </c>
      <c r="X142" s="50">
        <v>0.468231</v>
      </c>
      <c r="Y142" s="50">
        <v>0</v>
      </c>
      <c r="Z142" s="50">
        <v>1</v>
      </c>
      <c r="AA142" s="72">
        <v>142</v>
      </c>
      <c r="AB142" s="72"/>
      <c r="AC142" s="73"/>
      <c r="AD142" s="80" t="s">
        <v>1707</v>
      </c>
      <c r="AE142" s="80"/>
      <c r="AF142" s="80"/>
      <c r="AG142" s="80"/>
      <c r="AH142" s="80"/>
      <c r="AI142" s="80"/>
      <c r="AJ142" s="87">
        <v>40879.50199074074</v>
      </c>
      <c r="AK142" s="85" t="str">
        <f>HYPERLINK("https://yt3.ggpht.com/ytc/AAUvwnhYz8buOZFJ8JwnXvV9Rz7EhATupgFX1dDmDXZL_A=s88-c-k-c0x00ffffff-no-rj")</f>
        <v>https://yt3.ggpht.com/ytc/AAUvwnhYz8buOZFJ8JwnXvV9Rz7EhATupgFX1dDmDXZL_A=s88-c-k-c0x00ffffff-no-rj</v>
      </c>
      <c r="AL142" s="80">
        <v>0</v>
      </c>
      <c r="AM142" s="80">
        <v>0</v>
      </c>
      <c r="AN142" s="80">
        <v>2</v>
      </c>
      <c r="AO142" s="80" t="b">
        <v>0</v>
      </c>
      <c r="AP142" s="80">
        <v>0</v>
      </c>
      <c r="AQ142" s="80"/>
      <c r="AR142" s="80"/>
      <c r="AS142" s="80" t="s">
        <v>2664</v>
      </c>
      <c r="AT142" s="85" t="str">
        <f>HYPERLINK("https://www.youtube.com/channel/UCTiTw_hbT1GeA4lqCvmVYOw")</f>
        <v>https://www.youtube.com/channel/UCTiTw_hbT1GeA4lqCvmVYOw</v>
      </c>
      <c r="AU142" s="80" t="str">
        <f>REPLACE(INDEX(GroupVertices[Group],MATCH(Vertices[[#This Row],[Vertex]],GroupVertices[Vertex],0)),1,1,"")</f>
        <v>8</v>
      </c>
      <c r="AV142" s="49">
        <v>1</v>
      </c>
      <c r="AW142" s="50">
        <v>20</v>
      </c>
      <c r="AX142" s="49">
        <v>0</v>
      </c>
      <c r="AY142" s="50">
        <v>0</v>
      </c>
      <c r="AZ142" s="49">
        <v>0</v>
      </c>
      <c r="BA142" s="50">
        <v>0</v>
      </c>
      <c r="BB142" s="49">
        <v>4</v>
      </c>
      <c r="BC142" s="50">
        <v>80</v>
      </c>
      <c r="BD142" s="49">
        <v>5</v>
      </c>
      <c r="BE142" s="49"/>
      <c r="BF142" s="49"/>
      <c r="BG142" s="49"/>
      <c r="BH142" s="49"/>
      <c r="BI142" s="49"/>
      <c r="BJ142" s="49"/>
      <c r="BK142" s="111" t="s">
        <v>2390</v>
      </c>
      <c r="BL142" s="111" t="s">
        <v>2390</v>
      </c>
      <c r="BM142" s="111" t="s">
        <v>2390</v>
      </c>
      <c r="BN142" s="111" t="s">
        <v>2390</v>
      </c>
      <c r="BO142" s="2"/>
      <c r="BP142" s="3"/>
      <c r="BQ142" s="3"/>
      <c r="BR142" s="3"/>
      <c r="BS142" s="3"/>
    </row>
    <row r="143" spans="1:71" ht="15">
      <c r="A143" s="65" t="s">
        <v>349</v>
      </c>
      <c r="B143" s="66"/>
      <c r="C143" s="66"/>
      <c r="D143" s="67">
        <v>150</v>
      </c>
      <c r="E143" s="69"/>
      <c r="F143" s="103" t="str">
        <f>HYPERLINK("https://yt3.ggpht.com/ytc/AAUvwngJmH_H3tQyoqnjgaJWkQaQZhb12fgomzXYywO6eQ=s88-c-k-c0x00ffffff-no-rj")</f>
        <v>https://yt3.ggpht.com/ytc/AAUvwngJmH_H3tQyoqnjgaJWkQaQZhb12fgomzXYywO6eQ=s88-c-k-c0x00ffffff-no-rj</v>
      </c>
      <c r="G143" s="66"/>
      <c r="H143" s="70" t="s">
        <v>1708</v>
      </c>
      <c r="I143" s="71"/>
      <c r="J143" s="71" t="s">
        <v>159</v>
      </c>
      <c r="K143" s="70" t="s">
        <v>1708</v>
      </c>
      <c r="L143" s="74">
        <v>1</v>
      </c>
      <c r="M143" s="75">
        <v>8099.7392578125</v>
      </c>
      <c r="N143" s="75">
        <v>4531.20849609375</v>
      </c>
      <c r="O143" s="76"/>
      <c r="P143" s="77"/>
      <c r="Q143" s="77"/>
      <c r="R143" s="89"/>
      <c r="S143" s="49">
        <v>0</v>
      </c>
      <c r="T143" s="49">
        <v>1</v>
      </c>
      <c r="U143" s="50">
        <v>0</v>
      </c>
      <c r="V143" s="50">
        <v>0.000618</v>
      </c>
      <c r="W143" s="50">
        <v>0</v>
      </c>
      <c r="X143" s="50">
        <v>0.546377</v>
      </c>
      <c r="Y143" s="50">
        <v>0</v>
      </c>
      <c r="Z143" s="50">
        <v>0</v>
      </c>
      <c r="AA143" s="72">
        <v>143</v>
      </c>
      <c r="AB143" s="72"/>
      <c r="AC143" s="73"/>
      <c r="AD143" s="80" t="s">
        <v>1708</v>
      </c>
      <c r="AE143" s="80"/>
      <c r="AF143" s="80"/>
      <c r="AG143" s="80"/>
      <c r="AH143" s="80"/>
      <c r="AI143" s="80"/>
      <c r="AJ143" s="87">
        <v>42223.97315972222</v>
      </c>
      <c r="AK143" s="85" t="str">
        <f>HYPERLINK("https://yt3.ggpht.com/ytc/AAUvwngJmH_H3tQyoqnjgaJWkQaQZhb12fgomzXYywO6eQ=s88-c-k-c0x00ffffff-no-rj")</f>
        <v>https://yt3.ggpht.com/ytc/AAUvwngJmH_H3tQyoqnjgaJWkQaQZhb12fgomzXYywO6eQ=s88-c-k-c0x00ffffff-no-rj</v>
      </c>
      <c r="AL143" s="80">
        <v>0</v>
      </c>
      <c r="AM143" s="80">
        <v>0</v>
      </c>
      <c r="AN143" s="80">
        <v>15</v>
      </c>
      <c r="AO143" s="80" t="b">
        <v>0</v>
      </c>
      <c r="AP143" s="80">
        <v>0</v>
      </c>
      <c r="AQ143" s="80"/>
      <c r="AR143" s="80"/>
      <c r="AS143" s="80" t="s">
        <v>2664</v>
      </c>
      <c r="AT143" s="85" t="str">
        <f>HYPERLINK("https://www.youtube.com/channel/UChTFk9B9ufIln_tsgG1wdvg")</f>
        <v>https://www.youtube.com/channel/UChTFk9B9ufIln_tsgG1wdvg</v>
      </c>
      <c r="AU143" s="80" t="str">
        <f>REPLACE(INDEX(GroupVertices[Group],MATCH(Vertices[[#This Row],[Vertex]],GroupVertices[Vertex],0)),1,1,"")</f>
        <v>8</v>
      </c>
      <c r="AV143" s="49">
        <v>0</v>
      </c>
      <c r="AW143" s="50">
        <v>0</v>
      </c>
      <c r="AX143" s="49">
        <v>0</v>
      </c>
      <c r="AY143" s="50">
        <v>0</v>
      </c>
      <c r="AZ143" s="49">
        <v>0</v>
      </c>
      <c r="BA143" s="50">
        <v>0</v>
      </c>
      <c r="BB143" s="49">
        <v>6</v>
      </c>
      <c r="BC143" s="50">
        <v>100</v>
      </c>
      <c r="BD143" s="49">
        <v>6</v>
      </c>
      <c r="BE143" s="49"/>
      <c r="BF143" s="49"/>
      <c r="BG143" s="49"/>
      <c r="BH143" s="49"/>
      <c r="BI143" s="49"/>
      <c r="BJ143" s="49"/>
      <c r="BK143" s="111" t="s">
        <v>3773</v>
      </c>
      <c r="BL143" s="111" t="s">
        <v>3773</v>
      </c>
      <c r="BM143" s="111" t="s">
        <v>2390</v>
      </c>
      <c r="BN143" s="111" t="s">
        <v>2390</v>
      </c>
      <c r="BO143" s="2"/>
      <c r="BP143" s="3"/>
      <c r="BQ143" s="3"/>
      <c r="BR143" s="3"/>
      <c r="BS143" s="3"/>
    </row>
    <row r="144" spans="1:71" ht="15">
      <c r="A144" s="65" t="s">
        <v>350</v>
      </c>
      <c r="B144" s="66"/>
      <c r="C144" s="66"/>
      <c r="D144" s="67">
        <v>291.66666666666663</v>
      </c>
      <c r="E144" s="69"/>
      <c r="F144" s="103" t="str">
        <f>HYPERLINK("https://yt3.ggpht.com/ytc/AAUvwngk0fTY5jxdKpBeJojCwxY58LY5DCc-LNZGRw=s88-c-k-c0x00ffffff-no-rj")</f>
        <v>https://yt3.ggpht.com/ytc/AAUvwngk0fTY5jxdKpBeJojCwxY58LY5DCc-LNZGRw=s88-c-k-c0x00ffffff-no-rj</v>
      </c>
      <c r="G144" s="66"/>
      <c r="H144" s="70" t="s">
        <v>1709</v>
      </c>
      <c r="I144" s="71"/>
      <c r="J144" s="71" t="s">
        <v>159</v>
      </c>
      <c r="K144" s="70" t="s">
        <v>1709</v>
      </c>
      <c r="L144" s="74">
        <v>96.21904761904761</v>
      </c>
      <c r="M144" s="75">
        <v>8447.3232421875</v>
      </c>
      <c r="N144" s="75">
        <v>4878.7978515625</v>
      </c>
      <c r="O144" s="76"/>
      <c r="P144" s="77"/>
      <c r="Q144" s="77"/>
      <c r="R144" s="89"/>
      <c r="S144" s="49">
        <v>1</v>
      </c>
      <c r="T144" s="49">
        <v>1</v>
      </c>
      <c r="U144" s="50">
        <v>530</v>
      </c>
      <c r="V144" s="50">
        <v>0.00074</v>
      </c>
      <c r="W144" s="50">
        <v>0</v>
      </c>
      <c r="X144" s="50">
        <v>0.932652</v>
      </c>
      <c r="Y144" s="50">
        <v>0</v>
      </c>
      <c r="Z144" s="50">
        <v>0</v>
      </c>
      <c r="AA144" s="72">
        <v>144</v>
      </c>
      <c r="AB144" s="72"/>
      <c r="AC144" s="73"/>
      <c r="AD144" s="80" t="s">
        <v>1709</v>
      </c>
      <c r="AE144" s="80" t="s">
        <v>2463</v>
      </c>
      <c r="AF144" s="80"/>
      <c r="AG144" s="80"/>
      <c r="AH144" s="80"/>
      <c r="AI144" s="80"/>
      <c r="AJ144" s="87">
        <v>43943.01519675926</v>
      </c>
      <c r="AK144" s="85" t="str">
        <f>HYPERLINK("https://yt3.ggpht.com/ytc/AAUvwngk0fTY5jxdKpBeJojCwxY58LY5DCc-LNZGRw=s88-c-k-c0x00ffffff-no-rj")</f>
        <v>https://yt3.ggpht.com/ytc/AAUvwngk0fTY5jxdKpBeJojCwxY58LY5DCc-LNZGRw=s88-c-k-c0x00ffffff-no-rj</v>
      </c>
      <c r="AL144" s="80">
        <v>0</v>
      </c>
      <c r="AM144" s="80">
        <v>0</v>
      </c>
      <c r="AN144" s="80">
        <v>0</v>
      </c>
      <c r="AO144" s="80" t="b">
        <v>0</v>
      </c>
      <c r="AP144" s="80">
        <v>0</v>
      </c>
      <c r="AQ144" s="80"/>
      <c r="AR144" s="80"/>
      <c r="AS144" s="80" t="s">
        <v>2664</v>
      </c>
      <c r="AT144" s="85" t="str">
        <f>HYPERLINK("https://www.youtube.com/channel/UC5SyxPuKWP1YO_ArRAYulCA")</f>
        <v>https://www.youtube.com/channel/UC5SyxPuKWP1YO_ArRAYulCA</v>
      </c>
      <c r="AU144" s="80" t="str">
        <f>REPLACE(INDEX(GroupVertices[Group],MATCH(Vertices[[#This Row],[Vertex]],GroupVertices[Vertex],0)),1,1,"")</f>
        <v>8</v>
      </c>
      <c r="AV144" s="49">
        <v>1</v>
      </c>
      <c r="AW144" s="50">
        <v>14.285714285714286</v>
      </c>
      <c r="AX144" s="49">
        <v>0</v>
      </c>
      <c r="AY144" s="50">
        <v>0</v>
      </c>
      <c r="AZ144" s="49">
        <v>0</v>
      </c>
      <c r="BA144" s="50">
        <v>0</v>
      </c>
      <c r="BB144" s="49">
        <v>6</v>
      </c>
      <c r="BC144" s="50">
        <v>85.71428571428571</v>
      </c>
      <c r="BD144" s="49">
        <v>7</v>
      </c>
      <c r="BE144" s="49"/>
      <c r="BF144" s="49"/>
      <c r="BG144" s="49"/>
      <c r="BH144" s="49"/>
      <c r="BI144" s="49"/>
      <c r="BJ144" s="49"/>
      <c r="BK144" s="111" t="s">
        <v>3774</v>
      </c>
      <c r="BL144" s="111" t="s">
        <v>3774</v>
      </c>
      <c r="BM144" s="111" t="s">
        <v>4245</v>
      </c>
      <c r="BN144" s="111" t="s">
        <v>4245</v>
      </c>
      <c r="BO144" s="2"/>
      <c r="BP144" s="3"/>
      <c r="BQ144" s="3"/>
      <c r="BR144" s="3"/>
      <c r="BS144" s="3"/>
    </row>
    <row r="145" spans="1:71" ht="15">
      <c r="A145" s="65" t="s">
        <v>351</v>
      </c>
      <c r="B145" s="66"/>
      <c r="C145" s="66"/>
      <c r="D145" s="67">
        <v>150</v>
      </c>
      <c r="E145" s="69"/>
      <c r="F145" s="103" t="str">
        <f>HYPERLINK("https://yt3.ggpht.com/ytc/AAUvwnj_K923AA5UZ4n_DoRFvmjmx8hiwtdPQj0tTkad=s88-c-k-c0x00ffffff-no-rj")</f>
        <v>https://yt3.ggpht.com/ytc/AAUvwnj_K923AA5UZ4n_DoRFvmjmx8hiwtdPQj0tTkad=s88-c-k-c0x00ffffff-no-rj</v>
      </c>
      <c r="G145" s="66"/>
      <c r="H145" s="70" t="s">
        <v>1710</v>
      </c>
      <c r="I145" s="71"/>
      <c r="J145" s="71" t="s">
        <v>159</v>
      </c>
      <c r="K145" s="70" t="s">
        <v>1710</v>
      </c>
      <c r="L145" s="74">
        <v>1</v>
      </c>
      <c r="M145" s="75">
        <v>9132.9404296875</v>
      </c>
      <c r="N145" s="75">
        <v>5677.05712890625</v>
      </c>
      <c r="O145" s="76"/>
      <c r="P145" s="77"/>
      <c r="Q145" s="77"/>
      <c r="R145" s="89"/>
      <c r="S145" s="49">
        <v>0</v>
      </c>
      <c r="T145" s="49">
        <v>1</v>
      </c>
      <c r="U145" s="50">
        <v>0</v>
      </c>
      <c r="V145" s="50">
        <v>0.000739</v>
      </c>
      <c r="W145" s="50">
        <v>0</v>
      </c>
      <c r="X145" s="50">
        <v>0.468231</v>
      </c>
      <c r="Y145" s="50">
        <v>0</v>
      </c>
      <c r="Z145" s="50">
        <v>0</v>
      </c>
      <c r="AA145" s="72">
        <v>145</v>
      </c>
      <c r="AB145" s="72"/>
      <c r="AC145" s="73"/>
      <c r="AD145" s="80" t="s">
        <v>1710</v>
      </c>
      <c r="AE145" s="80"/>
      <c r="AF145" s="80"/>
      <c r="AG145" s="80"/>
      <c r="AH145" s="80"/>
      <c r="AI145" s="80"/>
      <c r="AJ145" s="87">
        <v>43608.37978009259</v>
      </c>
      <c r="AK145" s="85" t="str">
        <f>HYPERLINK("https://yt3.ggpht.com/ytc/AAUvwnj_K923AA5UZ4n_DoRFvmjmx8hiwtdPQj0tTkad=s88-c-k-c0x00ffffff-no-rj")</f>
        <v>https://yt3.ggpht.com/ytc/AAUvwnj_K923AA5UZ4n_DoRFvmjmx8hiwtdPQj0tTkad=s88-c-k-c0x00ffffff-no-rj</v>
      </c>
      <c r="AL145" s="80">
        <v>0</v>
      </c>
      <c r="AM145" s="80">
        <v>0</v>
      </c>
      <c r="AN145" s="80">
        <v>11</v>
      </c>
      <c r="AO145" s="80" t="b">
        <v>0</v>
      </c>
      <c r="AP145" s="80">
        <v>0</v>
      </c>
      <c r="AQ145" s="80"/>
      <c r="AR145" s="80"/>
      <c r="AS145" s="80" t="s">
        <v>2664</v>
      </c>
      <c r="AT145" s="85" t="str">
        <f>HYPERLINK("https://www.youtube.com/channel/UCt87IY3pyScZ-Rt-qhc7l-w")</f>
        <v>https://www.youtube.com/channel/UCt87IY3pyScZ-Rt-qhc7l-w</v>
      </c>
      <c r="AU145" s="80" t="str">
        <f>REPLACE(INDEX(GroupVertices[Group],MATCH(Vertices[[#This Row],[Vertex]],GroupVertices[Vertex],0)),1,1,"")</f>
        <v>8</v>
      </c>
      <c r="AV145" s="49">
        <v>0</v>
      </c>
      <c r="AW145" s="50">
        <v>0</v>
      </c>
      <c r="AX145" s="49">
        <v>0</v>
      </c>
      <c r="AY145" s="50">
        <v>0</v>
      </c>
      <c r="AZ145" s="49">
        <v>0</v>
      </c>
      <c r="BA145" s="50">
        <v>0</v>
      </c>
      <c r="BB145" s="49">
        <v>3</v>
      </c>
      <c r="BC145" s="50">
        <v>100</v>
      </c>
      <c r="BD145" s="49">
        <v>3</v>
      </c>
      <c r="BE145" s="49"/>
      <c r="BF145" s="49"/>
      <c r="BG145" s="49"/>
      <c r="BH145" s="49"/>
      <c r="BI145" s="49"/>
      <c r="BJ145" s="49"/>
      <c r="BK145" s="111" t="s">
        <v>3775</v>
      </c>
      <c r="BL145" s="111" t="s">
        <v>3775</v>
      </c>
      <c r="BM145" s="111" t="s">
        <v>4246</v>
      </c>
      <c r="BN145" s="111" t="s">
        <v>4246</v>
      </c>
      <c r="BO145" s="2"/>
      <c r="BP145" s="3"/>
      <c r="BQ145" s="3"/>
      <c r="BR145" s="3"/>
      <c r="BS145" s="3"/>
    </row>
    <row r="146" spans="1:71" ht="15">
      <c r="A146" s="65" t="s">
        <v>352</v>
      </c>
      <c r="B146" s="66"/>
      <c r="C146" s="66"/>
      <c r="D146" s="67">
        <v>291.66666666666663</v>
      </c>
      <c r="E146" s="69"/>
      <c r="F146" s="103" t="str">
        <f>HYPERLINK("https://yt3.ggpht.com/ytc/AAUvwnjgviChYbhoejqcriS0ddfXInRHy70W2MfkikUl=s88-c-k-c0x00ffffff-no-rj")</f>
        <v>https://yt3.ggpht.com/ytc/AAUvwnjgviChYbhoejqcriS0ddfXInRHy70W2MfkikUl=s88-c-k-c0x00ffffff-no-rj</v>
      </c>
      <c r="G146" s="66"/>
      <c r="H146" s="70" t="s">
        <v>1711</v>
      </c>
      <c r="I146" s="71"/>
      <c r="J146" s="71" t="s">
        <v>159</v>
      </c>
      <c r="K146" s="70" t="s">
        <v>1711</v>
      </c>
      <c r="L146" s="74">
        <v>96.21904761904761</v>
      </c>
      <c r="M146" s="75">
        <v>8456.986328125</v>
      </c>
      <c r="N146" s="75">
        <v>5693.64013671875</v>
      </c>
      <c r="O146" s="76"/>
      <c r="P146" s="77"/>
      <c r="Q146" s="77"/>
      <c r="R146" s="89"/>
      <c r="S146" s="49">
        <v>1</v>
      </c>
      <c r="T146" s="49">
        <v>1</v>
      </c>
      <c r="U146" s="50">
        <v>0</v>
      </c>
      <c r="V146" s="50">
        <v>0.000739</v>
      </c>
      <c r="W146" s="50">
        <v>0</v>
      </c>
      <c r="X146" s="50">
        <v>0.771582</v>
      </c>
      <c r="Y146" s="50">
        <v>0.5</v>
      </c>
      <c r="Z146" s="50">
        <v>0</v>
      </c>
      <c r="AA146" s="72">
        <v>146</v>
      </c>
      <c r="AB146" s="72"/>
      <c r="AC146" s="73"/>
      <c r="AD146" s="80" t="s">
        <v>1711</v>
      </c>
      <c r="AE146" s="80" t="s">
        <v>2464</v>
      </c>
      <c r="AF146" s="80"/>
      <c r="AG146" s="80"/>
      <c r="AH146" s="80"/>
      <c r="AI146" s="80"/>
      <c r="AJ146" s="87">
        <v>43725.42186342592</v>
      </c>
      <c r="AK146" s="85" t="str">
        <f>HYPERLINK("https://yt3.ggpht.com/ytc/AAUvwnjgviChYbhoejqcriS0ddfXInRHy70W2MfkikUl=s88-c-k-c0x00ffffff-no-rj")</f>
        <v>https://yt3.ggpht.com/ytc/AAUvwnjgviChYbhoejqcriS0ddfXInRHy70W2MfkikUl=s88-c-k-c0x00ffffff-no-rj</v>
      </c>
      <c r="AL146" s="80">
        <v>1520</v>
      </c>
      <c r="AM146" s="80">
        <v>0</v>
      </c>
      <c r="AN146" s="80">
        <v>53</v>
      </c>
      <c r="AO146" s="80" t="b">
        <v>0</v>
      </c>
      <c r="AP146" s="80">
        <v>71</v>
      </c>
      <c r="AQ146" s="80"/>
      <c r="AR146" s="80"/>
      <c r="AS146" s="80" t="s">
        <v>2664</v>
      </c>
      <c r="AT146" s="85" t="str">
        <f>HYPERLINK("https://www.youtube.com/channel/UC9Ja7kVyx1c4iXmhhXOV44A")</f>
        <v>https://www.youtube.com/channel/UC9Ja7kVyx1c4iXmhhXOV44A</v>
      </c>
      <c r="AU146" s="80" t="str">
        <f>REPLACE(INDEX(GroupVertices[Group],MATCH(Vertices[[#This Row],[Vertex]],GroupVertices[Vertex],0)),1,1,"")</f>
        <v>8</v>
      </c>
      <c r="AV146" s="49">
        <v>0</v>
      </c>
      <c r="AW146" s="50">
        <v>0</v>
      </c>
      <c r="AX146" s="49">
        <v>1</v>
      </c>
      <c r="AY146" s="50">
        <v>5.555555555555555</v>
      </c>
      <c r="AZ146" s="49">
        <v>0</v>
      </c>
      <c r="BA146" s="50">
        <v>0</v>
      </c>
      <c r="BB146" s="49">
        <v>17</v>
      </c>
      <c r="BC146" s="50">
        <v>94.44444444444444</v>
      </c>
      <c r="BD146" s="49">
        <v>18</v>
      </c>
      <c r="BE146" s="49"/>
      <c r="BF146" s="49"/>
      <c r="BG146" s="49"/>
      <c r="BH146" s="49"/>
      <c r="BI146" s="49"/>
      <c r="BJ146" s="49"/>
      <c r="BK146" s="111" t="s">
        <v>3776</v>
      </c>
      <c r="BL146" s="111" t="s">
        <v>3776</v>
      </c>
      <c r="BM146" s="111" t="s">
        <v>4247</v>
      </c>
      <c r="BN146" s="111" t="s">
        <v>4247</v>
      </c>
      <c r="BO146" s="2"/>
      <c r="BP146" s="3"/>
      <c r="BQ146" s="3"/>
      <c r="BR146" s="3"/>
      <c r="BS146" s="3"/>
    </row>
    <row r="147" spans="1:71" ht="15">
      <c r="A147" s="65" t="s">
        <v>353</v>
      </c>
      <c r="B147" s="66"/>
      <c r="C147" s="66"/>
      <c r="D147" s="67">
        <v>150</v>
      </c>
      <c r="E147" s="69"/>
      <c r="F147" s="103" t="str">
        <f>HYPERLINK("https://yt3.ggpht.com/ytc/AAUvwnhptMm7UWdPNw41CiyMSNhfXPB_-rv5gtCe7CX_=s88-c-k-c0x00ffffff-no-rj")</f>
        <v>https://yt3.ggpht.com/ytc/AAUvwnhptMm7UWdPNw41CiyMSNhfXPB_-rv5gtCe7CX_=s88-c-k-c0x00ffffff-no-rj</v>
      </c>
      <c r="G147" s="66"/>
      <c r="H147" s="70" t="s">
        <v>1712</v>
      </c>
      <c r="I147" s="71"/>
      <c r="J147" s="71" t="s">
        <v>159</v>
      </c>
      <c r="K147" s="70" t="s">
        <v>1712</v>
      </c>
      <c r="L147" s="74">
        <v>1</v>
      </c>
      <c r="M147" s="75">
        <v>8507.7001953125</v>
      </c>
      <c r="N147" s="75">
        <v>5344.09814453125</v>
      </c>
      <c r="O147" s="76"/>
      <c r="P147" s="77"/>
      <c r="Q147" s="77"/>
      <c r="R147" s="89"/>
      <c r="S147" s="49">
        <v>0</v>
      </c>
      <c r="T147" s="49">
        <v>2</v>
      </c>
      <c r="U147" s="50">
        <v>0</v>
      </c>
      <c r="V147" s="50">
        <v>0.000739</v>
      </c>
      <c r="W147" s="50">
        <v>0</v>
      </c>
      <c r="X147" s="50">
        <v>0.76406</v>
      </c>
      <c r="Y147" s="50">
        <v>0.5</v>
      </c>
      <c r="Z147" s="50">
        <v>0</v>
      </c>
      <c r="AA147" s="72">
        <v>147</v>
      </c>
      <c r="AB147" s="72"/>
      <c r="AC147" s="73"/>
      <c r="AD147" s="80" t="s">
        <v>1712</v>
      </c>
      <c r="AE147" s="80"/>
      <c r="AF147" s="80"/>
      <c r="AG147" s="80"/>
      <c r="AH147" s="80"/>
      <c r="AI147" s="80"/>
      <c r="AJ147" s="87">
        <v>43731.320081018515</v>
      </c>
      <c r="AK147" s="85" t="str">
        <f>HYPERLINK("https://yt3.ggpht.com/ytc/AAUvwnhptMm7UWdPNw41CiyMSNhfXPB_-rv5gtCe7CX_=s88-c-k-c0x00ffffff-no-rj")</f>
        <v>https://yt3.ggpht.com/ytc/AAUvwnhptMm7UWdPNw41CiyMSNhfXPB_-rv5gtCe7CX_=s88-c-k-c0x00ffffff-no-rj</v>
      </c>
      <c r="AL147" s="80">
        <v>114</v>
      </c>
      <c r="AM147" s="80">
        <v>0</v>
      </c>
      <c r="AN147" s="80">
        <v>12</v>
      </c>
      <c r="AO147" s="80" t="b">
        <v>0</v>
      </c>
      <c r="AP147" s="80">
        <v>6</v>
      </c>
      <c r="AQ147" s="80"/>
      <c r="AR147" s="80"/>
      <c r="AS147" s="80" t="s">
        <v>2664</v>
      </c>
      <c r="AT147" s="85" t="str">
        <f>HYPERLINK("https://www.youtube.com/channel/UC-C8T0nZiwU0BHa_udThlIw")</f>
        <v>https://www.youtube.com/channel/UC-C8T0nZiwU0BHa_udThlIw</v>
      </c>
      <c r="AU147" s="80" t="str">
        <f>REPLACE(INDEX(GroupVertices[Group],MATCH(Vertices[[#This Row],[Vertex]],GroupVertices[Vertex],0)),1,1,"")</f>
        <v>8</v>
      </c>
      <c r="AV147" s="49">
        <v>0</v>
      </c>
      <c r="AW147" s="50">
        <v>0</v>
      </c>
      <c r="AX147" s="49">
        <v>0</v>
      </c>
      <c r="AY147" s="50">
        <v>0</v>
      </c>
      <c r="AZ147" s="49">
        <v>0</v>
      </c>
      <c r="BA147" s="50">
        <v>0</v>
      </c>
      <c r="BB147" s="49">
        <v>3</v>
      </c>
      <c r="BC147" s="50">
        <v>100</v>
      </c>
      <c r="BD147" s="49">
        <v>3</v>
      </c>
      <c r="BE147" s="49"/>
      <c r="BF147" s="49"/>
      <c r="BG147" s="49"/>
      <c r="BH147" s="49"/>
      <c r="BI147" s="49"/>
      <c r="BJ147" s="49"/>
      <c r="BK147" s="111" t="s">
        <v>3777</v>
      </c>
      <c r="BL147" s="111" t="s">
        <v>3777</v>
      </c>
      <c r="BM147" s="111" t="s">
        <v>2390</v>
      </c>
      <c r="BN147" s="111" t="s">
        <v>2390</v>
      </c>
      <c r="BO147" s="2"/>
      <c r="BP147" s="3"/>
      <c r="BQ147" s="3"/>
      <c r="BR147" s="3"/>
      <c r="BS147" s="3"/>
    </row>
    <row r="148" spans="1:71" ht="15">
      <c r="A148" s="65" t="s">
        <v>354</v>
      </c>
      <c r="B148" s="66"/>
      <c r="C148" s="66"/>
      <c r="D148" s="67">
        <v>575</v>
      </c>
      <c r="E148" s="69"/>
      <c r="F148" s="103" t="str">
        <f>HYPERLINK("https://yt3.ggpht.com/ytc/AAUvwni6PvI6GtK_mE1Z6J5DKqCRYkZbwxA__-yz59zp=s88-c-k-c0x00ffffff-no-rj")</f>
        <v>https://yt3.ggpht.com/ytc/AAUvwni6PvI6GtK_mE1Z6J5DKqCRYkZbwxA__-yz59zp=s88-c-k-c0x00ffffff-no-rj</v>
      </c>
      <c r="G148" s="66"/>
      <c r="H148" s="70" t="s">
        <v>1713</v>
      </c>
      <c r="I148" s="71"/>
      <c r="J148" s="71" t="s">
        <v>75</v>
      </c>
      <c r="K148" s="70" t="s">
        <v>1713</v>
      </c>
      <c r="L148" s="74">
        <v>286.65714285714284</v>
      </c>
      <c r="M148" s="75">
        <v>8568.7548828125</v>
      </c>
      <c r="N148" s="75">
        <v>5521.69677734375</v>
      </c>
      <c r="O148" s="76"/>
      <c r="P148" s="77"/>
      <c r="Q148" s="77"/>
      <c r="R148" s="89"/>
      <c r="S148" s="49">
        <v>3</v>
      </c>
      <c r="T148" s="49">
        <v>2</v>
      </c>
      <c r="U148" s="50">
        <v>1</v>
      </c>
      <c r="V148" s="50">
        <v>0.00074</v>
      </c>
      <c r="W148" s="50">
        <v>0</v>
      </c>
      <c r="X148" s="50">
        <v>1.392137</v>
      </c>
      <c r="Y148" s="50">
        <v>0.3333333333333333</v>
      </c>
      <c r="Z148" s="50">
        <v>0</v>
      </c>
      <c r="AA148" s="72">
        <v>148</v>
      </c>
      <c r="AB148" s="72"/>
      <c r="AC148" s="73"/>
      <c r="AD148" s="80" t="s">
        <v>1713</v>
      </c>
      <c r="AE148" s="80"/>
      <c r="AF148" s="80"/>
      <c r="AG148" s="80"/>
      <c r="AH148" s="80"/>
      <c r="AI148" s="80"/>
      <c r="AJ148" s="87">
        <v>43978.26479166667</v>
      </c>
      <c r="AK148" s="85" t="str">
        <f>HYPERLINK("https://yt3.ggpht.com/ytc/AAUvwni6PvI6GtK_mE1Z6J5DKqCRYkZbwxA__-yz59zp=s88-c-k-c0x00ffffff-no-rj")</f>
        <v>https://yt3.ggpht.com/ytc/AAUvwni6PvI6GtK_mE1Z6J5DKqCRYkZbwxA__-yz59zp=s88-c-k-c0x00ffffff-no-rj</v>
      </c>
      <c r="AL148" s="80">
        <v>14</v>
      </c>
      <c r="AM148" s="80">
        <v>0</v>
      </c>
      <c r="AN148" s="80">
        <v>3</v>
      </c>
      <c r="AO148" s="80" t="b">
        <v>0</v>
      </c>
      <c r="AP148" s="80">
        <v>2</v>
      </c>
      <c r="AQ148" s="80"/>
      <c r="AR148" s="80"/>
      <c r="AS148" s="80" t="s">
        <v>2664</v>
      </c>
      <c r="AT148" s="85" t="str">
        <f>HYPERLINK("https://www.youtube.com/channel/UCx8pBVLDTEfBfEt8hT7NRxA")</f>
        <v>https://www.youtube.com/channel/UCx8pBVLDTEfBfEt8hT7NRxA</v>
      </c>
      <c r="AU148" s="80" t="str">
        <f>REPLACE(INDEX(GroupVertices[Group],MATCH(Vertices[[#This Row],[Vertex]],GroupVertices[Vertex],0)),1,1,"")</f>
        <v>8</v>
      </c>
      <c r="AV148" s="49">
        <v>0</v>
      </c>
      <c r="AW148" s="50">
        <v>0</v>
      </c>
      <c r="AX148" s="49">
        <v>0</v>
      </c>
      <c r="AY148" s="50">
        <v>0</v>
      </c>
      <c r="AZ148" s="49">
        <v>0</v>
      </c>
      <c r="BA148" s="50">
        <v>0</v>
      </c>
      <c r="BB148" s="49">
        <v>5</v>
      </c>
      <c r="BC148" s="50">
        <v>100</v>
      </c>
      <c r="BD148" s="49">
        <v>5</v>
      </c>
      <c r="BE148" s="49"/>
      <c r="BF148" s="49"/>
      <c r="BG148" s="49"/>
      <c r="BH148" s="49"/>
      <c r="BI148" s="49"/>
      <c r="BJ148" s="49"/>
      <c r="BK148" s="111" t="s">
        <v>3778</v>
      </c>
      <c r="BL148" s="111" t="s">
        <v>3778</v>
      </c>
      <c r="BM148" s="111" t="s">
        <v>4248</v>
      </c>
      <c r="BN148" s="111" t="s">
        <v>4248</v>
      </c>
      <c r="BO148" s="2"/>
      <c r="BP148" s="3"/>
      <c r="BQ148" s="3"/>
      <c r="BR148" s="3"/>
      <c r="BS148" s="3"/>
    </row>
    <row r="149" spans="1:71" ht="15">
      <c r="A149" s="65" t="s">
        <v>355</v>
      </c>
      <c r="B149" s="66"/>
      <c r="C149" s="66"/>
      <c r="D149" s="67">
        <v>150</v>
      </c>
      <c r="E149" s="69"/>
      <c r="F149" s="103" t="str">
        <f>HYPERLINK("https://yt3.ggpht.com/ytc/AAUvwnjmPyBYa2ulqKPLYdWLf5yhBsRXsFc45w80vP0x1SY=s88-c-k-c0x00ffffff-no-rj")</f>
        <v>https://yt3.ggpht.com/ytc/AAUvwnjmPyBYa2ulqKPLYdWLf5yhBsRXsFc45w80vP0x1SY=s88-c-k-c0x00ffffff-no-rj</v>
      </c>
      <c r="G149" s="66"/>
      <c r="H149" s="70" t="s">
        <v>1714</v>
      </c>
      <c r="I149" s="71"/>
      <c r="J149" s="71" t="s">
        <v>159</v>
      </c>
      <c r="K149" s="70" t="s">
        <v>1714</v>
      </c>
      <c r="L149" s="74">
        <v>1</v>
      </c>
      <c r="M149" s="75">
        <v>8660.716796875</v>
      </c>
      <c r="N149" s="75">
        <v>5068.5966796875</v>
      </c>
      <c r="O149" s="76"/>
      <c r="P149" s="77"/>
      <c r="Q149" s="77"/>
      <c r="R149" s="89"/>
      <c r="S149" s="49">
        <v>0</v>
      </c>
      <c r="T149" s="49">
        <v>1</v>
      </c>
      <c r="U149" s="50">
        <v>0</v>
      </c>
      <c r="V149" s="50">
        <v>0.000739</v>
      </c>
      <c r="W149" s="50">
        <v>0</v>
      </c>
      <c r="X149" s="50">
        <v>0.468231</v>
      </c>
      <c r="Y149" s="50">
        <v>0</v>
      </c>
      <c r="Z149" s="50">
        <v>0</v>
      </c>
      <c r="AA149" s="72">
        <v>149</v>
      </c>
      <c r="AB149" s="72"/>
      <c r="AC149" s="73"/>
      <c r="AD149" s="80" t="s">
        <v>1714</v>
      </c>
      <c r="AE149" s="80"/>
      <c r="AF149" s="80"/>
      <c r="AG149" s="80"/>
      <c r="AH149" s="80"/>
      <c r="AI149" s="80"/>
      <c r="AJ149" s="87">
        <v>43638.927766203706</v>
      </c>
      <c r="AK149" s="85" t="str">
        <f>HYPERLINK("https://yt3.ggpht.com/ytc/AAUvwnjmPyBYa2ulqKPLYdWLf5yhBsRXsFc45w80vP0x1SY=s88-c-k-c0x00ffffff-no-rj")</f>
        <v>https://yt3.ggpht.com/ytc/AAUvwnjmPyBYa2ulqKPLYdWLf5yhBsRXsFc45w80vP0x1SY=s88-c-k-c0x00ffffff-no-rj</v>
      </c>
      <c r="AL149" s="80">
        <v>0</v>
      </c>
      <c r="AM149" s="80">
        <v>0</v>
      </c>
      <c r="AN149" s="80">
        <v>56</v>
      </c>
      <c r="AO149" s="80" t="b">
        <v>0</v>
      </c>
      <c r="AP149" s="80">
        <v>0</v>
      </c>
      <c r="AQ149" s="80"/>
      <c r="AR149" s="80"/>
      <c r="AS149" s="80" t="s">
        <v>2664</v>
      </c>
      <c r="AT149" s="85" t="str">
        <f>HYPERLINK("https://www.youtube.com/channel/UCquZCe1F2ez9EO_0-FKj3kA")</f>
        <v>https://www.youtube.com/channel/UCquZCe1F2ez9EO_0-FKj3kA</v>
      </c>
      <c r="AU149" s="80" t="str">
        <f>REPLACE(INDEX(GroupVertices[Group],MATCH(Vertices[[#This Row],[Vertex]],GroupVertices[Vertex],0)),1,1,"")</f>
        <v>8</v>
      </c>
      <c r="AV149" s="49">
        <v>1</v>
      </c>
      <c r="AW149" s="50">
        <v>12.5</v>
      </c>
      <c r="AX149" s="49">
        <v>0</v>
      </c>
      <c r="AY149" s="50">
        <v>0</v>
      </c>
      <c r="AZ149" s="49">
        <v>0</v>
      </c>
      <c r="BA149" s="50">
        <v>0</v>
      </c>
      <c r="BB149" s="49">
        <v>7</v>
      </c>
      <c r="BC149" s="50">
        <v>87.5</v>
      </c>
      <c r="BD149" s="49">
        <v>8</v>
      </c>
      <c r="BE149" s="49"/>
      <c r="BF149" s="49"/>
      <c r="BG149" s="49"/>
      <c r="BH149" s="49"/>
      <c r="BI149" s="49"/>
      <c r="BJ149" s="49"/>
      <c r="BK149" s="111" t="s">
        <v>2732</v>
      </c>
      <c r="BL149" s="111" t="s">
        <v>2732</v>
      </c>
      <c r="BM149" s="111" t="s">
        <v>2390</v>
      </c>
      <c r="BN149" s="111" t="s">
        <v>2390</v>
      </c>
      <c r="BO149" s="2"/>
      <c r="BP149" s="3"/>
      <c r="BQ149" s="3"/>
      <c r="BR149" s="3"/>
      <c r="BS149" s="3"/>
    </row>
    <row r="150" spans="1:71" ht="15">
      <c r="A150" s="65" t="s">
        <v>356</v>
      </c>
      <c r="B150" s="66"/>
      <c r="C150" s="66"/>
      <c r="D150" s="67">
        <v>150</v>
      </c>
      <c r="E150" s="69"/>
      <c r="F150" s="103" t="str">
        <f>HYPERLINK("https://yt3.ggpht.com/ytc/AAUvwngqJfWdUFYugzvzzMiIgD8bg9qba0DitXRpLoz8=s88-c-k-c0x00ffffff-no-rj")</f>
        <v>https://yt3.ggpht.com/ytc/AAUvwngqJfWdUFYugzvzzMiIgD8bg9qba0DitXRpLoz8=s88-c-k-c0x00ffffff-no-rj</v>
      </c>
      <c r="G150" s="66"/>
      <c r="H150" s="70" t="s">
        <v>1715</v>
      </c>
      <c r="I150" s="71"/>
      <c r="J150" s="71" t="s">
        <v>159</v>
      </c>
      <c r="K150" s="70" t="s">
        <v>1715</v>
      </c>
      <c r="L150" s="74">
        <v>1</v>
      </c>
      <c r="M150" s="75">
        <v>9734.74609375</v>
      </c>
      <c r="N150" s="75">
        <v>4700.81640625</v>
      </c>
      <c r="O150" s="76"/>
      <c r="P150" s="77"/>
      <c r="Q150" s="77"/>
      <c r="R150" s="89"/>
      <c r="S150" s="49">
        <v>0</v>
      </c>
      <c r="T150" s="49">
        <v>1</v>
      </c>
      <c r="U150" s="50">
        <v>0</v>
      </c>
      <c r="V150" s="50">
        <v>0.00062</v>
      </c>
      <c r="W150" s="50">
        <v>0</v>
      </c>
      <c r="X150" s="50">
        <v>0.480709</v>
      </c>
      <c r="Y150" s="50">
        <v>0</v>
      </c>
      <c r="Z150" s="50">
        <v>0</v>
      </c>
      <c r="AA150" s="72">
        <v>150</v>
      </c>
      <c r="AB150" s="72"/>
      <c r="AC150" s="73"/>
      <c r="AD150" s="80" t="s">
        <v>1715</v>
      </c>
      <c r="AE150" s="80" t="s">
        <v>2465</v>
      </c>
      <c r="AF150" s="80"/>
      <c r="AG150" s="80"/>
      <c r="AH150" s="80"/>
      <c r="AI150" s="80"/>
      <c r="AJ150" s="87">
        <v>44016.78623842593</v>
      </c>
      <c r="AK150" s="85" t="str">
        <f>HYPERLINK("https://yt3.ggpht.com/ytc/AAUvwngqJfWdUFYugzvzzMiIgD8bg9qba0DitXRpLoz8=s88-c-k-c0x00ffffff-no-rj")</f>
        <v>https://yt3.ggpht.com/ytc/AAUvwngqJfWdUFYugzvzzMiIgD8bg9qba0DitXRpLoz8=s88-c-k-c0x00ffffff-no-rj</v>
      </c>
      <c r="AL150" s="80">
        <v>377</v>
      </c>
      <c r="AM150" s="80">
        <v>0</v>
      </c>
      <c r="AN150" s="80">
        <v>38</v>
      </c>
      <c r="AO150" s="80" t="b">
        <v>0</v>
      </c>
      <c r="AP150" s="80">
        <v>2</v>
      </c>
      <c r="AQ150" s="80"/>
      <c r="AR150" s="80"/>
      <c r="AS150" s="80" t="s">
        <v>2664</v>
      </c>
      <c r="AT150" s="85" t="str">
        <f>HYPERLINK("https://www.youtube.com/channel/UCCvEc_XGu9DQ2GGv34u71vw")</f>
        <v>https://www.youtube.com/channel/UCCvEc_XGu9DQ2GGv34u71vw</v>
      </c>
      <c r="AU150" s="80" t="str">
        <f>REPLACE(INDEX(GroupVertices[Group],MATCH(Vertices[[#This Row],[Vertex]],GroupVertices[Vertex],0)),1,1,"")</f>
        <v>8</v>
      </c>
      <c r="AV150" s="49">
        <v>0</v>
      </c>
      <c r="AW150" s="50">
        <v>0</v>
      </c>
      <c r="AX150" s="49">
        <v>0</v>
      </c>
      <c r="AY150" s="50">
        <v>0</v>
      </c>
      <c r="AZ150" s="49">
        <v>0</v>
      </c>
      <c r="BA150" s="50">
        <v>0</v>
      </c>
      <c r="BB150" s="49">
        <v>2</v>
      </c>
      <c r="BC150" s="50">
        <v>100</v>
      </c>
      <c r="BD150" s="49">
        <v>2</v>
      </c>
      <c r="BE150" s="49"/>
      <c r="BF150" s="49"/>
      <c r="BG150" s="49"/>
      <c r="BH150" s="49"/>
      <c r="BI150" s="49"/>
      <c r="BJ150" s="49"/>
      <c r="BK150" s="111" t="s">
        <v>2390</v>
      </c>
      <c r="BL150" s="111" t="s">
        <v>2390</v>
      </c>
      <c r="BM150" s="111" t="s">
        <v>2390</v>
      </c>
      <c r="BN150" s="111" t="s">
        <v>2390</v>
      </c>
      <c r="BO150" s="2"/>
      <c r="BP150" s="3"/>
      <c r="BQ150" s="3"/>
      <c r="BR150" s="3"/>
      <c r="BS150" s="3"/>
    </row>
    <row r="151" spans="1:71" ht="15">
      <c r="A151" s="65" t="s">
        <v>359</v>
      </c>
      <c r="B151" s="66"/>
      <c r="C151" s="66"/>
      <c r="D151" s="67">
        <v>575</v>
      </c>
      <c r="E151" s="69"/>
      <c r="F151" s="103" t="str">
        <f>HYPERLINK("https://yt3.ggpht.com/ytc/AAUvwngdtIUQz5mIiDUEJw0U67f8LvT3ObS0g87jhqjkw8w=s88-c-k-c0x00ffffff-no-rj")</f>
        <v>https://yt3.ggpht.com/ytc/AAUvwngdtIUQz5mIiDUEJw0U67f8LvT3ObS0g87jhqjkw8w=s88-c-k-c0x00ffffff-no-rj</v>
      </c>
      <c r="G151" s="66"/>
      <c r="H151" s="70" t="s">
        <v>1718</v>
      </c>
      <c r="I151" s="71"/>
      <c r="J151" s="71" t="s">
        <v>75</v>
      </c>
      <c r="K151" s="70" t="s">
        <v>1718</v>
      </c>
      <c r="L151" s="74">
        <v>286.65714285714284</v>
      </c>
      <c r="M151" s="75">
        <v>9264.3974609375</v>
      </c>
      <c r="N151" s="75">
        <v>4907.15234375</v>
      </c>
      <c r="O151" s="76"/>
      <c r="P151" s="77"/>
      <c r="Q151" s="77"/>
      <c r="R151" s="89"/>
      <c r="S151" s="49">
        <v>3</v>
      </c>
      <c r="T151" s="49">
        <v>1</v>
      </c>
      <c r="U151" s="50">
        <v>557</v>
      </c>
      <c r="V151" s="50">
        <v>0.000741</v>
      </c>
      <c r="W151" s="50">
        <v>0</v>
      </c>
      <c r="X151" s="50">
        <v>1.556279</v>
      </c>
      <c r="Y151" s="50">
        <v>0.08333333333333333</v>
      </c>
      <c r="Z151" s="50">
        <v>0</v>
      </c>
      <c r="AA151" s="72">
        <v>151</v>
      </c>
      <c r="AB151" s="72"/>
      <c r="AC151" s="73"/>
      <c r="AD151" s="80" t="s">
        <v>1718</v>
      </c>
      <c r="AE151" s="80"/>
      <c r="AF151" s="80"/>
      <c r="AG151" s="80"/>
      <c r="AH151" s="80"/>
      <c r="AI151" s="80"/>
      <c r="AJ151" s="87">
        <v>42790.71497685185</v>
      </c>
      <c r="AK151" s="85" t="str">
        <f>HYPERLINK("https://yt3.ggpht.com/ytc/AAUvwngdtIUQz5mIiDUEJw0U67f8LvT3ObS0g87jhqjkw8w=s88-c-k-c0x00ffffff-no-rj")</f>
        <v>https://yt3.ggpht.com/ytc/AAUvwngdtIUQz5mIiDUEJw0U67f8LvT3ObS0g87jhqjkw8w=s88-c-k-c0x00ffffff-no-rj</v>
      </c>
      <c r="AL151" s="80">
        <v>0</v>
      </c>
      <c r="AM151" s="80">
        <v>0</v>
      </c>
      <c r="AN151" s="80">
        <v>2</v>
      </c>
      <c r="AO151" s="80" t="b">
        <v>0</v>
      </c>
      <c r="AP151" s="80">
        <v>0</v>
      </c>
      <c r="AQ151" s="80"/>
      <c r="AR151" s="80"/>
      <c r="AS151" s="80" t="s">
        <v>2664</v>
      </c>
      <c r="AT151" s="85" t="str">
        <f>HYPERLINK("https://www.youtube.com/channel/UClfh30g-tJ5OshRVhyFrGMg")</f>
        <v>https://www.youtube.com/channel/UClfh30g-tJ5OshRVhyFrGMg</v>
      </c>
      <c r="AU151" s="80" t="str">
        <f>REPLACE(INDEX(GroupVertices[Group],MATCH(Vertices[[#This Row],[Vertex]],GroupVertices[Vertex],0)),1,1,"")</f>
        <v>8</v>
      </c>
      <c r="AV151" s="49">
        <v>1</v>
      </c>
      <c r="AW151" s="50">
        <v>3.8461538461538463</v>
      </c>
      <c r="AX151" s="49">
        <v>0</v>
      </c>
      <c r="AY151" s="50">
        <v>0</v>
      </c>
      <c r="AZ151" s="49">
        <v>0</v>
      </c>
      <c r="BA151" s="50">
        <v>0</v>
      </c>
      <c r="BB151" s="49">
        <v>25</v>
      </c>
      <c r="BC151" s="50">
        <v>96.15384615384616</v>
      </c>
      <c r="BD151" s="49">
        <v>26</v>
      </c>
      <c r="BE151" s="49"/>
      <c r="BF151" s="49"/>
      <c r="BG151" s="49"/>
      <c r="BH151" s="49"/>
      <c r="BI151" s="49"/>
      <c r="BJ151" s="49"/>
      <c r="BK151" s="111" t="s">
        <v>3779</v>
      </c>
      <c r="BL151" s="111" t="s">
        <v>3779</v>
      </c>
      <c r="BM151" s="111" t="s">
        <v>4249</v>
      </c>
      <c r="BN151" s="111" t="s">
        <v>4249</v>
      </c>
      <c r="BO151" s="2"/>
      <c r="BP151" s="3"/>
      <c r="BQ151" s="3"/>
      <c r="BR151" s="3"/>
      <c r="BS151" s="3"/>
    </row>
    <row r="152" spans="1:71" ht="15">
      <c r="A152" s="65" t="s">
        <v>357</v>
      </c>
      <c r="B152" s="66"/>
      <c r="C152" s="66"/>
      <c r="D152" s="67">
        <v>150</v>
      </c>
      <c r="E152" s="69"/>
      <c r="F152" s="103" t="str">
        <f>HYPERLINK("https://yt3.ggpht.com/ytc/AAUvwnhhqTj0KLkFyllYAZhy-1pXE5NvCi9RMJO7nq5RSQ=s88-c-k-c0x00ffffff-no-rj")</f>
        <v>https://yt3.ggpht.com/ytc/AAUvwnhhqTj0KLkFyllYAZhy-1pXE5NvCi9RMJO7nq5RSQ=s88-c-k-c0x00ffffff-no-rj</v>
      </c>
      <c r="G152" s="66"/>
      <c r="H152" s="70" t="s">
        <v>1716</v>
      </c>
      <c r="I152" s="71"/>
      <c r="J152" s="71" t="s">
        <v>159</v>
      </c>
      <c r="K152" s="70" t="s">
        <v>1716</v>
      </c>
      <c r="L152" s="74">
        <v>1</v>
      </c>
      <c r="M152" s="75">
        <v>9315.578125</v>
      </c>
      <c r="N152" s="75">
        <v>4435.97265625</v>
      </c>
      <c r="O152" s="76"/>
      <c r="P152" s="77"/>
      <c r="Q152" s="77"/>
      <c r="R152" s="89"/>
      <c r="S152" s="49">
        <v>0</v>
      </c>
      <c r="T152" s="49">
        <v>2</v>
      </c>
      <c r="U152" s="50">
        <v>476</v>
      </c>
      <c r="V152" s="50">
        <v>0.000879</v>
      </c>
      <c r="W152" s="50">
        <v>0</v>
      </c>
      <c r="X152" s="50">
        <v>0.799754</v>
      </c>
      <c r="Y152" s="50">
        <v>0</v>
      </c>
      <c r="Z152" s="50">
        <v>0</v>
      </c>
      <c r="AA152" s="72">
        <v>152</v>
      </c>
      <c r="AB152" s="72"/>
      <c r="AC152" s="73"/>
      <c r="AD152" s="80" t="s">
        <v>1716</v>
      </c>
      <c r="AE152" s="80"/>
      <c r="AF152" s="80"/>
      <c r="AG152" s="80"/>
      <c r="AH152" s="80"/>
      <c r="AI152" s="80"/>
      <c r="AJ152" s="87">
        <v>40623.320439814815</v>
      </c>
      <c r="AK152" s="85" t="str">
        <f>HYPERLINK("https://yt3.ggpht.com/ytc/AAUvwnhhqTj0KLkFyllYAZhy-1pXE5NvCi9RMJO7nq5RSQ=s88-c-k-c0x00ffffff-no-rj")</f>
        <v>https://yt3.ggpht.com/ytc/AAUvwnhhqTj0KLkFyllYAZhy-1pXE5NvCi9RMJO7nq5RSQ=s88-c-k-c0x00ffffff-no-rj</v>
      </c>
      <c r="AL152" s="80">
        <v>0</v>
      </c>
      <c r="AM152" s="80">
        <v>0</v>
      </c>
      <c r="AN152" s="80">
        <v>0</v>
      </c>
      <c r="AO152" s="80" t="b">
        <v>0</v>
      </c>
      <c r="AP152" s="80">
        <v>0</v>
      </c>
      <c r="AQ152" s="80"/>
      <c r="AR152" s="80"/>
      <c r="AS152" s="80" t="s">
        <v>2664</v>
      </c>
      <c r="AT152" s="85" t="str">
        <f>HYPERLINK("https://www.youtube.com/channel/UCNBzhuZVqfO4lQS1eSMokLw")</f>
        <v>https://www.youtube.com/channel/UCNBzhuZVqfO4lQS1eSMokLw</v>
      </c>
      <c r="AU152" s="80" t="str">
        <f>REPLACE(INDEX(GroupVertices[Group],MATCH(Vertices[[#This Row],[Vertex]],GroupVertices[Vertex],0)),1,1,"")</f>
        <v>8</v>
      </c>
      <c r="AV152" s="49">
        <v>4</v>
      </c>
      <c r="AW152" s="50">
        <v>6.896551724137931</v>
      </c>
      <c r="AX152" s="49">
        <v>0</v>
      </c>
      <c r="AY152" s="50">
        <v>0</v>
      </c>
      <c r="AZ152" s="49">
        <v>0</v>
      </c>
      <c r="BA152" s="50">
        <v>0</v>
      </c>
      <c r="BB152" s="49">
        <v>54</v>
      </c>
      <c r="BC152" s="50">
        <v>93.10344827586206</v>
      </c>
      <c r="BD152" s="49">
        <v>58</v>
      </c>
      <c r="BE152" s="49"/>
      <c r="BF152" s="49"/>
      <c r="BG152" s="49"/>
      <c r="BH152" s="49"/>
      <c r="BI152" s="49"/>
      <c r="BJ152" s="49"/>
      <c r="BK152" s="111" t="s">
        <v>3780</v>
      </c>
      <c r="BL152" s="111" t="s">
        <v>4122</v>
      </c>
      <c r="BM152" s="111" t="s">
        <v>4250</v>
      </c>
      <c r="BN152" s="111" t="s">
        <v>4578</v>
      </c>
      <c r="BO152" s="2"/>
      <c r="BP152" s="3"/>
      <c r="BQ152" s="3"/>
      <c r="BR152" s="3"/>
      <c r="BS152" s="3"/>
    </row>
    <row r="153" spans="1:71" ht="15">
      <c r="A153" s="65" t="s">
        <v>358</v>
      </c>
      <c r="B153" s="66"/>
      <c r="C153" s="66"/>
      <c r="D153" s="67">
        <v>150</v>
      </c>
      <c r="E153" s="69"/>
      <c r="F153" s="103" t="str">
        <f>HYPERLINK("https://yt3.ggpht.com/ytc/AAUvwniCjtj282jvpkGZAt88ulJ4z1DVs9jyVSC_Ii_yUQ=s88-c-k-c0x00ffffff-no-rj")</f>
        <v>https://yt3.ggpht.com/ytc/AAUvwniCjtj282jvpkGZAt88ulJ4z1DVs9jyVSC_Ii_yUQ=s88-c-k-c0x00ffffff-no-rj</v>
      </c>
      <c r="G153" s="66"/>
      <c r="H153" s="70" t="s">
        <v>1717</v>
      </c>
      <c r="I153" s="71"/>
      <c r="J153" s="71" t="s">
        <v>159</v>
      </c>
      <c r="K153" s="70" t="s">
        <v>1717</v>
      </c>
      <c r="L153" s="74">
        <v>1</v>
      </c>
      <c r="M153" s="75">
        <v>9288.6455078125</v>
      </c>
      <c r="N153" s="75">
        <v>5074.58154296875</v>
      </c>
      <c r="O153" s="76"/>
      <c r="P153" s="77"/>
      <c r="Q153" s="77"/>
      <c r="R153" s="89"/>
      <c r="S153" s="49">
        <v>0</v>
      </c>
      <c r="T153" s="49">
        <v>2</v>
      </c>
      <c r="U153" s="50">
        <v>0</v>
      </c>
      <c r="V153" s="50">
        <v>0.00074</v>
      </c>
      <c r="W153" s="50">
        <v>0</v>
      </c>
      <c r="X153" s="50">
        <v>0.798941</v>
      </c>
      <c r="Y153" s="50">
        <v>0.5</v>
      </c>
      <c r="Z153" s="50">
        <v>0</v>
      </c>
      <c r="AA153" s="72">
        <v>153</v>
      </c>
      <c r="AB153" s="72"/>
      <c r="AC153" s="73"/>
      <c r="AD153" s="80" t="s">
        <v>1717</v>
      </c>
      <c r="AE153" s="80"/>
      <c r="AF153" s="80"/>
      <c r="AG153" s="80"/>
      <c r="AH153" s="80"/>
      <c r="AI153" s="80"/>
      <c r="AJ153" s="87">
        <v>43407.63545138889</v>
      </c>
      <c r="AK153" s="85" t="str">
        <f>HYPERLINK("https://yt3.ggpht.com/ytc/AAUvwniCjtj282jvpkGZAt88ulJ4z1DVs9jyVSC_Ii_yUQ=s88-c-k-c0x00ffffff-no-rj")</f>
        <v>https://yt3.ggpht.com/ytc/AAUvwniCjtj282jvpkGZAt88ulJ4z1DVs9jyVSC_Ii_yUQ=s88-c-k-c0x00ffffff-no-rj</v>
      </c>
      <c r="AL153" s="80">
        <v>0</v>
      </c>
      <c r="AM153" s="80">
        <v>0</v>
      </c>
      <c r="AN153" s="80">
        <v>0</v>
      </c>
      <c r="AO153" s="80" t="b">
        <v>0</v>
      </c>
      <c r="AP153" s="80">
        <v>0</v>
      </c>
      <c r="AQ153" s="80"/>
      <c r="AR153" s="80"/>
      <c r="AS153" s="80" t="s">
        <v>2664</v>
      </c>
      <c r="AT153" s="85" t="str">
        <f>HYPERLINK("https://www.youtube.com/channel/UCHoiWtniOfz8Avpww_0UVnQ")</f>
        <v>https://www.youtube.com/channel/UCHoiWtniOfz8Avpww_0UVnQ</v>
      </c>
      <c r="AU153" s="80" t="str">
        <f>REPLACE(INDEX(GroupVertices[Group],MATCH(Vertices[[#This Row],[Vertex]],GroupVertices[Vertex],0)),1,1,"")</f>
        <v>8</v>
      </c>
      <c r="AV153" s="49">
        <v>0</v>
      </c>
      <c r="AW153" s="50">
        <v>0</v>
      </c>
      <c r="AX153" s="49">
        <v>0</v>
      </c>
      <c r="AY153" s="50">
        <v>0</v>
      </c>
      <c r="AZ153" s="49">
        <v>0</v>
      </c>
      <c r="BA153" s="50">
        <v>0</v>
      </c>
      <c r="BB153" s="49">
        <v>29</v>
      </c>
      <c r="BC153" s="50">
        <v>100</v>
      </c>
      <c r="BD153" s="49">
        <v>29</v>
      </c>
      <c r="BE153" s="49" t="s">
        <v>3467</v>
      </c>
      <c r="BF153" s="49" t="s">
        <v>3467</v>
      </c>
      <c r="BG153" s="49" t="s">
        <v>2379</v>
      </c>
      <c r="BH153" s="49" t="s">
        <v>2379</v>
      </c>
      <c r="BI153" s="49"/>
      <c r="BJ153" s="49"/>
      <c r="BK153" s="111" t="s">
        <v>3781</v>
      </c>
      <c r="BL153" s="111" t="s">
        <v>3781</v>
      </c>
      <c r="BM153" s="111" t="s">
        <v>4251</v>
      </c>
      <c r="BN153" s="111" t="s">
        <v>4251</v>
      </c>
      <c r="BO153" s="2"/>
      <c r="BP153" s="3"/>
      <c r="BQ153" s="3"/>
      <c r="BR153" s="3"/>
      <c r="BS153" s="3"/>
    </row>
    <row r="154" spans="1:71" ht="15">
      <c r="A154" s="65" t="s">
        <v>360</v>
      </c>
      <c r="B154" s="66"/>
      <c r="C154" s="66"/>
      <c r="D154" s="67">
        <v>150</v>
      </c>
      <c r="E154" s="69"/>
      <c r="F154" s="103" t="str">
        <f>HYPERLINK("https://yt3.ggpht.com/ytc/AAUvwnj6rV9WEC-sGNu--mlODKjPpIiJWDB8WSj_762r=s88-c-k-c0x00ffffff-no-rj")</f>
        <v>https://yt3.ggpht.com/ytc/AAUvwnj6rV9WEC-sGNu--mlODKjPpIiJWDB8WSj_762r=s88-c-k-c0x00ffffff-no-rj</v>
      </c>
      <c r="G154" s="66"/>
      <c r="H154" s="70" t="s">
        <v>1719</v>
      </c>
      <c r="I154" s="71"/>
      <c r="J154" s="71" t="s">
        <v>159</v>
      </c>
      <c r="K154" s="70" t="s">
        <v>1719</v>
      </c>
      <c r="L154" s="74">
        <v>1</v>
      </c>
      <c r="M154" s="75">
        <v>7748.6943359375</v>
      </c>
      <c r="N154" s="75">
        <v>5613.2587890625</v>
      </c>
      <c r="O154" s="76"/>
      <c r="P154" s="77"/>
      <c r="Q154" s="77"/>
      <c r="R154" s="89"/>
      <c r="S154" s="49">
        <v>0</v>
      </c>
      <c r="T154" s="49">
        <v>1</v>
      </c>
      <c r="U154" s="50">
        <v>0</v>
      </c>
      <c r="V154" s="50">
        <v>0.000618</v>
      </c>
      <c r="W154" s="50">
        <v>0</v>
      </c>
      <c r="X154" s="50">
        <v>0.546377</v>
      </c>
      <c r="Y154" s="50">
        <v>0</v>
      </c>
      <c r="Z154" s="50">
        <v>0</v>
      </c>
      <c r="AA154" s="72">
        <v>154</v>
      </c>
      <c r="AB154" s="72"/>
      <c r="AC154" s="73"/>
      <c r="AD154" s="80" t="s">
        <v>1719</v>
      </c>
      <c r="AE154" s="80"/>
      <c r="AF154" s="80"/>
      <c r="AG154" s="80"/>
      <c r="AH154" s="80"/>
      <c r="AI154" s="80"/>
      <c r="AJ154" s="87">
        <v>43815.91107638889</v>
      </c>
      <c r="AK154" s="85" t="str">
        <f>HYPERLINK("https://yt3.ggpht.com/ytc/AAUvwnj6rV9WEC-sGNu--mlODKjPpIiJWDB8WSj_762r=s88-c-k-c0x00ffffff-no-rj")</f>
        <v>https://yt3.ggpht.com/ytc/AAUvwnj6rV9WEC-sGNu--mlODKjPpIiJWDB8WSj_762r=s88-c-k-c0x00ffffff-no-rj</v>
      </c>
      <c r="AL154" s="80">
        <v>0</v>
      </c>
      <c r="AM154" s="80">
        <v>0</v>
      </c>
      <c r="AN154" s="80">
        <v>1</v>
      </c>
      <c r="AO154" s="80" t="b">
        <v>0</v>
      </c>
      <c r="AP154" s="80">
        <v>0</v>
      </c>
      <c r="AQ154" s="80"/>
      <c r="AR154" s="80"/>
      <c r="AS154" s="80" t="s">
        <v>2664</v>
      </c>
      <c r="AT154" s="85" t="str">
        <f>HYPERLINK("https://www.youtube.com/channel/UCT1QRFUF5lMy0ECMKFIMeDw")</f>
        <v>https://www.youtube.com/channel/UCT1QRFUF5lMy0ECMKFIMeDw</v>
      </c>
      <c r="AU154" s="80" t="str">
        <f>REPLACE(INDEX(GroupVertices[Group],MATCH(Vertices[[#This Row],[Vertex]],GroupVertices[Vertex],0)),1,1,"")</f>
        <v>8</v>
      </c>
      <c r="AV154" s="49">
        <v>1</v>
      </c>
      <c r="AW154" s="50">
        <v>16.666666666666668</v>
      </c>
      <c r="AX154" s="49">
        <v>0</v>
      </c>
      <c r="AY154" s="50">
        <v>0</v>
      </c>
      <c r="AZ154" s="49">
        <v>0</v>
      </c>
      <c r="BA154" s="50">
        <v>0</v>
      </c>
      <c r="BB154" s="49">
        <v>5</v>
      </c>
      <c r="BC154" s="50">
        <v>83.33333333333333</v>
      </c>
      <c r="BD154" s="49">
        <v>6</v>
      </c>
      <c r="BE154" s="49"/>
      <c r="BF154" s="49"/>
      <c r="BG154" s="49"/>
      <c r="BH154" s="49"/>
      <c r="BI154" s="49"/>
      <c r="BJ154" s="49"/>
      <c r="BK154" s="111" t="s">
        <v>3782</v>
      </c>
      <c r="BL154" s="111" t="s">
        <v>3782</v>
      </c>
      <c r="BM154" s="111" t="s">
        <v>4252</v>
      </c>
      <c r="BN154" s="111" t="s">
        <v>4252</v>
      </c>
      <c r="BO154" s="2"/>
      <c r="BP154" s="3"/>
      <c r="BQ154" s="3"/>
      <c r="BR154" s="3"/>
      <c r="BS154" s="3"/>
    </row>
    <row r="155" spans="1:71" ht="15">
      <c r="A155" s="65" t="s">
        <v>361</v>
      </c>
      <c r="B155" s="66"/>
      <c r="C155" s="66"/>
      <c r="D155" s="67">
        <v>291.66666666666663</v>
      </c>
      <c r="E155" s="69"/>
      <c r="F155" s="103" t="str">
        <f>HYPERLINK("https://yt3.ggpht.com/ytc/AAUvwnjFob51OniwDX66OdAHKZxpQQ09D5g2tvf1zycW=s88-c-k-c0x00ffffff-no-rj")</f>
        <v>https://yt3.ggpht.com/ytc/AAUvwnjFob51OniwDX66OdAHKZxpQQ09D5g2tvf1zycW=s88-c-k-c0x00ffffff-no-rj</v>
      </c>
      <c r="G155" s="66"/>
      <c r="H155" s="70" t="s">
        <v>1720</v>
      </c>
      <c r="I155" s="71"/>
      <c r="J155" s="71" t="s">
        <v>159</v>
      </c>
      <c r="K155" s="70" t="s">
        <v>1720</v>
      </c>
      <c r="L155" s="74">
        <v>96.21904761904761</v>
      </c>
      <c r="M155" s="75">
        <v>8243.1484375</v>
      </c>
      <c r="N155" s="75">
        <v>5494.58837890625</v>
      </c>
      <c r="O155" s="76"/>
      <c r="P155" s="77"/>
      <c r="Q155" s="77"/>
      <c r="R155" s="89"/>
      <c r="S155" s="49">
        <v>1</v>
      </c>
      <c r="T155" s="49">
        <v>1</v>
      </c>
      <c r="U155" s="50">
        <v>530</v>
      </c>
      <c r="V155" s="50">
        <v>0.00074</v>
      </c>
      <c r="W155" s="50">
        <v>0</v>
      </c>
      <c r="X155" s="50">
        <v>0.932652</v>
      </c>
      <c r="Y155" s="50">
        <v>0</v>
      </c>
      <c r="Z155" s="50">
        <v>0</v>
      </c>
      <c r="AA155" s="72">
        <v>155</v>
      </c>
      <c r="AB155" s="72"/>
      <c r="AC155" s="73"/>
      <c r="AD155" s="80" t="s">
        <v>1720</v>
      </c>
      <c r="AE155" s="80"/>
      <c r="AF155" s="80"/>
      <c r="AG155" s="80"/>
      <c r="AH155" s="80"/>
      <c r="AI155" s="80"/>
      <c r="AJ155" s="87">
        <v>43920.62081018519</v>
      </c>
      <c r="AK155" s="85" t="str">
        <f>HYPERLINK("https://yt3.ggpht.com/ytc/AAUvwnjFob51OniwDX66OdAHKZxpQQ09D5g2tvf1zycW=s88-c-k-c0x00ffffff-no-rj")</f>
        <v>https://yt3.ggpht.com/ytc/AAUvwnjFob51OniwDX66OdAHKZxpQQ09D5g2tvf1zycW=s88-c-k-c0x00ffffff-no-rj</v>
      </c>
      <c r="AL155" s="80">
        <v>0</v>
      </c>
      <c r="AM155" s="80">
        <v>0</v>
      </c>
      <c r="AN155" s="80">
        <v>1</v>
      </c>
      <c r="AO155" s="80" t="b">
        <v>0</v>
      </c>
      <c r="AP155" s="80">
        <v>0</v>
      </c>
      <c r="AQ155" s="80"/>
      <c r="AR155" s="80"/>
      <c r="AS155" s="80" t="s">
        <v>2664</v>
      </c>
      <c r="AT155" s="85" t="str">
        <f>HYPERLINK("https://www.youtube.com/channel/UCrMaHGk5LbL3alwvmnOM1QA")</f>
        <v>https://www.youtube.com/channel/UCrMaHGk5LbL3alwvmnOM1QA</v>
      </c>
      <c r="AU155" s="80" t="str">
        <f>REPLACE(INDEX(GroupVertices[Group],MATCH(Vertices[[#This Row],[Vertex]],GroupVertices[Vertex],0)),1,1,"")</f>
        <v>8</v>
      </c>
      <c r="AV155" s="49">
        <v>0</v>
      </c>
      <c r="AW155" s="50">
        <v>0</v>
      </c>
      <c r="AX155" s="49">
        <v>1</v>
      </c>
      <c r="AY155" s="50">
        <v>7.6923076923076925</v>
      </c>
      <c r="AZ155" s="49">
        <v>0</v>
      </c>
      <c r="BA155" s="50">
        <v>0</v>
      </c>
      <c r="BB155" s="49">
        <v>12</v>
      </c>
      <c r="BC155" s="50">
        <v>92.3076923076923</v>
      </c>
      <c r="BD155" s="49">
        <v>13</v>
      </c>
      <c r="BE155" s="49"/>
      <c r="BF155" s="49"/>
      <c r="BG155" s="49"/>
      <c r="BH155" s="49"/>
      <c r="BI155" s="49"/>
      <c r="BJ155" s="49"/>
      <c r="BK155" s="111" t="s">
        <v>3783</v>
      </c>
      <c r="BL155" s="111" t="s">
        <v>3783</v>
      </c>
      <c r="BM155" s="111" t="s">
        <v>4253</v>
      </c>
      <c r="BN155" s="111" t="s">
        <v>4253</v>
      </c>
      <c r="BO155" s="2"/>
      <c r="BP155" s="3"/>
      <c r="BQ155" s="3"/>
      <c r="BR155" s="3"/>
      <c r="BS155" s="3"/>
    </row>
    <row r="156" spans="1:71" ht="15">
      <c r="A156" s="65" t="s">
        <v>362</v>
      </c>
      <c r="B156" s="66"/>
      <c r="C156" s="66"/>
      <c r="D156" s="67">
        <v>150</v>
      </c>
      <c r="E156" s="69"/>
      <c r="F156" s="103" t="str">
        <f>HYPERLINK("https://yt3.ggpht.com/ytc/AAUvwngDrSWmd35Xg0gFImh2KkgI7H_UoejG-OYLm67-=s88-c-k-c0x00ffffff-no-rj")</f>
        <v>https://yt3.ggpht.com/ytc/AAUvwngDrSWmd35Xg0gFImh2KkgI7H_UoejG-OYLm67-=s88-c-k-c0x00ffffff-no-rj</v>
      </c>
      <c r="G156" s="66"/>
      <c r="H156" s="70" t="s">
        <v>1721</v>
      </c>
      <c r="I156" s="71"/>
      <c r="J156" s="71" t="s">
        <v>159</v>
      </c>
      <c r="K156" s="70" t="s">
        <v>1721</v>
      </c>
      <c r="L156" s="74">
        <v>1</v>
      </c>
      <c r="M156" s="75">
        <v>9386.509765625</v>
      </c>
      <c r="N156" s="75">
        <v>5300.0087890625</v>
      </c>
      <c r="O156" s="76"/>
      <c r="P156" s="77"/>
      <c r="Q156" s="77"/>
      <c r="R156" s="89"/>
      <c r="S156" s="49">
        <v>0</v>
      </c>
      <c r="T156" s="49">
        <v>1</v>
      </c>
      <c r="U156" s="50">
        <v>0</v>
      </c>
      <c r="V156" s="50">
        <v>0.000739</v>
      </c>
      <c r="W156" s="50">
        <v>0</v>
      </c>
      <c r="X156" s="50">
        <v>0.468231</v>
      </c>
      <c r="Y156" s="50">
        <v>0</v>
      </c>
      <c r="Z156" s="50">
        <v>0</v>
      </c>
      <c r="AA156" s="72">
        <v>156</v>
      </c>
      <c r="AB156" s="72"/>
      <c r="AC156" s="73"/>
      <c r="AD156" s="80" t="s">
        <v>1721</v>
      </c>
      <c r="AE156" s="80"/>
      <c r="AF156" s="80"/>
      <c r="AG156" s="80"/>
      <c r="AH156" s="80"/>
      <c r="AI156" s="80"/>
      <c r="AJ156" s="87">
        <v>44138.79074074074</v>
      </c>
      <c r="AK156" s="85" t="str">
        <f>HYPERLINK("https://yt3.ggpht.com/ytc/AAUvwngDrSWmd35Xg0gFImh2KkgI7H_UoejG-OYLm67-=s88-c-k-c0x00ffffff-no-rj")</f>
        <v>https://yt3.ggpht.com/ytc/AAUvwngDrSWmd35Xg0gFImh2KkgI7H_UoejG-OYLm67-=s88-c-k-c0x00ffffff-no-rj</v>
      </c>
      <c r="AL156" s="80">
        <v>0</v>
      </c>
      <c r="AM156" s="80">
        <v>0</v>
      </c>
      <c r="AN156" s="80">
        <v>0</v>
      </c>
      <c r="AO156" s="80" t="b">
        <v>0</v>
      </c>
      <c r="AP156" s="80">
        <v>0</v>
      </c>
      <c r="AQ156" s="80"/>
      <c r="AR156" s="80"/>
      <c r="AS156" s="80" t="s">
        <v>2664</v>
      </c>
      <c r="AT156" s="85" t="str">
        <f>HYPERLINK("https://www.youtube.com/channel/UCg4d6l9MowtoLE4uqrcBnxA")</f>
        <v>https://www.youtube.com/channel/UCg4d6l9MowtoLE4uqrcBnxA</v>
      </c>
      <c r="AU156" s="80" t="str">
        <f>REPLACE(INDEX(GroupVertices[Group],MATCH(Vertices[[#This Row],[Vertex]],GroupVertices[Vertex],0)),1,1,"")</f>
        <v>8</v>
      </c>
      <c r="AV156" s="49">
        <v>2</v>
      </c>
      <c r="AW156" s="50">
        <v>8</v>
      </c>
      <c r="AX156" s="49">
        <v>0</v>
      </c>
      <c r="AY156" s="50">
        <v>0</v>
      </c>
      <c r="AZ156" s="49">
        <v>0</v>
      </c>
      <c r="BA156" s="50">
        <v>0</v>
      </c>
      <c r="BB156" s="49">
        <v>23</v>
      </c>
      <c r="BC156" s="50">
        <v>92</v>
      </c>
      <c r="BD156" s="49">
        <v>25</v>
      </c>
      <c r="BE156" s="49" t="s">
        <v>3465</v>
      </c>
      <c r="BF156" s="49" t="s">
        <v>3465</v>
      </c>
      <c r="BG156" s="49" t="s">
        <v>3491</v>
      </c>
      <c r="BH156" s="49" t="s">
        <v>3491</v>
      </c>
      <c r="BI156" s="49"/>
      <c r="BJ156" s="49"/>
      <c r="BK156" s="111" t="s">
        <v>3784</v>
      </c>
      <c r="BL156" s="111" t="s">
        <v>3784</v>
      </c>
      <c r="BM156" s="111" t="s">
        <v>4254</v>
      </c>
      <c r="BN156" s="111" t="s">
        <v>4254</v>
      </c>
      <c r="BO156" s="2"/>
      <c r="BP156" s="3"/>
      <c r="BQ156" s="3"/>
      <c r="BR156" s="3"/>
      <c r="BS156" s="3"/>
    </row>
    <row r="157" spans="1:71" ht="15">
      <c r="A157" s="65" t="s">
        <v>363</v>
      </c>
      <c r="B157" s="66"/>
      <c r="C157" s="66"/>
      <c r="D157" s="67">
        <v>150</v>
      </c>
      <c r="E157" s="69"/>
      <c r="F157" s="103" t="str">
        <f>HYPERLINK("https://yt3.ggpht.com/ytc/AAUvwnglKbmhIre-Fy_USVYKhrwER5Z2dhxoL-gcwIG2=s88-c-k-c0x00ffffff-no-rj")</f>
        <v>https://yt3.ggpht.com/ytc/AAUvwnglKbmhIre-Fy_USVYKhrwER5Z2dhxoL-gcwIG2=s88-c-k-c0x00ffffff-no-rj</v>
      </c>
      <c r="G157" s="66"/>
      <c r="H157" s="70" t="s">
        <v>1722</v>
      </c>
      <c r="I157" s="71"/>
      <c r="J157" s="71" t="s">
        <v>159</v>
      </c>
      <c r="K157" s="70" t="s">
        <v>1722</v>
      </c>
      <c r="L157" s="74">
        <v>1</v>
      </c>
      <c r="M157" s="75">
        <v>8708.90625</v>
      </c>
      <c r="N157" s="75">
        <v>4837.48974609375</v>
      </c>
      <c r="O157" s="76"/>
      <c r="P157" s="77"/>
      <c r="Q157" s="77"/>
      <c r="R157" s="89"/>
      <c r="S157" s="49">
        <v>0</v>
      </c>
      <c r="T157" s="49">
        <v>1</v>
      </c>
      <c r="U157" s="50">
        <v>0</v>
      </c>
      <c r="V157" s="50">
        <v>0.000739</v>
      </c>
      <c r="W157" s="50">
        <v>0</v>
      </c>
      <c r="X157" s="50">
        <v>0.468231</v>
      </c>
      <c r="Y157" s="50">
        <v>0</v>
      </c>
      <c r="Z157" s="50">
        <v>0</v>
      </c>
      <c r="AA157" s="72">
        <v>157</v>
      </c>
      <c r="AB157" s="72"/>
      <c r="AC157" s="73"/>
      <c r="AD157" s="80" t="s">
        <v>1722</v>
      </c>
      <c r="AE157" s="80" t="s">
        <v>2466</v>
      </c>
      <c r="AF157" s="80"/>
      <c r="AG157" s="80"/>
      <c r="AH157" s="80"/>
      <c r="AI157" s="80"/>
      <c r="AJ157" s="87">
        <v>43945.73263888889</v>
      </c>
      <c r="AK157" s="85" t="str">
        <f>HYPERLINK("https://yt3.ggpht.com/ytc/AAUvwnglKbmhIre-Fy_USVYKhrwER5Z2dhxoL-gcwIG2=s88-c-k-c0x00ffffff-no-rj")</f>
        <v>https://yt3.ggpht.com/ytc/AAUvwnglKbmhIre-Fy_USVYKhrwER5Z2dhxoL-gcwIG2=s88-c-k-c0x00ffffff-no-rj</v>
      </c>
      <c r="AL157" s="80">
        <v>4003</v>
      </c>
      <c r="AM157" s="80">
        <v>0</v>
      </c>
      <c r="AN157" s="80">
        <v>303</v>
      </c>
      <c r="AO157" s="80" t="b">
        <v>0</v>
      </c>
      <c r="AP157" s="80">
        <v>23</v>
      </c>
      <c r="AQ157" s="80"/>
      <c r="AR157" s="80"/>
      <c r="AS157" s="80" t="s">
        <v>2664</v>
      </c>
      <c r="AT157" s="85" t="str">
        <f>HYPERLINK("https://www.youtube.com/channel/UC-FODGYAtQLqV-hJyi7ruUg")</f>
        <v>https://www.youtube.com/channel/UC-FODGYAtQLqV-hJyi7ruUg</v>
      </c>
      <c r="AU157" s="80" t="str">
        <f>REPLACE(INDEX(GroupVertices[Group],MATCH(Vertices[[#This Row],[Vertex]],GroupVertices[Vertex],0)),1,1,"")</f>
        <v>8</v>
      </c>
      <c r="AV157" s="49">
        <v>1</v>
      </c>
      <c r="AW157" s="50">
        <v>2.380952380952381</v>
      </c>
      <c r="AX157" s="49">
        <v>1</v>
      </c>
      <c r="AY157" s="50">
        <v>2.380952380952381</v>
      </c>
      <c r="AZ157" s="49">
        <v>0</v>
      </c>
      <c r="BA157" s="50">
        <v>0</v>
      </c>
      <c r="BB157" s="49">
        <v>40</v>
      </c>
      <c r="BC157" s="50">
        <v>95.23809523809524</v>
      </c>
      <c r="BD157" s="49">
        <v>42</v>
      </c>
      <c r="BE157" s="49" t="s">
        <v>3466</v>
      </c>
      <c r="BF157" s="49" t="s">
        <v>3466</v>
      </c>
      <c r="BG157" s="49" t="s">
        <v>2379</v>
      </c>
      <c r="BH157" s="49" t="s">
        <v>2379</v>
      </c>
      <c r="BI157" s="49"/>
      <c r="BJ157" s="49"/>
      <c r="BK157" s="111" t="s">
        <v>3785</v>
      </c>
      <c r="BL157" s="111" t="s">
        <v>3785</v>
      </c>
      <c r="BM157" s="111" t="s">
        <v>4255</v>
      </c>
      <c r="BN157" s="111" t="s">
        <v>4255</v>
      </c>
      <c r="BO157" s="2"/>
      <c r="BP157" s="3"/>
      <c r="BQ157" s="3"/>
      <c r="BR157" s="3"/>
      <c r="BS157" s="3"/>
    </row>
    <row r="158" spans="1:71" ht="15">
      <c r="A158" s="65" t="s">
        <v>364</v>
      </c>
      <c r="B158" s="66"/>
      <c r="C158" s="66"/>
      <c r="D158" s="67">
        <v>150</v>
      </c>
      <c r="E158" s="69"/>
      <c r="F158" s="103" t="str">
        <f>HYPERLINK("https://yt3.ggpht.com/ytc/AAUvwnhiwy7DBBmU-_5kojWeNMlmWLItNHWYlMM_06S5=s88-c-k-c0x00ffffff-no-rj")</f>
        <v>https://yt3.ggpht.com/ytc/AAUvwnhiwy7DBBmU-_5kojWeNMlmWLItNHWYlMM_06S5=s88-c-k-c0x00ffffff-no-rj</v>
      </c>
      <c r="G158" s="66"/>
      <c r="H158" s="70" t="s">
        <v>1723</v>
      </c>
      <c r="I158" s="71"/>
      <c r="J158" s="71" t="s">
        <v>159</v>
      </c>
      <c r="K158" s="70" t="s">
        <v>1723</v>
      </c>
      <c r="L158" s="74">
        <v>1</v>
      </c>
      <c r="M158" s="75">
        <v>9892.853515625</v>
      </c>
      <c r="N158" s="75">
        <v>5727.537109375</v>
      </c>
      <c r="O158" s="76"/>
      <c r="P158" s="77"/>
      <c r="Q158" s="77"/>
      <c r="R158" s="89"/>
      <c r="S158" s="49">
        <v>0</v>
      </c>
      <c r="T158" s="49">
        <v>1</v>
      </c>
      <c r="U158" s="50">
        <v>0</v>
      </c>
      <c r="V158" s="50">
        <v>0.000619</v>
      </c>
      <c r="W158" s="50">
        <v>0</v>
      </c>
      <c r="X158" s="50">
        <v>0.545335</v>
      </c>
      <c r="Y158" s="50">
        <v>0</v>
      </c>
      <c r="Z158" s="50">
        <v>0</v>
      </c>
      <c r="AA158" s="72">
        <v>158</v>
      </c>
      <c r="AB158" s="72"/>
      <c r="AC158" s="73"/>
      <c r="AD158" s="80" t="s">
        <v>1723</v>
      </c>
      <c r="AE158" s="80" t="s">
        <v>2467</v>
      </c>
      <c r="AF158" s="80"/>
      <c r="AG158" s="80"/>
      <c r="AH158" s="80"/>
      <c r="AI158" s="80"/>
      <c r="AJ158" s="87">
        <v>44063.906539351854</v>
      </c>
      <c r="AK158" s="85" t="str">
        <f>HYPERLINK("https://yt3.ggpht.com/ytc/AAUvwnhiwy7DBBmU-_5kojWeNMlmWLItNHWYlMM_06S5=s88-c-k-c0x00ffffff-no-rj")</f>
        <v>https://yt3.ggpht.com/ytc/AAUvwnhiwy7DBBmU-_5kojWeNMlmWLItNHWYlMM_06S5=s88-c-k-c0x00ffffff-no-rj</v>
      </c>
      <c r="AL158" s="80">
        <v>1318</v>
      </c>
      <c r="AM158" s="80">
        <v>0</v>
      </c>
      <c r="AN158" s="80">
        <v>37</v>
      </c>
      <c r="AO158" s="80" t="b">
        <v>0</v>
      </c>
      <c r="AP158" s="80">
        <v>7</v>
      </c>
      <c r="AQ158" s="80"/>
      <c r="AR158" s="80"/>
      <c r="AS158" s="80" t="s">
        <v>2664</v>
      </c>
      <c r="AT158" s="85" t="str">
        <f>HYPERLINK("https://www.youtube.com/channel/UCLZGKzxpgCoNQapxvw-l3yg")</f>
        <v>https://www.youtube.com/channel/UCLZGKzxpgCoNQapxvw-l3yg</v>
      </c>
      <c r="AU158" s="80" t="str">
        <f>REPLACE(INDEX(GroupVertices[Group],MATCH(Vertices[[#This Row],[Vertex]],GroupVertices[Vertex],0)),1,1,"")</f>
        <v>8</v>
      </c>
      <c r="AV158" s="49">
        <v>0</v>
      </c>
      <c r="AW158" s="50">
        <v>0</v>
      </c>
      <c r="AX158" s="49">
        <v>0</v>
      </c>
      <c r="AY158" s="50">
        <v>0</v>
      </c>
      <c r="AZ158" s="49">
        <v>0</v>
      </c>
      <c r="BA158" s="50">
        <v>0</v>
      </c>
      <c r="BB158" s="49">
        <v>15</v>
      </c>
      <c r="BC158" s="50">
        <v>100</v>
      </c>
      <c r="BD158" s="49">
        <v>15</v>
      </c>
      <c r="BE158" s="49"/>
      <c r="BF158" s="49"/>
      <c r="BG158" s="49"/>
      <c r="BH158" s="49"/>
      <c r="BI158" s="49"/>
      <c r="BJ158" s="49"/>
      <c r="BK158" s="111" t="s">
        <v>3786</v>
      </c>
      <c r="BL158" s="111" t="s">
        <v>3786</v>
      </c>
      <c r="BM158" s="111" t="s">
        <v>4256</v>
      </c>
      <c r="BN158" s="111" t="s">
        <v>4256</v>
      </c>
      <c r="BO158" s="2"/>
      <c r="BP158" s="3"/>
      <c r="BQ158" s="3"/>
      <c r="BR158" s="3"/>
      <c r="BS158" s="3"/>
    </row>
    <row r="159" spans="1:71" ht="15">
      <c r="A159" s="65" t="s">
        <v>366</v>
      </c>
      <c r="B159" s="66"/>
      <c r="C159" s="66"/>
      <c r="D159" s="67">
        <v>433.3333333333333</v>
      </c>
      <c r="E159" s="69"/>
      <c r="F159" s="103" t="str">
        <f>HYPERLINK("https://yt3.ggpht.com/ytc/AAUvwniBcR290pbY7c5CXk5pYefbnGNYwc0Qxd-WygbARw=s88-c-k-c0x00ffffff-no-rj")</f>
        <v>https://yt3.ggpht.com/ytc/AAUvwniBcR290pbY7c5CXk5pYefbnGNYwc0Qxd-WygbARw=s88-c-k-c0x00ffffff-no-rj</v>
      </c>
      <c r="G159" s="66"/>
      <c r="H159" s="70" t="s">
        <v>1725</v>
      </c>
      <c r="I159" s="71"/>
      <c r="J159" s="71" t="s">
        <v>75</v>
      </c>
      <c r="K159" s="70" t="s">
        <v>1725</v>
      </c>
      <c r="L159" s="74">
        <v>191.43809523809523</v>
      </c>
      <c r="M159" s="75">
        <v>9384.2421875</v>
      </c>
      <c r="N159" s="75">
        <v>5655.86669921875</v>
      </c>
      <c r="O159" s="76"/>
      <c r="P159" s="77"/>
      <c r="Q159" s="77"/>
      <c r="R159" s="89"/>
      <c r="S159" s="49">
        <v>2</v>
      </c>
      <c r="T159" s="49">
        <v>1</v>
      </c>
      <c r="U159" s="50">
        <v>1058</v>
      </c>
      <c r="V159" s="50">
        <v>0.000741</v>
      </c>
      <c r="W159" s="50">
        <v>0</v>
      </c>
      <c r="X159" s="50">
        <v>1.395301</v>
      </c>
      <c r="Y159" s="50">
        <v>0</v>
      </c>
      <c r="Z159" s="50">
        <v>0</v>
      </c>
      <c r="AA159" s="72">
        <v>159</v>
      </c>
      <c r="AB159" s="72"/>
      <c r="AC159" s="73"/>
      <c r="AD159" s="80" t="s">
        <v>1725</v>
      </c>
      <c r="AE159" s="80"/>
      <c r="AF159" s="80"/>
      <c r="AG159" s="80"/>
      <c r="AH159" s="80"/>
      <c r="AI159" s="80"/>
      <c r="AJ159" s="87">
        <v>43664.63185185185</v>
      </c>
      <c r="AK159" s="85" t="str">
        <f>HYPERLINK("https://yt3.ggpht.com/ytc/AAUvwniBcR290pbY7c5CXk5pYefbnGNYwc0Qxd-WygbARw=s88-c-k-c0x00ffffff-no-rj")</f>
        <v>https://yt3.ggpht.com/ytc/AAUvwniBcR290pbY7c5CXk5pYefbnGNYwc0Qxd-WygbARw=s88-c-k-c0x00ffffff-no-rj</v>
      </c>
      <c r="AL159" s="80">
        <v>0</v>
      </c>
      <c r="AM159" s="80">
        <v>0</v>
      </c>
      <c r="AN159" s="80">
        <v>4</v>
      </c>
      <c r="AO159" s="80" t="b">
        <v>0</v>
      </c>
      <c r="AP159" s="80">
        <v>0</v>
      </c>
      <c r="AQ159" s="80"/>
      <c r="AR159" s="80"/>
      <c r="AS159" s="80" t="s">
        <v>2664</v>
      </c>
      <c r="AT159" s="85" t="str">
        <f>HYPERLINK("https://www.youtube.com/channel/UCcBdotqqwzvvVi_YKbWgYEQ")</f>
        <v>https://www.youtube.com/channel/UCcBdotqqwzvvVi_YKbWgYEQ</v>
      </c>
      <c r="AU159" s="80" t="str">
        <f>REPLACE(INDEX(GroupVertices[Group],MATCH(Vertices[[#This Row],[Vertex]],GroupVertices[Vertex],0)),1,1,"")</f>
        <v>8</v>
      </c>
      <c r="AV159" s="49">
        <v>0</v>
      </c>
      <c r="AW159" s="50">
        <v>0</v>
      </c>
      <c r="AX159" s="49">
        <v>1</v>
      </c>
      <c r="AY159" s="50">
        <v>6.666666666666667</v>
      </c>
      <c r="AZ159" s="49">
        <v>0</v>
      </c>
      <c r="BA159" s="50">
        <v>0</v>
      </c>
      <c r="BB159" s="49">
        <v>14</v>
      </c>
      <c r="BC159" s="50">
        <v>93.33333333333333</v>
      </c>
      <c r="BD159" s="49">
        <v>15</v>
      </c>
      <c r="BE159" s="49"/>
      <c r="BF159" s="49"/>
      <c r="BG159" s="49"/>
      <c r="BH159" s="49"/>
      <c r="BI159" s="49"/>
      <c r="BJ159" s="49"/>
      <c r="BK159" s="111" t="s">
        <v>3787</v>
      </c>
      <c r="BL159" s="111" t="s">
        <v>3787</v>
      </c>
      <c r="BM159" s="111" t="s">
        <v>4257</v>
      </c>
      <c r="BN159" s="111" t="s">
        <v>4257</v>
      </c>
      <c r="BO159" s="2"/>
      <c r="BP159" s="3"/>
      <c r="BQ159" s="3"/>
      <c r="BR159" s="3"/>
      <c r="BS159" s="3"/>
    </row>
    <row r="160" spans="1:71" ht="15">
      <c r="A160" s="65" t="s">
        <v>365</v>
      </c>
      <c r="B160" s="66"/>
      <c r="C160" s="66"/>
      <c r="D160" s="67">
        <v>150</v>
      </c>
      <c r="E160" s="69"/>
      <c r="F160" s="103" t="str">
        <f>HYPERLINK("https://yt3.ggpht.com/ytc/AAUvwnhszO0Tc73RGdtboieB7njZh9tAD059gfYzexexIw=s88-c-k-c0x00ffffff-no-rj")</f>
        <v>https://yt3.ggpht.com/ytc/AAUvwnhszO0Tc73RGdtboieB7njZh9tAD059gfYzexexIw=s88-c-k-c0x00ffffff-no-rj</v>
      </c>
      <c r="G160" s="66"/>
      <c r="H160" s="70" t="s">
        <v>1724</v>
      </c>
      <c r="I160" s="71"/>
      <c r="J160" s="71" t="s">
        <v>159</v>
      </c>
      <c r="K160" s="70" t="s">
        <v>1724</v>
      </c>
      <c r="L160" s="74">
        <v>1</v>
      </c>
      <c r="M160" s="75">
        <v>9617.8291015625</v>
      </c>
      <c r="N160" s="75">
        <v>6095.69140625</v>
      </c>
      <c r="O160" s="76"/>
      <c r="P160" s="77"/>
      <c r="Q160" s="77"/>
      <c r="R160" s="89"/>
      <c r="S160" s="49">
        <v>0</v>
      </c>
      <c r="T160" s="49">
        <v>1</v>
      </c>
      <c r="U160" s="50">
        <v>0</v>
      </c>
      <c r="V160" s="50">
        <v>0.000619</v>
      </c>
      <c r="W160" s="50">
        <v>0</v>
      </c>
      <c r="X160" s="50">
        <v>0.545335</v>
      </c>
      <c r="Y160" s="50">
        <v>0</v>
      </c>
      <c r="Z160" s="50">
        <v>0</v>
      </c>
      <c r="AA160" s="72">
        <v>160</v>
      </c>
      <c r="AB160" s="72"/>
      <c r="AC160" s="73"/>
      <c r="AD160" s="80" t="s">
        <v>1724</v>
      </c>
      <c r="AE160" s="80" t="s">
        <v>2468</v>
      </c>
      <c r="AF160" s="80"/>
      <c r="AG160" s="80"/>
      <c r="AH160" s="80"/>
      <c r="AI160" s="80"/>
      <c r="AJ160" s="87">
        <v>42804.72893518519</v>
      </c>
      <c r="AK160" s="85" t="str">
        <f>HYPERLINK("https://yt3.ggpht.com/ytc/AAUvwnhszO0Tc73RGdtboieB7njZh9tAD059gfYzexexIw=s88-c-k-c0x00ffffff-no-rj")</f>
        <v>https://yt3.ggpht.com/ytc/AAUvwnhszO0Tc73RGdtboieB7njZh9tAD059gfYzexexIw=s88-c-k-c0x00ffffff-no-rj</v>
      </c>
      <c r="AL160" s="80">
        <v>175</v>
      </c>
      <c r="AM160" s="80">
        <v>0</v>
      </c>
      <c r="AN160" s="80">
        <v>9</v>
      </c>
      <c r="AO160" s="80" t="b">
        <v>0</v>
      </c>
      <c r="AP160" s="80">
        <v>10</v>
      </c>
      <c r="AQ160" s="80"/>
      <c r="AR160" s="80"/>
      <c r="AS160" s="80" t="s">
        <v>2664</v>
      </c>
      <c r="AT160" s="85" t="str">
        <f>HYPERLINK("https://www.youtube.com/channel/UCd5710HgazmFpHjs2qhyQSQ")</f>
        <v>https://www.youtube.com/channel/UCd5710HgazmFpHjs2qhyQSQ</v>
      </c>
      <c r="AU160" s="80" t="str">
        <f>REPLACE(INDEX(GroupVertices[Group],MATCH(Vertices[[#This Row],[Vertex]],GroupVertices[Vertex],0)),1,1,"")</f>
        <v>8</v>
      </c>
      <c r="AV160" s="49">
        <v>0</v>
      </c>
      <c r="AW160" s="50">
        <v>0</v>
      </c>
      <c r="AX160" s="49">
        <v>1</v>
      </c>
      <c r="AY160" s="50">
        <v>12.5</v>
      </c>
      <c r="AZ160" s="49">
        <v>0</v>
      </c>
      <c r="BA160" s="50">
        <v>0</v>
      </c>
      <c r="BB160" s="49">
        <v>7</v>
      </c>
      <c r="BC160" s="50">
        <v>87.5</v>
      </c>
      <c r="BD160" s="49">
        <v>8</v>
      </c>
      <c r="BE160" s="49"/>
      <c r="BF160" s="49"/>
      <c r="BG160" s="49"/>
      <c r="BH160" s="49"/>
      <c r="BI160" s="49"/>
      <c r="BJ160" s="49"/>
      <c r="BK160" s="111" t="s">
        <v>3788</v>
      </c>
      <c r="BL160" s="111" t="s">
        <v>3788</v>
      </c>
      <c r="BM160" s="111" t="s">
        <v>4258</v>
      </c>
      <c r="BN160" s="111" t="s">
        <v>4258</v>
      </c>
      <c r="BO160" s="2"/>
      <c r="BP160" s="3"/>
      <c r="BQ160" s="3"/>
      <c r="BR160" s="3"/>
      <c r="BS160" s="3"/>
    </row>
    <row r="161" spans="1:71" ht="15">
      <c r="A161" s="65" t="s">
        <v>367</v>
      </c>
      <c r="B161" s="66"/>
      <c r="C161" s="66"/>
      <c r="D161" s="67">
        <v>150</v>
      </c>
      <c r="E161" s="69"/>
      <c r="F161" s="103" t="str">
        <f>HYPERLINK("https://yt3.ggpht.com/ytc/AAUvwnijXargonD4lGosEuHgJo9ZCxhtLlARu0bHuPUQVw=s88-c-k-c0x00ffffff-no-rj")</f>
        <v>https://yt3.ggpht.com/ytc/AAUvwnijXargonD4lGosEuHgJo9ZCxhtLlARu0bHuPUQVw=s88-c-k-c0x00ffffff-no-rj</v>
      </c>
      <c r="G161" s="66"/>
      <c r="H161" s="70" t="s">
        <v>1726</v>
      </c>
      <c r="I161" s="71"/>
      <c r="J161" s="71" t="s">
        <v>159</v>
      </c>
      <c r="K161" s="70" t="s">
        <v>1726</v>
      </c>
      <c r="L161" s="74">
        <v>1</v>
      </c>
      <c r="M161" s="75">
        <v>8925.400390625</v>
      </c>
      <c r="N161" s="75">
        <v>5567.66943359375</v>
      </c>
      <c r="O161" s="76"/>
      <c r="P161" s="77"/>
      <c r="Q161" s="77"/>
      <c r="R161" s="89"/>
      <c r="S161" s="49">
        <v>0</v>
      </c>
      <c r="T161" s="49">
        <v>1</v>
      </c>
      <c r="U161" s="50">
        <v>0</v>
      </c>
      <c r="V161" s="50">
        <v>0.000739</v>
      </c>
      <c r="W161" s="50">
        <v>0</v>
      </c>
      <c r="X161" s="50">
        <v>0.468231</v>
      </c>
      <c r="Y161" s="50">
        <v>0</v>
      </c>
      <c r="Z161" s="50">
        <v>0</v>
      </c>
      <c r="AA161" s="72">
        <v>161</v>
      </c>
      <c r="AB161" s="72"/>
      <c r="AC161" s="73"/>
      <c r="AD161" s="80" t="s">
        <v>1726</v>
      </c>
      <c r="AE161" s="80"/>
      <c r="AF161" s="80"/>
      <c r="AG161" s="80"/>
      <c r="AH161" s="80"/>
      <c r="AI161" s="80"/>
      <c r="AJ161" s="87">
        <v>43957.41700231482</v>
      </c>
      <c r="AK161" s="85" t="str">
        <f>HYPERLINK("https://yt3.ggpht.com/ytc/AAUvwnijXargonD4lGosEuHgJo9ZCxhtLlARu0bHuPUQVw=s88-c-k-c0x00ffffff-no-rj")</f>
        <v>https://yt3.ggpht.com/ytc/AAUvwnijXargonD4lGosEuHgJo9ZCxhtLlARu0bHuPUQVw=s88-c-k-c0x00ffffff-no-rj</v>
      </c>
      <c r="AL161" s="80">
        <v>0</v>
      </c>
      <c r="AM161" s="80">
        <v>0</v>
      </c>
      <c r="AN161" s="80">
        <v>0</v>
      </c>
      <c r="AO161" s="80" t="b">
        <v>0</v>
      </c>
      <c r="AP161" s="80">
        <v>0</v>
      </c>
      <c r="AQ161" s="80"/>
      <c r="AR161" s="80"/>
      <c r="AS161" s="80" t="s">
        <v>2664</v>
      </c>
      <c r="AT161" s="85" t="str">
        <f>HYPERLINK("https://www.youtube.com/channel/UCxD0CiqPOHP_TSayw3Fb9ZA")</f>
        <v>https://www.youtube.com/channel/UCxD0CiqPOHP_TSayw3Fb9ZA</v>
      </c>
      <c r="AU161" s="80" t="str">
        <f>REPLACE(INDEX(GroupVertices[Group],MATCH(Vertices[[#This Row],[Vertex]],GroupVertices[Vertex],0)),1,1,"")</f>
        <v>8</v>
      </c>
      <c r="AV161" s="49">
        <v>0</v>
      </c>
      <c r="AW161" s="50">
        <v>0</v>
      </c>
      <c r="AX161" s="49">
        <v>0</v>
      </c>
      <c r="AY161" s="50">
        <v>0</v>
      </c>
      <c r="AZ161" s="49">
        <v>0</v>
      </c>
      <c r="BA161" s="50">
        <v>0</v>
      </c>
      <c r="BB161" s="49">
        <v>1</v>
      </c>
      <c r="BC161" s="50">
        <v>100</v>
      </c>
      <c r="BD161" s="49">
        <v>1</v>
      </c>
      <c r="BE161" s="49"/>
      <c r="BF161" s="49"/>
      <c r="BG161" s="49"/>
      <c r="BH161" s="49"/>
      <c r="BI161" s="49"/>
      <c r="BJ161" s="49"/>
      <c r="BK161" s="111" t="s">
        <v>1019</v>
      </c>
      <c r="BL161" s="111" t="s">
        <v>1019</v>
      </c>
      <c r="BM161" s="111" t="s">
        <v>2390</v>
      </c>
      <c r="BN161" s="111" t="s">
        <v>2390</v>
      </c>
      <c r="BO161" s="2"/>
      <c r="BP161" s="3"/>
      <c r="BQ161" s="3"/>
      <c r="BR161" s="3"/>
      <c r="BS161" s="3"/>
    </row>
    <row r="162" spans="1:71" ht="15">
      <c r="A162" s="65" t="s">
        <v>368</v>
      </c>
      <c r="B162" s="66"/>
      <c r="C162" s="66"/>
      <c r="D162" s="67">
        <v>150</v>
      </c>
      <c r="E162" s="69"/>
      <c r="F162" s="103" t="str">
        <f>HYPERLINK("https://yt3.ggpht.com/ytc/AAUvwngnpOgXW9g_utT48dsOW-NLneetPWLhUEXXi_if=s88-c-k-c0x00ffffff-no-rj")</f>
        <v>https://yt3.ggpht.com/ytc/AAUvwngnpOgXW9g_utT48dsOW-NLneetPWLhUEXXi_if=s88-c-k-c0x00ffffff-no-rj</v>
      </c>
      <c r="G162" s="66"/>
      <c r="H162" s="70" t="s">
        <v>1727</v>
      </c>
      <c r="I162" s="71"/>
      <c r="J162" s="71" t="s">
        <v>159</v>
      </c>
      <c r="K162" s="70" t="s">
        <v>1727</v>
      </c>
      <c r="L162" s="74">
        <v>1</v>
      </c>
      <c r="M162" s="75">
        <v>9247.6015625</v>
      </c>
      <c r="N162" s="75">
        <v>5440.1611328125</v>
      </c>
      <c r="O162" s="76"/>
      <c r="P162" s="77"/>
      <c r="Q162" s="77"/>
      <c r="R162" s="89"/>
      <c r="S162" s="49">
        <v>0</v>
      </c>
      <c r="T162" s="49">
        <v>1</v>
      </c>
      <c r="U162" s="50">
        <v>0</v>
      </c>
      <c r="V162" s="50">
        <v>0.000739</v>
      </c>
      <c r="W162" s="50">
        <v>0</v>
      </c>
      <c r="X162" s="50">
        <v>0.468231</v>
      </c>
      <c r="Y162" s="50">
        <v>0</v>
      </c>
      <c r="Z162" s="50">
        <v>0</v>
      </c>
      <c r="AA162" s="72">
        <v>162</v>
      </c>
      <c r="AB162" s="72"/>
      <c r="AC162" s="73"/>
      <c r="AD162" s="80" t="s">
        <v>1727</v>
      </c>
      <c r="AE162" s="80"/>
      <c r="AF162" s="80"/>
      <c r="AG162" s="80"/>
      <c r="AH162" s="80"/>
      <c r="AI162" s="80"/>
      <c r="AJ162" s="87">
        <v>43986.03194444445</v>
      </c>
      <c r="AK162" s="85" t="str">
        <f>HYPERLINK("https://yt3.ggpht.com/ytc/AAUvwngnpOgXW9g_utT48dsOW-NLneetPWLhUEXXi_if=s88-c-k-c0x00ffffff-no-rj")</f>
        <v>https://yt3.ggpht.com/ytc/AAUvwngnpOgXW9g_utT48dsOW-NLneetPWLhUEXXi_if=s88-c-k-c0x00ffffff-no-rj</v>
      </c>
      <c r="AL162" s="80">
        <v>0</v>
      </c>
      <c r="AM162" s="80">
        <v>0</v>
      </c>
      <c r="AN162" s="80">
        <v>4</v>
      </c>
      <c r="AO162" s="80" t="b">
        <v>0</v>
      </c>
      <c r="AP162" s="80">
        <v>0</v>
      </c>
      <c r="AQ162" s="80"/>
      <c r="AR162" s="80"/>
      <c r="AS162" s="80" t="s">
        <v>2664</v>
      </c>
      <c r="AT162" s="85" t="str">
        <f>HYPERLINK("https://www.youtube.com/channel/UCUl9KDDIT4qcONZlN-PC_GQ")</f>
        <v>https://www.youtube.com/channel/UCUl9KDDIT4qcONZlN-PC_GQ</v>
      </c>
      <c r="AU162" s="80" t="str">
        <f>REPLACE(INDEX(GroupVertices[Group],MATCH(Vertices[[#This Row],[Vertex]],GroupVertices[Vertex],0)),1,1,"")</f>
        <v>8</v>
      </c>
      <c r="AV162" s="49">
        <v>0</v>
      </c>
      <c r="AW162" s="50">
        <v>0</v>
      </c>
      <c r="AX162" s="49">
        <v>0</v>
      </c>
      <c r="AY162" s="50">
        <v>0</v>
      </c>
      <c r="AZ162" s="49">
        <v>0</v>
      </c>
      <c r="BA162" s="50">
        <v>0</v>
      </c>
      <c r="BB162" s="49">
        <v>6</v>
      </c>
      <c r="BC162" s="50">
        <v>100</v>
      </c>
      <c r="BD162" s="49">
        <v>6</v>
      </c>
      <c r="BE162" s="49"/>
      <c r="BF162" s="49"/>
      <c r="BG162" s="49"/>
      <c r="BH162" s="49"/>
      <c r="BI162" s="49"/>
      <c r="BJ162" s="49"/>
      <c r="BK162" s="111" t="s">
        <v>2745</v>
      </c>
      <c r="BL162" s="111" t="s">
        <v>2745</v>
      </c>
      <c r="BM162" s="111" t="s">
        <v>2390</v>
      </c>
      <c r="BN162" s="111" t="s">
        <v>2390</v>
      </c>
      <c r="BO162" s="2"/>
      <c r="BP162" s="3"/>
      <c r="BQ162" s="3"/>
      <c r="BR162" s="3"/>
      <c r="BS162" s="3"/>
    </row>
    <row r="163" spans="1:71" ht="15">
      <c r="A163" s="65" t="s">
        <v>369</v>
      </c>
      <c r="B163" s="66"/>
      <c r="C163" s="66"/>
      <c r="D163" s="67">
        <v>150</v>
      </c>
      <c r="E163" s="69"/>
      <c r="F163" s="103" t="str">
        <f>HYPERLINK("https://yt3.ggpht.com/ytc/AAUvwnhabDCyzwvgrQkuaHU2Rey6e0QYWl5AVV518809=s88-c-k-c0x00ffffff-no-rj")</f>
        <v>https://yt3.ggpht.com/ytc/AAUvwnhabDCyzwvgrQkuaHU2Rey6e0QYWl5AVV518809=s88-c-k-c0x00ffffff-no-rj</v>
      </c>
      <c r="G163" s="66"/>
      <c r="H163" s="70" t="s">
        <v>1728</v>
      </c>
      <c r="I163" s="71"/>
      <c r="J163" s="71" t="s">
        <v>159</v>
      </c>
      <c r="K163" s="70" t="s">
        <v>1728</v>
      </c>
      <c r="L163" s="74">
        <v>1</v>
      </c>
      <c r="M163" s="75">
        <v>8902.43359375</v>
      </c>
      <c r="N163" s="75">
        <v>4995.77490234375</v>
      </c>
      <c r="O163" s="76"/>
      <c r="P163" s="77"/>
      <c r="Q163" s="77"/>
      <c r="R163" s="89"/>
      <c r="S163" s="49">
        <v>0</v>
      </c>
      <c r="T163" s="49">
        <v>1</v>
      </c>
      <c r="U163" s="50">
        <v>0</v>
      </c>
      <c r="V163" s="50">
        <v>0.000739</v>
      </c>
      <c r="W163" s="50">
        <v>0</v>
      </c>
      <c r="X163" s="50">
        <v>0.468231</v>
      </c>
      <c r="Y163" s="50">
        <v>0</v>
      </c>
      <c r="Z163" s="50">
        <v>0</v>
      </c>
      <c r="AA163" s="72">
        <v>163</v>
      </c>
      <c r="AB163" s="72"/>
      <c r="AC163" s="73"/>
      <c r="AD163" s="80" t="s">
        <v>1728</v>
      </c>
      <c r="AE163" s="80"/>
      <c r="AF163" s="80"/>
      <c r="AG163" s="80"/>
      <c r="AH163" s="80"/>
      <c r="AI163" s="80"/>
      <c r="AJ163" s="87">
        <v>43146.58122685185</v>
      </c>
      <c r="AK163" s="85" t="str">
        <f>HYPERLINK("https://yt3.ggpht.com/ytc/AAUvwnhabDCyzwvgrQkuaHU2Rey6e0QYWl5AVV518809=s88-c-k-c0x00ffffff-no-rj")</f>
        <v>https://yt3.ggpht.com/ytc/AAUvwnhabDCyzwvgrQkuaHU2Rey6e0QYWl5AVV518809=s88-c-k-c0x00ffffff-no-rj</v>
      </c>
      <c r="AL163" s="80">
        <v>0</v>
      </c>
      <c r="AM163" s="80">
        <v>0</v>
      </c>
      <c r="AN163" s="80">
        <v>2</v>
      </c>
      <c r="AO163" s="80" t="b">
        <v>0</v>
      </c>
      <c r="AP163" s="80">
        <v>0</v>
      </c>
      <c r="AQ163" s="80"/>
      <c r="AR163" s="80"/>
      <c r="AS163" s="80" t="s">
        <v>2664</v>
      </c>
      <c r="AT163" s="85" t="str">
        <f>HYPERLINK("https://www.youtube.com/channel/UCog_Pc1wioSN5u5VND3Ua_w")</f>
        <v>https://www.youtube.com/channel/UCog_Pc1wioSN5u5VND3Ua_w</v>
      </c>
      <c r="AU163" s="80" t="str">
        <f>REPLACE(INDEX(GroupVertices[Group],MATCH(Vertices[[#This Row],[Vertex]],GroupVertices[Vertex],0)),1,1,"")</f>
        <v>8</v>
      </c>
      <c r="AV163" s="49">
        <v>0</v>
      </c>
      <c r="AW163" s="50">
        <v>0</v>
      </c>
      <c r="AX163" s="49">
        <v>0</v>
      </c>
      <c r="AY163" s="50">
        <v>0</v>
      </c>
      <c r="AZ163" s="49">
        <v>0</v>
      </c>
      <c r="BA163" s="50">
        <v>0</v>
      </c>
      <c r="BB163" s="49">
        <v>9</v>
      </c>
      <c r="BC163" s="50">
        <v>100</v>
      </c>
      <c r="BD163" s="49">
        <v>9</v>
      </c>
      <c r="BE163" s="49"/>
      <c r="BF163" s="49"/>
      <c r="BG163" s="49"/>
      <c r="BH163" s="49"/>
      <c r="BI163" s="49"/>
      <c r="BJ163" s="49"/>
      <c r="BK163" s="111" t="s">
        <v>3789</v>
      </c>
      <c r="BL163" s="111" t="s">
        <v>3789</v>
      </c>
      <c r="BM163" s="111" t="s">
        <v>4259</v>
      </c>
      <c r="BN163" s="111" t="s">
        <v>4259</v>
      </c>
      <c r="BO163" s="2"/>
      <c r="BP163" s="3"/>
      <c r="BQ163" s="3"/>
      <c r="BR163" s="3"/>
      <c r="BS163" s="3"/>
    </row>
    <row r="164" spans="1:71" ht="15">
      <c r="A164" s="65" t="s">
        <v>823</v>
      </c>
      <c r="B164" s="66"/>
      <c r="C164" s="66"/>
      <c r="D164" s="67">
        <v>291.66666666666663</v>
      </c>
      <c r="E164" s="69"/>
      <c r="F164" s="103" t="str">
        <f>HYPERLINK("https://yt3.ggpht.com/ytc/AAUvwnij9D1aetda9WFJPs1evjda_ZOqrYS6v8u4vw=s88-c-k-c0x00ffffff-no-rj")</f>
        <v>https://yt3.ggpht.com/ytc/AAUvwnij9D1aetda9WFJPs1evjda_ZOqrYS6v8u4vw=s88-c-k-c0x00ffffff-no-rj</v>
      </c>
      <c r="G164" s="66"/>
      <c r="H164" s="70" t="s">
        <v>2182</v>
      </c>
      <c r="I164" s="71"/>
      <c r="J164" s="71" t="s">
        <v>159</v>
      </c>
      <c r="K164" s="70" t="s">
        <v>2182</v>
      </c>
      <c r="L164" s="74">
        <v>96.21904761904761</v>
      </c>
      <c r="M164" s="75">
        <v>8995.8125</v>
      </c>
      <c r="N164" s="75">
        <v>4796.04345703125</v>
      </c>
      <c r="O164" s="76"/>
      <c r="P164" s="77"/>
      <c r="Q164" s="77"/>
      <c r="R164" s="89"/>
      <c r="S164" s="49">
        <v>1</v>
      </c>
      <c r="T164" s="49">
        <v>2</v>
      </c>
      <c r="U164" s="50">
        <v>13771</v>
      </c>
      <c r="V164" s="50">
        <v>0.001139</v>
      </c>
      <c r="W164" s="50">
        <v>0</v>
      </c>
      <c r="X164" s="50">
        <v>1.126039</v>
      </c>
      <c r="Y164" s="50">
        <v>0</v>
      </c>
      <c r="Z164" s="50">
        <v>0</v>
      </c>
      <c r="AA164" s="72">
        <v>164</v>
      </c>
      <c r="AB164" s="72"/>
      <c r="AC164" s="73"/>
      <c r="AD164" s="80" t="s">
        <v>2182</v>
      </c>
      <c r="AE164" s="80"/>
      <c r="AF164" s="80"/>
      <c r="AG164" s="80"/>
      <c r="AH164" s="80"/>
      <c r="AI164" s="80"/>
      <c r="AJ164" s="87">
        <v>42645.87520833333</v>
      </c>
      <c r="AK164" s="85" t="str">
        <f>HYPERLINK("https://yt3.ggpht.com/ytc/AAUvwnij9D1aetda9WFJPs1evjda_ZOqrYS6v8u4vw=s88-c-k-c0x00ffffff-no-rj")</f>
        <v>https://yt3.ggpht.com/ytc/AAUvwnij9D1aetda9WFJPs1evjda_ZOqrYS6v8u4vw=s88-c-k-c0x00ffffff-no-rj</v>
      </c>
      <c r="AL164" s="80">
        <v>0</v>
      </c>
      <c r="AM164" s="80">
        <v>0</v>
      </c>
      <c r="AN164" s="80">
        <v>1</v>
      </c>
      <c r="AO164" s="80" t="b">
        <v>0</v>
      </c>
      <c r="AP164" s="80">
        <v>0</v>
      </c>
      <c r="AQ164" s="80"/>
      <c r="AR164" s="80"/>
      <c r="AS164" s="80" t="s">
        <v>2664</v>
      </c>
      <c r="AT164" s="85" t="str">
        <f>HYPERLINK("https://www.youtube.com/channel/UCZj8Z6LdulS3k7YTTxz6iUQ")</f>
        <v>https://www.youtube.com/channel/UCZj8Z6LdulS3k7YTTxz6iUQ</v>
      </c>
      <c r="AU164" s="80" t="str">
        <f>REPLACE(INDEX(GroupVertices[Group],MATCH(Vertices[[#This Row],[Vertex]],GroupVertices[Vertex],0)),1,1,"")</f>
        <v>8</v>
      </c>
      <c r="AV164" s="49">
        <v>7</v>
      </c>
      <c r="AW164" s="50">
        <v>7.216494845360825</v>
      </c>
      <c r="AX164" s="49">
        <v>1</v>
      </c>
      <c r="AY164" s="50">
        <v>1.0309278350515463</v>
      </c>
      <c r="AZ164" s="49">
        <v>0</v>
      </c>
      <c r="BA164" s="50">
        <v>0</v>
      </c>
      <c r="BB164" s="49">
        <v>89</v>
      </c>
      <c r="BC164" s="50">
        <v>91.75257731958763</v>
      </c>
      <c r="BD164" s="49">
        <v>97</v>
      </c>
      <c r="BE164" s="49"/>
      <c r="BF164" s="49"/>
      <c r="BG164" s="49"/>
      <c r="BH164" s="49"/>
      <c r="BI164" s="49"/>
      <c r="BJ164" s="49"/>
      <c r="BK164" s="111" t="s">
        <v>3790</v>
      </c>
      <c r="BL164" s="111" t="s">
        <v>4123</v>
      </c>
      <c r="BM164" s="111" t="s">
        <v>4260</v>
      </c>
      <c r="BN164" s="111" t="s">
        <v>4579</v>
      </c>
      <c r="BO164" s="2"/>
      <c r="BP164" s="3"/>
      <c r="BQ164" s="3"/>
      <c r="BR164" s="3"/>
      <c r="BS164" s="3"/>
    </row>
    <row r="165" spans="1:71" ht="15">
      <c r="A165" s="65" t="s">
        <v>370</v>
      </c>
      <c r="B165" s="66"/>
      <c r="C165" s="66"/>
      <c r="D165" s="67">
        <v>291.66666666666663</v>
      </c>
      <c r="E165" s="69"/>
      <c r="F165" s="103" t="str">
        <f>HYPERLINK("https://yt3.ggpht.com/ytc/AAUvwniVgVDzZJOm8I8ZZWi7Psx9DDyE0CmkqiqV0VfGfQ=s88-c-k-c0x00ffffff-no-rj")</f>
        <v>https://yt3.ggpht.com/ytc/AAUvwniVgVDzZJOm8I8ZZWi7Psx9DDyE0CmkqiqV0VfGfQ=s88-c-k-c0x00ffffff-no-rj</v>
      </c>
      <c r="G165" s="66"/>
      <c r="H165" s="70" t="s">
        <v>1729</v>
      </c>
      <c r="I165" s="71"/>
      <c r="J165" s="71" t="s">
        <v>159</v>
      </c>
      <c r="K165" s="70" t="s">
        <v>1729</v>
      </c>
      <c r="L165" s="74">
        <v>96.21904761904761</v>
      </c>
      <c r="M165" s="75">
        <v>8979.3935546875</v>
      </c>
      <c r="N165" s="75">
        <v>5811.27197265625</v>
      </c>
      <c r="O165" s="76"/>
      <c r="P165" s="77"/>
      <c r="Q165" s="77"/>
      <c r="R165" s="89"/>
      <c r="S165" s="49">
        <v>1</v>
      </c>
      <c r="T165" s="49">
        <v>1</v>
      </c>
      <c r="U165" s="50">
        <v>0</v>
      </c>
      <c r="V165" s="50">
        <v>0.000739</v>
      </c>
      <c r="W165" s="50">
        <v>0</v>
      </c>
      <c r="X165" s="50">
        <v>0.468231</v>
      </c>
      <c r="Y165" s="50">
        <v>0</v>
      </c>
      <c r="Z165" s="50">
        <v>1</v>
      </c>
      <c r="AA165" s="72">
        <v>165</v>
      </c>
      <c r="AB165" s="72"/>
      <c r="AC165" s="73"/>
      <c r="AD165" s="80" t="s">
        <v>1729</v>
      </c>
      <c r="AE165" s="80" t="s">
        <v>2469</v>
      </c>
      <c r="AF165" s="80"/>
      <c r="AG165" s="80"/>
      <c r="AH165" s="80"/>
      <c r="AI165" s="80"/>
      <c r="AJ165" s="87">
        <v>42518.52716435185</v>
      </c>
      <c r="AK165" s="85" t="str">
        <f>HYPERLINK("https://yt3.ggpht.com/ytc/AAUvwniVgVDzZJOm8I8ZZWi7Psx9DDyE0CmkqiqV0VfGfQ=s88-c-k-c0x00ffffff-no-rj")</f>
        <v>https://yt3.ggpht.com/ytc/AAUvwniVgVDzZJOm8I8ZZWi7Psx9DDyE0CmkqiqV0VfGfQ=s88-c-k-c0x00ffffff-no-rj</v>
      </c>
      <c r="AL165" s="80">
        <v>22</v>
      </c>
      <c r="AM165" s="80">
        <v>0</v>
      </c>
      <c r="AN165" s="80">
        <v>0</v>
      </c>
      <c r="AO165" s="80" t="b">
        <v>1</v>
      </c>
      <c r="AP165" s="80">
        <v>4</v>
      </c>
      <c r="AQ165" s="80"/>
      <c r="AR165" s="80"/>
      <c r="AS165" s="80" t="s">
        <v>2664</v>
      </c>
      <c r="AT165" s="85" t="str">
        <f>HYPERLINK("https://www.youtube.com/channel/UCN8v8nA8KPlvLKvu2hjBqXQ")</f>
        <v>https://www.youtube.com/channel/UCN8v8nA8KPlvLKvu2hjBqXQ</v>
      </c>
      <c r="AU165" s="80" t="str">
        <f>REPLACE(INDEX(GroupVertices[Group],MATCH(Vertices[[#This Row],[Vertex]],GroupVertices[Vertex],0)),1,1,"")</f>
        <v>8</v>
      </c>
      <c r="AV165" s="49">
        <v>1</v>
      </c>
      <c r="AW165" s="50">
        <v>4.761904761904762</v>
      </c>
      <c r="AX165" s="49">
        <v>1</v>
      </c>
      <c r="AY165" s="50">
        <v>4.761904761904762</v>
      </c>
      <c r="AZ165" s="49">
        <v>0</v>
      </c>
      <c r="BA165" s="50">
        <v>0</v>
      </c>
      <c r="BB165" s="49">
        <v>19</v>
      </c>
      <c r="BC165" s="50">
        <v>90.47619047619048</v>
      </c>
      <c r="BD165" s="49">
        <v>21</v>
      </c>
      <c r="BE165" s="49"/>
      <c r="BF165" s="49"/>
      <c r="BG165" s="49"/>
      <c r="BH165" s="49"/>
      <c r="BI165" s="49"/>
      <c r="BJ165" s="49"/>
      <c r="BK165" s="111" t="s">
        <v>3791</v>
      </c>
      <c r="BL165" s="111" t="s">
        <v>3791</v>
      </c>
      <c r="BM165" s="111" t="s">
        <v>4261</v>
      </c>
      <c r="BN165" s="111" t="s">
        <v>4261</v>
      </c>
      <c r="BO165" s="2"/>
      <c r="BP165" s="3"/>
      <c r="BQ165" s="3"/>
      <c r="BR165" s="3"/>
      <c r="BS165" s="3"/>
    </row>
    <row r="166" spans="1:71" ht="15">
      <c r="A166" s="65" t="s">
        <v>371</v>
      </c>
      <c r="B166" s="66"/>
      <c r="C166" s="66"/>
      <c r="D166" s="67">
        <v>150</v>
      </c>
      <c r="E166" s="69"/>
      <c r="F166" s="103" t="str">
        <f>HYPERLINK("https://yt3.ggpht.com/ytc/AAUvwnjVVsrddVsKEn-RVFT_G99lAAaKyxTEujLd_8oDmw=s88-c-k-c0x00ffffff-no-rj")</f>
        <v>https://yt3.ggpht.com/ytc/AAUvwnjVVsrddVsKEn-RVFT_G99lAAaKyxTEujLd_8oDmw=s88-c-k-c0x00ffffff-no-rj</v>
      </c>
      <c r="G166" s="66"/>
      <c r="H166" s="70" t="s">
        <v>1730</v>
      </c>
      <c r="I166" s="71"/>
      <c r="J166" s="71" t="s">
        <v>159</v>
      </c>
      <c r="K166" s="70" t="s">
        <v>1730</v>
      </c>
      <c r="L166" s="74">
        <v>1</v>
      </c>
      <c r="M166" s="75">
        <v>9090.3916015625</v>
      </c>
      <c r="N166" s="75">
        <v>5217.63720703125</v>
      </c>
      <c r="O166" s="76"/>
      <c r="P166" s="77"/>
      <c r="Q166" s="77"/>
      <c r="R166" s="89"/>
      <c r="S166" s="49">
        <v>0</v>
      </c>
      <c r="T166" s="49">
        <v>1</v>
      </c>
      <c r="U166" s="50">
        <v>0</v>
      </c>
      <c r="V166" s="50">
        <v>0.000739</v>
      </c>
      <c r="W166" s="50">
        <v>0</v>
      </c>
      <c r="X166" s="50">
        <v>0.468231</v>
      </c>
      <c r="Y166" s="50">
        <v>0</v>
      </c>
      <c r="Z166" s="50">
        <v>0</v>
      </c>
      <c r="AA166" s="72">
        <v>166</v>
      </c>
      <c r="AB166" s="72"/>
      <c r="AC166" s="73"/>
      <c r="AD166" s="80" t="s">
        <v>1730</v>
      </c>
      <c r="AE166" s="80" t="s">
        <v>2470</v>
      </c>
      <c r="AF166" s="80"/>
      <c r="AG166" s="80"/>
      <c r="AH166" s="80"/>
      <c r="AI166" s="80"/>
      <c r="AJ166" s="87">
        <v>41550.55836805556</v>
      </c>
      <c r="AK166" s="85" t="str">
        <f>HYPERLINK("https://yt3.ggpht.com/ytc/AAUvwnjVVsrddVsKEn-RVFT_G99lAAaKyxTEujLd_8oDmw=s88-c-k-c0x00ffffff-no-rj")</f>
        <v>https://yt3.ggpht.com/ytc/AAUvwnjVVsrddVsKEn-RVFT_G99lAAaKyxTEujLd_8oDmw=s88-c-k-c0x00ffffff-no-rj</v>
      </c>
      <c r="AL166" s="80">
        <v>0</v>
      </c>
      <c r="AM166" s="80">
        <v>0</v>
      </c>
      <c r="AN166" s="80">
        <v>14</v>
      </c>
      <c r="AO166" s="80" t="b">
        <v>0</v>
      </c>
      <c r="AP166" s="80">
        <v>0</v>
      </c>
      <c r="AQ166" s="80"/>
      <c r="AR166" s="80"/>
      <c r="AS166" s="80" t="s">
        <v>2664</v>
      </c>
      <c r="AT166" s="85" t="str">
        <f>HYPERLINK("https://www.youtube.com/channel/UCGpGyrZukGxN7EqHaLZ3tww")</f>
        <v>https://www.youtube.com/channel/UCGpGyrZukGxN7EqHaLZ3tww</v>
      </c>
      <c r="AU166" s="80" t="str">
        <f>REPLACE(INDEX(GroupVertices[Group],MATCH(Vertices[[#This Row],[Vertex]],GroupVertices[Vertex],0)),1,1,"")</f>
        <v>8</v>
      </c>
      <c r="AV166" s="49">
        <v>0</v>
      </c>
      <c r="AW166" s="50">
        <v>0</v>
      </c>
      <c r="AX166" s="49">
        <v>0</v>
      </c>
      <c r="AY166" s="50">
        <v>0</v>
      </c>
      <c r="AZ166" s="49">
        <v>0</v>
      </c>
      <c r="BA166" s="50">
        <v>0</v>
      </c>
      <c r="BB166" s="49">
        <v>8</v>
      </c>
      <c r="BC166" s="50">
        <v>100</v>
      </c>
      <c r="BD166" s="49">
        <v>8</v>
      </c>
      <c r="BE166" s="49"/>
      <c r="BF166" s="49"/>
      <c r="BG166" s="49"/>
      <c r="BH166" s="49"/>
      <c r="BI166" s="49"/>
      <c r="BJ166" s="49"/>
      <c r="BK166" s="111" t="s">
        <v>3792</v>
      </c>
      <c r="BL166" s="111" t="s">
        <v>3792</v>
      </c>
      <c r="BM166" s="111" t="s">
        <v>4262</v>
      </c>
      <c r="BN166" s="111" t="s">
        <v>4262</v>
      </c>
      <c r="BO166" s="2"/>
      <c r="BP166" s="3"/>
      <c r="BQ166" s="3"/>
      <c r="BR166" s="3"/>
      <c r="BS166" s="3"/>
    </row>
    <row r="167" spans="1:71" ht="15">
      <c r="A167" s="65" t="s">
        <v>372</v>
      </c>
      <c r="B167" s="66"/>
      <c r="C167" s="66"/>
      <c r="D167" s="67">
        <v>291.66666666666663</v>
      </c>
      <c r="E167" s="69"/>
      <c r="F167" s="103" t="str">
        <f>HYPERLINK("https://yt3.ggpht.com/ytc/AAUvwnjniZFrMxyBM3tn3lZsSdxsCBzWO3jOUzou3Q=s88-c-k-c0x00ffffff-no-rj")</f>
        <v>https://yt3.ggpht.com/ytc/AAUvwnjniZFrMxyBM3tn3lZsSdxsCBzWO3jOUzou3Q=s88-c-k-c0x00ffffff-no-rj</v>
      </c>
      <c r="G167" s="66"/>
      <c r="H167" s="70" t="s">
        <v>1731</v>
      </c>
      <c r="I167" s="71"/>
      <c r="J167" s="71" t="s">
        <v>159</v>
      </c>
      <c r="K167" s="70" t="s">
        <v>1731</v>
      </c>
      <c r="L167" s="74">
        <v>96.21904761904761</v>
      </c>
      <c r="M167" s="75">
        <v>8292.2099609375</v>
      </c>
      <c r="N167" s="75">
        <v>5247.5986328125</v>
      </c>
      <c r="O167" s="76"/>
      <c r="P167" s="77"/>
      <c r="Q167" s="77"/>
      <c r="R167" s="89"/>
      <c r="S167" s="49">
        <v>1</v>
      </c>
      <c r="T167" s="49">
        <v>1</v>
      </c>
      <c r="U167" s="50">
        <v>0</v>
      </c>
      <c r="V167" s="50">
        <v>0.000739</v>
      </c>
      <c r="W167" s="50">
        <v>0</v>
      </c>
      <c r="X167" s="50">
        <v>0.468231</v>
      </c>
      <c r="Y167" s="50">
        <v>0</v>
      </c>
      <c r="Z167" s="50">
        <v>1</v>
      </c>
      <c r="AA167" s="72">
        <v>167</v>
      </c>
      <c r="AB167" s="72"/>
      <c r="AC167" s="73"/>
      <c r="AD167" s="80" t="s">
        <v>1731</v>
      </c>
      <c r="AE167" s="80"/>
      <c r="AF167" s="80"/>
      <c r="AG167" s="80"/>
      <c r="AH167" s="80"/>
      <c r="AI167" s="80"/>
      <c r="AJ167" s="87">
        <v>44066.66608796296</v>
      </c>
      <c r="AK167" s="85" t="str">
        <f>HYPERLINK("https://yt3.ggpht.com/ytc/AAUvwnjniZFrMxyBM3tn3lZsSdxsCBzWO3jOUzou3Q=s88-c-k-c0x00ffffff-no-rj")</f>
        <v>https://yt3.ggpht.com/ytc/AAUvwnjniZFrMxyBM3tn3lZsSdxsCBzWO3jOUzou3Q=s88-c-k-c0x00ffffff-no-rj</v>
      </c>
      <c r="AL167" s="80">
        <v>13</v>
      </c>
      <c r="AM167" s="80">
        <v>0</v>
      </c>
      <c r="AN167" s="80">
        <v>6</v>
      </c>
      <c r="AO167" s="80" t="b">
        <v>0</v>
      </c>
      <c r="AP167" s="80">
        <v>1</v>
      </c>
      <c r="AQ167" s="80"/>
      <c r="AR167" s="80"/>
      <c r="AS167" s="80" t="s">
        <v>2664</v>
      </c>
      <c r="AT167" s="85" t="str">
        <f>HYPERLINK("https://www.youtube.com/channel/UCNBgyqCMQA5ZDLlJ0vPUx0g")</f>
        <v>https://www.youtube.com/channel/UCNBgyqCMQA5ZDLlJ0vPUx0g</v>
      </c>
      <c r="AU167" s="80" t="str">
        <f>REPLACE(INDEX(GroupVertices[Group],MATCH(Vertices[[#This Row],[Vertex]],GroupVertices[Vertex],0)),1,1,"")</f>
        <v>8</v>
      </c>
      <c r="AV167" s="49">
        <v>0</v>
      </c>
      <c r="AW167" s="50">
        <v>0</v>
      </c>
      <c r="AX167" s="49">
        <v>1</v>
      </c>
      <c r="AY167" s="50">
        <v>6.666666666666667</v>
      </c>
      <c r="AZ167" s="49">
        <v>0</v>
      </c>
      <c r="BA167" s="50">
        <v>0</v>
      </c>
      <c r="BB167" s="49">
        <v>14</v>
      </c>
      <c r="BC167" s="50">
        <v>93.33333333333333</v>
      </c>
      <c r="BD167" s="49">
        <v>15</v>
      </c>
      <c r="BE167" s="49"/>
      <c r="BF167" s="49"/>
      <c r="BG167" s="49"/>
      <c r="BH167" s="49"/>
      <c r="BI167" s="49"/>
      <c r="BJ167" s="49"/>
      <c r="BK167" s="111" t="s">
        <v>3793</v>
      </c>
      <c r="BL167" s="111" t="s">
        <v>3793</v>
      </c>
      <c r="BM167" s="111" t="s">
        <v>4263</v>
      </c>
      <c r="BN167" s="111" t="s">
        <v>4263</v>
      </c>
      <c r="BO167" s="2"/>
      <c r="BP167" s="3"/>
      <c r="BQ167" s="3"/>
      <c r="BR167" s="3"/>
      <c r="BS167" s="3"/>
    </row>
    <row r="168" spans="1:71" ht="15">
      <c r="A168" s="65" t="s">
        <v>373</v>
      </c>
      <c r="B168" s="66"/>
      <c r="C168" s="66"/>
      <c r="D168" s="67">
        <v>150</v>
      </c>
      <c r="E168" s="69"/>
      <c r="F168" s="103" t="str">
        <f>HYPERLINK("https://yt3.ggpht.com/ytc/AAUvwniXAk-QJ7PNM6tTvt1qayYAWChUdOFitP8F9Q=s88-c-k-c0x00ffffff-no-rj")</f>
        <v>https://yt3.ggpht.com/ytc/AAUvwniXAk-QJ7PNM6tTvt1qayYAWChUdOFitP8F9Q=s88-c-k-c0x00ffffff-no-rj</v>
      </c>
      <c r="G168" s="66"/>
      <c r="H168" s="70" t="s">
        <v>1732</v>
      </c>
      <c r="I168" s="71"/>
      <c r="J168" s="71" t="s">
        <v>159</v>
      </c>
      <c r="K168" s="70" t="s">
        <v>1732</v>
      </c>
      <c r="L168" s="74">
        <v>1</v>
      </c>
      <c r="M168" s="75">
        <v>7453.4990234375</v>
      </c>
      <c r="N168" s="75">
        <v>9558.587890625</v>
      </c>
      <c r="O168" s="76"/>
      <c r="P168" s="77"/>
      <c r="Q168" s="77"/>
      <c r="R168" s="89"/>
      <c r="S168" s="49">
        <v>0</v>
      </c>
      <c r="T168" s="49">
        <v>1</v>
      </c>
      <c r="U168" s="50">
        <v>0</v>
      </c>
      <c r="V168" s="50">
        <v>0.000701</v>
      </c>
      <c r="W168" s="50">
        <v>0</v>
      </c>
      <c r="X168" s="50">
        <v>0.573662</v>
      </c>
      <c r="Y168" s="50">
        <v>0</v>
      </c>
      <c r="Z168" s="50">
        <v>0</v>
      </c>
      <c r="AA168" s="72">
        <v>168</v>
      </c>
      <c r="AB168" s="72"/>
      <c r="AC168" s="73"/>
      <c r="AD168" s="80" t="s">
        <v>1732</v>
      </c>
      <c r="AE168" s="80"/>
      <c r="AF168" s="80"/>
      <c r="AG168" s="80"/>
      <c r="AH168" s="80"/>
      <c r="AI168" s="80"/>
      <c r="AJ168" s="87">
        <v>41740.287256944444</v>
      </c>
      <c r="AK168" s="85" t="str">
        <f>HYPERLINK("https://yt3.ggpht.com/ytc/AAUvwniXAk-QJ7PNM6tTvt1qayYAWChUdOFitP8F9Q=s88-c-k-c0x00ffffff-no-rj")</f>
        <v>https://yt3.ggpht.com/ytc/AAUvwniXAk-QJ7PNM6tTvt1qayYAWChUdOFitP8F9Q=s88-c-k-c0x00ffffff-no-rj</v>
      </c>
      <c r="AL168" s="80">
        <v>0</v>
      </c>
      <c r="AM168" s="80">
        <v>0</v>
      </c>
      <c r="AN168" s="80">
        <v>0</v>
      </c>
      <c r="AO168" s="80" t="b">
        <v>0</v>
      </c>
      <c r="AP168" s="80">
        <v>0</v>
      </c>
      <c r="AQ168" s="80"/>
      <c r="AR168" s="80"/>
      <c r="AS168" s="80" t="s">
        <v>2664</v>
      </c>
      <c r="AT168" s="85" t="str">
        <f>HYPERLINK("https://www.youtube.com/channel/UCbe-qpl6Hqfkw7zhko17fZw")</f>
        <v>https://www.youtube.com/channel/UCbe-qpl6Hqfkw7zhko17fZw</v>
      </c>
      <c r="AU168" s="80" t="str">
        <f>REPLACE(INDEX(GroupVertices[Group],MATCH(Vertices[[#This Row],[Vertex]],GroupVertices[Vertex],0)),1,1,"")</f>
        <v>4</v>
      </c>
      <c r="AV168" s="49">
        <v>0</v>
      </c>
      <c r="AW168" s="50">
        <v>0</v>
      </c>
      <c r="AX168" s="49">
        <v>0</v>
      </c>
      <c r="AY168" s="50">
        <v>0</v>
      </c>
      <c r="AZ168" s="49">
        <v>0</v>
      </c>
      <c r="BA168" s="50">
        <v>0</v>
      </c>
      <c r="BB168" s="49">
        <v>1</v>
      </c>
      <c r="BC168" s="50">
        <v>100</v>
      </c>
      <c r="BD168" s="49">
        <v>1</v>
      </c>
      <c r="BE168" s="49"/>
      <c r="BF168" s="49"/>
      <c r="BG168" s="49"/>
      <c r="BH168" s="49"/>
      <c r="BI168" s="49"/>
      <c r="BJ168" s="49"/>
      <c r="BK168" s="111" t="s">
        <v>3794</v>
      </c>
      <c r="BL168" s="111" t="s">
        <v>3794</v>
      </c>
      <c r="BM168" s="111" t="s">
        <v>2390</v>
      </c>
      <c r="BN168" s="111" t="s">
        <v>2390</v>
      </c>
      <c r="BO168" s="2"/>
      <c r="BP168" s="3"/>
      <c r="BQ168" s="3"/>
      <c r="BR168" s="3"/>
      <c r="BS168" s="3"/>
    </row>
    <row r="169" spans="1:71" ht="15">
      <c r="A169" s="65" t="s">
        <v>374</v>
      </c>
      <c r="B169" s="66"/>
      <c r="C169" s="66"/>
      <c r="D169" s="67">
        <v>291.66666666666663</v>
      </c>
      <c r="E169" s="69"/>
      <c r="F169" s="103" t="str">
        <f>HYPERLINK("https://yt3.ggpht.com/ytc/AAUvwnikg_wh6DS4XgCWfb1gJ3UUifl0y3Yzmhg8qdm4=s88-c-k-c0x00ffffff-no-rj")</f>
        <v>https://yt3.ggpht.com/ytc/AAUvwnikg_wh6DS4XgCWfb1gJ3UUifl0y3Yzmhg8qdm4=s88-c-k-c0x00ffffff-no-rj</v>
      </c>
      <c r="G169" s="66"/>
      <c r="H169" s="70" t="s">
        <v>1733</v>
      </c>
      <c r="I169" s="71"/>
      <c r="J169" s="71" t="s">
        <v>159</v>
      </c>
      <c r="K169" s="70" t="s">
        <v>1733</v>
      </c>
      <c r="L169" s="74">
        <v>96.21904761904761</v>
      </c>
      <c r="M169" s="75">
        <v>7873.36181640625</v>
      </c>
      <c r="N169" s="75">
        <v>8907.4775390625</v>
      </c>
      <c r="O169" s="76"/>
      <c r="P169" s="77"/>
      <c r="Q169" s="77"/>
      <c r="R169" s="89"/>
      <c r="S169" s="49">
        <v>1</v>
      </c>
      <c r="T169" s="49">
        <v>1</v>
      </c>
      <c r="U169" s="50">
        <v>530</v>
      </c>
      <c r="V169" s="50">
        <v>0.000861</v>
      </c>
      <c r="W169" s="50">
        <v>0</v>
      </c>
      <c r="X169" s="50">
        <v>0.996853</v>
      </c>
      <c r="Y169" s="50">
        <v>0</v>
      </c>
      <c r="Z169" s="50">
        <v>0</v>
      </c>
      <c r="AA169" s="72">
        <v>169</v>
      </c>
      <c r="AB169" s="72"/>
      <c r="AC169" s="73"/>
      <c r="AD169" s="80" t="s">
        <v>1733</v>
      </c>
      <c r="AE169" s="80" t="s">
        <v>2471</v>
      </c>
      <c r="AF169" s="80"/>
      <c r="AG169" s="80"/>
      <c r="AH169" s="80"/>
      <c r="AI169" s="80" t="s">
        <v>1733</v>
      </c>
      <c r="AJ169" s="87">
        <v>40992.14611111111</v>
      </c>
      <c r="AK169" s="85" t="str">
        <f>HYPERLINK("https://yt3.ggpht.com/ytc/AAUvwnikg_wh6DS4XgCWfb1gJ3UUifl0y3Yzmhg8qdm4=s88-c-k-c0x00ffffff-no-rj")</f>
        <v>https://yt3.ggpht.com/ytc/AAUvwnikg_wh6DS4XgCWfb1gJ3UUifl0y3Yzmhg8qdm4=s88-c-k-c0x00ffffff-no-rj</v>
      </c>
      <c r="AL169" s="80">
        <v>17167</v>
      </c>
      <c r="AM169" s="80">
        <v>0</v>
      </c>
      <c r="AN169" s="80">
        <v>107</v>
      </c>
      <c r="AO169" s="80" t="b">
        <v>0</v>
      </c>
      <c r="AP169" s="80">
        <v>174</v>
      </c>
      <c r="AQ169" s="80"/>
      <c r="AR169" s="80"/>
      <c r="AS169" s="80" t="s">
        <v>2664</v>
      </c>
      <c r="AT169" s="85" t="str">
        <f>HYPERLINK("https://www.youtube.com/channel/UCQk56KBdgzcZalZlDKPKRQQ")</f>
        <v>https://www.youtube.com/channel/UCQk56KBdgzcZalZlDKPKRQQ</v>
      </c>
      <c r="AU169" s="80" t="str">
        <f>REPLACE(INDEX(GroupVertices[Group],MATCH(Vertices[[#This Row],[Vertex]],GroupVertices[Vertex],0)),1,1,"")</f>
        <v>4</v>
      </c>
      <c r="AV169" s="49">
        <v>1</v>
      </c>
      <c r="AW169" s="50">
        <v>100</v>
      </c>
      <c r="AX169" s="49">
        <v>0</v>
      </c>
      <c r="AY169" s="50">
        <v>0</v>
      </c>
      <c r="AZ169" s="49">
        <v>0</v>
      </c>
      <c r="BA169" s="50">
        <v>0</v>
      </c>
      <c r="BB169" s="49">
        <v>0</v>
      </c>
      <c r="BC169" s="50">
        <v>0</v>
      </c>
      <c r="BD169" s="49">
        <v>1</v>
      </c>
      <c r="BE169" s="49"/>
      <c r="BF169" s="49"/>
      <c r="BG169" s="49"/>
      <c r="BH169" s="49"/>
      <c r="BI169" s="49"/>
      <c r="BJ169" s="49"/>
      <c r="BK169" s="111" t="s">
        <v>1030</v>
      </c>
      <c r="BL169" s="111" t="s">
        <v>1030</v>
      </c>
      <c r="BM169" s="111" t="s">
        <v>2390</v>
      </c>
      <c r="BN169" s="111" t="s">
        <v>2390</v>
      </c>
      <c r="BO169" s="2"/>
      <c r="BP169" s="3"/>
      <c r="BQ169" s="3"/>
      <c r="BR169" s="3"/>
      <c r="BS169" s="3"/>
    </row>
    <row r="170" spans="1:71" ht="15">
      <c r="A170" s="65" t="s">
        <v>840</v>
      </c>
      <c r="B170" s="66"/>
      <c r="C170" s="66"/>
      <c r="D170" s="67">
        <v>1000</v>
      </c>
      <c r="E170" s="69"/>
      <c r="F170" s="103" t="str">
        <f>HYPERLINK("https://yt3.ggpht.com/ytc/AAUvwnjlNC9v5I9TrFO-pWhaR2IW72AGBEsbunm7zvR-=s88-c-k-c0x00ffffff-no-rj")</f>
        <v>https://yt3.ggpht.com/ytc/AAUvwnjlNC9v5I9TrFO-pWhaR2IW72AGBEsbunm7zvR-=s88-c-k-c0x00ffffff-no-rj</v>
      </c>
      <c r="G170" s="66"/>
      <c r="H170" s="70" t="s">
        <v>2407</v>
      </c>
      <c r="I170" s="71"/>
      <c r="J170" s="71" t="s">
        <v>75</v>
      </c>
      <c r="K170" s="70" t="s">
        <v>2407</v>
      </c>
      <c r="L170" s="74">
        <v>5809.361904761905</v>
      </c>
      <c r="M170" s="75">
        <v>8358.7021484375</v>
      </c>
      <c r="N170" s="75">
        <v>8096.02587890625</v>
      </c>
      <c r="O170" s="76"/>
      <c r="P170" s="77"/>
      <c r="Q170" s="77"/>
      <c r="R170" s="89"/>
      <c r="S170" s="49">
        <v>61</v>
      </c>
      <c r="T170" s="49">
        <v>1</v>
      </c>
      <c r="U170" s="50">
        <v>31507.333333</v>
      </c>
      <c r="V170" s="50">
        <v>0.001112</v>
      </c>
      <c r="W170" s="50">
        <v>0</v>
      </c>
      <c r="X170" s="50">
        <v>25.780737</v>
      </c>
      <c r="Y170" s="50">
        <v>0.0011299435028248588</v>
      </c>
      <c r="Z170" s="50">
        <v>0</v>
      </c>
      <c r="AA170" s="72">
        <v>170</v>
      </c>
      <c r="AB170" s="72"/>
      <c r="AC170" s="73"/>
      <c r="AD170" s="80" t="s">
        <v>2407</v>
      </c>
      <c r="AE170" s="80" t="s">
        <v>2472</v>
      </c>
      <c r="AF170" s="80"/>
      <c r="AG170" s="80"/>
      <c r="AH170" s="80"/>
      <c r="AI170" s="80" t="s">
        <v>2635</v>
      </c>
      <c r="AJ170" s="87">
        <v>41571.727106481485</v>
      </c>
      <c r="AK170" s="85" t="str">
        <f>HYPERLINK("https://yt3.ggpht.com/ytc/AAUvwnjlNC9v5I9TrFO-pWhaR2IW72AGBEsbunm7zvR-=s88-c-k-c0x00ffffff-no-rj")</f>
        <v>https://yt3.ggpht.com/ytc/AAUvwnjlNC9v5I9TrFO-pWhaR2IW72AGBEsbunm7zvR-=s88-c-k-c0x00ffffff-no-rj</v>
      </c>
      <c r="AL170" s="80">
        <v>3475643</v>
      </c>
      <c r="AM170" s="80">
        <v>0</v>
      </c>
      <c r="AN170" s="80">
        <v>10800</v>
      </c>
      <c r="AO170" s="80" t="b">
        <v>0</v>
      </c>
      <c r="AP170" s="80">
        <v>423</v>
      </c>
      <c r="AQ170" s="80"/>
      <c r="AR170" s="80"/>
      <c r="AS170" s="80" t="s">
        <v>2664</v>
      </c>
      <c r="AT170" s="85" t="str">
        <f>HYPERLINK("https://www.youtube.com/channel/UCTl32ukBGG3FGRX7ZfZwVTw")</f>
        <v>https://www.youtube.com/channel/UCTl32ukBGG3FGRX7ZfZwVTw</v>
      </c>
      <c r="AU170" s="80" t="str">
        <f>REPLACE(INDEX(GroupVertices[Group],MATCH(Vertices[[#This Row],[Vertex]],GroupVertices[Vertex],0)),1,1,"")</f>
        <v>4</v>
      </c>
      <c r="AV170" s="49"/>
      <c r="AW170" s="50"/>
      <c r="AX170" s="49"/>
      <c r="AY170" s="50"/>
      <c r="AZ170" s="49"/>
      <c r="BA170" s="50"/>
      <c r="BB170" s="49"/>
      <c r="BC170" s="50"/>
      <c r="BD170" s="49"/>
      <c r="BE170" s="49"/>
      <c r="BF170" s="49"/>
      <c r="BG170" s="49"/>
      <c r="BH170" s="49"/>
      <c r="BI170" s="49"/>
      <c r="BJ170" s="49"/>
      <c r="BK170" s="111" t="s">
        <v>2390</v>
      </c>
      <c r="BL170" s="111" t="s">
        <v>2390</v>
      </c>
      <c r="BM170" s="111" t="s">
        <v>2390</v>
      </c>
      <c r="BN170" s="111" t="s">
        <v>2390</v>
      </c>
      <c r="BO170" s="2"/>
      <c r="BP170" s="3"/>
      <c r="BQ170" s="3"/>
      <c r="BR170" s="3"/>
      <c r="BS170" s="3"/>
    </row>
    <row r="171" spans="1:71" ht="15">
      <c r="A171" s="65" t="s">
        <v>375</v>
      </c>
      <c r="B171" s="66"/>
      <c r="C171" s="66"/>
      <c r="D171" s="67">
        <v>150</v>
      </c>
      <c r="E171" s="69"/>
      <c r="F171" s="103" t="str">
        <f>HYPERLINK("https://yt3.ggpht.com/ytc/AAUvwniO6z5F6-23t0ey8FULC5yv4YLXv8ewUvQ3Dld5=s88-c-k-c0x00ffffff-no-rj")</f>
        <v>https://yt3.ggpht.com/ytc/AAUvwniO6z5F6-23t0ey8FULC5yv4YLXv8ewUvQ3Dld5=s88-c-k-c0x00ffffff-no-rj</v>
      </c>
      <c r="G171" s="66"/>
      <c r="H171" s="70" t="s">
        <v>1734</v>
      </c>
      <c r="I171" s="71"/>
      <c r="J171" s="71" t="s">
        <v>159</v>
      </c>
      <c r="K171" s="70" t="s">
        <v>1734</v>
      </c>
      <c r="L171" s="74">
        <v>1</v>
      </c>
      <c r="M171" s="75">
        <v>8876.7421875</v>
      </c>
      <c r="N171" s="75">
        <v>8421.1435546875</v>
      </c>
      <c r="O171" s="76"/>
      <c r="P171" s="77"/>
      <c r="Q171" s="77"/>
      <c r="R171" s="89"/>
      <c r="S171" s="49">
        <v>0</v>
      </c>
      <c r="T171" s="49">
        <v>1</v>
      </c>
      <c r="U171" s="50">
        <v>0</v>
      </c>
      <c r="V171" s="50">
        <v>0.000859</v>
      </c>
      <c r="W171" s="50">
        <v>0</v>
      </c>
      <c r="X171" s="50">
        <v>0.50924</v>
      </c>
      <c r="Y171" s="50">
        <v>0</v>
      </c>
      <c r="Z171" s="50">
        <v>0</v>
      </c>
      <c r="AA171" s="72">
        <v>171</v>
      </c>
      <c r="AB171" s="72"/>
      <c r="AC171" s="73"/>
      <c r="AD171" s="80" t="s">
        <v>1734</v>
      </c>
      <c r="AE171" s="80"/>
      <c r="AF171" s="80"/>
      <c r="AG171" s="80"/>
      <c r="AH171" s="80"/>
      <c r="AI171" s="80"/>
      <c r="AJ171" s="87">
        <v>42322.53087962963</v>
      </c>
      <c r="AK171" s="85" t="str">
        <f>HYPERLINK("https://yt3.ggpht.com/ytc/AAUvwniO6z5F6-23t0ey8FULC5yv4YLXv8ewUvQ3Dld5=s88-c-k-c0x00ffffff-no-rj")</f>
        <v>https://yt3.ggpht.com/ytc/AAUvwniO6z5F6-23t0ey8FULC5yv4YLXv8ewUvQ3Dld5=s88-c-k-c0x00ffffff-no-rj</v>
      </c>
      <c r="AL171" s="80">
        <v>0</v>
      </c>
      <c r="AM171" s="80">
        <v>0</v>
      </c>
      <c r="AN171" s="80">
        <v>0</v>
      </c>
      <c r="AO171" s="80" t="b">
        <v>0</v>
      </c>
      <c r="AP171" s="80">
        <v>0</v>
      </c>
      <c r="AQ171" s="80"/>
      <c r="AR171" s="80"/>
      <c r="AS171" s="80" t="s">
        <v>2664</v>
      </c>
      <c r="AT171" s="85" t="str">
        <f>HYPERLINK("https://www.youtube.com/channel/UCEzn6-8Kq1hB0rtosTVDXhA")</f>
        <v>https://www.youtube.com/channel/UCEzn6-8Kq1hB0rtosTVDXhA</v>
      </c>
      <c r="AU171" s="80" t="str">
        <f>REPLACE(INDEX(GroupVertices[Group],MATCH(Vertices[[#This Row],[Vertex]],GroupVertices[Vertex],0)),1,1,"")</f>
        <v>4</v>
      </c>
      <c r="AV171" s="49">
        <v>1</v>
      </c>
      <c r="AW171" s="50">
        <v>100</v>
      </c>
      <c r="AX171" s="49">
        <v>0</v>
      </c>
      <c r="AY171" s="50">
        <v>0</v>
      </c>
      <c r="AZ171" s="49">
        <v>0</v>
      </c>
      <c r="BA171" s="50">
        <v>0</v>
      </c>
      <c r="BB171" s="49">
        <v>0</v>
      </c>
      <c r="BC171" s="50">
        <v>0</v>
      </c>
      <c r="BD171" s="49">
        <v>1</v>
      </c>
      <c r="BE171" s="49"/>
      <c r="BF171" s="49"/>
      <c r="BG171" s="49"/>
      <c r="BH171" s="49"/>
      <c r="BI171" s="49"/>
      <c r="BJ171" s="49"/>
      <c r="BK171" s="111" t="s">
        <v>1030</v>
      </c>
      <c r="BL171" s="111" t="s">
        <v>1030</v>
      </c>
      <c r="BM171" s="111" t="s">
        <v>2390</v>
      </c>
      <c r="BN171" s="111" t="s">
        <v>2390</v>
      </c>
      <c r="BO171" s="2"/>
      <c r="BP171" s="3"/>
      <c r="BQ171" s="3"/>
      <c r="BR171" s="3"/>
      <c r="BS171" s="3"/>
    </row>
    <row r="172" spans="1:71" ht="15">
      <c r="A172" s="65" t="s">
        <v>376</v>
      </c>
      <c r="B172" s="66"/>
      <c r="C172" s="66"/>
      <c r="D172" s="67">
        <v>150</v>
      </c>
      <c r="E172" s="69"/>
      <c r="F172" s="103" t="str">
        <f>HYPERLINK("https://yt3.ggpht.com/ytc/AAUvwniyEx2t5iGV9X3Zrgc-xSY8a7Vmfyci3Q40YQ=s88-c-k-c0x00ffffff-no-rj")</f>
        <v>https://yt3.ggpht.com/ytc/AAUvwniyEx2t5iGV9X3Zrgc-xSY8a7Vmfyci3Q40YQ=s88-c-k-c0x00ffffff-no-rj</v>
      </c>
      <c r="G172" s="66"/>
      <c r="H172" s="70" t="s">
        <v>1735</v>
      </c>
      <c r="I172" s="71"/>
      <c r="J172" s="71" t="s">
        <v>159</v>
      </c>
      <c r="K172" s="70" t="s">
        <v>1735</v>
      </c>
      <c r="L172" s="74">
        <v>1</v>
      </c>
      <c r="M172" s="75">
        <v>7994.53662109375</v>
      </c>
      <c r="N172" s="75">
        <v>8427.640625</v>
      </c>
      <c r="O172" s="76"/>
      <c r="P172" s="77"/>
      <c r="Q172" s="77"/>
      <c r="R172" s="89"/>
      <c r="S172" s="49">
        <v>0</v>
      </c>
      <c r="T172" s="49">
        <v>1</v>
      </c>
      <c r="U172" s="50">
        <v>0</v>
      </c>
      <c r="V172" s="50">
        <v>0.000859</v>
      </c>
      <c r="W172" s="50">
        <v>0</v>
      </c>
      <c r="X172" s="50">
        <v>0.50924</v>
      </c>
      <c r="Y172" s="50">
        <v>0</v>
      </c>
      <c r="Z172" s="50">
        <v>0</v>
      </c>
      <c r="AA172" s="72">
        <v>172</v>
      </c>
      <c r="AB172" s="72"/>
      <c r="AC172" s="73"/>
      <c r="AD172" s="80" t="s">
        <v>1735</v>
      </c>
      <c r="AE172" s="80"/>
      <c r="AF172" s="80"/>
      <c r="AG172" s="80"/>
      <c r="AH172" s="80"/>
      <c r="AI172" s="80"/>
      <c r="AJ172" s="87">
        <v>41973.998078703706</v>
      </c>
      <c r="AK172" s="85" t="str">
        <f>HYPERLINK("https://yt3.ggpht.com/ytc/AAUvwniyEx2t5iGV9X3Zrgc-xSY8a7Vmfyci3Q40YQ=s88-c-k-c0x00ffffff-no-rj")</f>
        <v>https://yt3.ggpht.com/ytc/AAUvwniyEx2t5iGV9X3Zrgc-xSY8a7Vmfyci3Q40YQ=s88-c-k-c0x00ffffff-no-rj</v>
      </c>
      <c r="AL172" s="80">
        <v>0</v>
      </c>
      <c r="AM172" s="80">
        <v>0</v>
      </c>
      <c r="AN172" s="80">
        <v>0</v>
      </c>
      <c r="AO172" s="80" t="b">
        <v>0</v>
      </c>
      <c r="AP172" s="80">
        <v>0</v>
      </c>
      <c r="AQ172" s="80"/>
      <c r="AR172" s="80"/>
      <c r="AS172" s="80" t="s">
        <v>2664</v>
      </c>
      <c r="AT172" s="85" t="str">
        <f>HYPERLINK("https://www.youtube.com/channel/UCWf2pD8fClkUEIIJjq4B5nw")</f>
        <v>https://www.youtube.com/channel/UCWf2pD8fClkUEIIJjq4B5nw</v>
      </c>
      <c r="AU172" s="80" t="str">
        <f>REPLACE(INDEX(GroupVertices[Group],MATCH(Vertices[[#This Row],[Vertex]],GroupVertices[Vertex],0)),1,1,"")</f>
        <v>4</v>
      </c>
      <c r="AV172" s="49">
        <v>1</v>
      </c>
      <c r="AW172" s="50">
        <v>50</v>
      </c>
      <c r="AX172" s="49">
        <v>0</v>
      </c>
      <c r="AY172" s="50">
        <v>0</v>
      </c>
      <c r="AZ172" s="49">
        <v>0</v>
      </c>
      <c r="BA172" s="50">
        <v>0</v>
      </c>
      <c r="BB172" s="49">
        <v>1</v>
      </c>
      <c r="BC172" s="50">
        <v>50</v>
      </c>
      <c r="BD172" s="49">
        <v>2</v>
      </c>
      <c r="BE172" s="49"/>
      <c r="BF172" s="49"/>
      <c r="BG172" s="49"/>
      <c r="BH172" s="49"/>
      <c r="BI172" s="49"/>
      <c r="BJ172" s="49"/>
      <c r="BK172" s="111" t="s">
        <v>3795</v>
      </c>
      <c r="BL172" s="111" t="s">
        <v>3795</v>
      </c>
      <c r="BM172" s="111" t="s">
        <v>4264</v>
      </c>
      <c r="BN172" s="111" t="s">
        <v>4264</v>
      </c>
      <c r="BO172" s="2"/>
      <c r="BP172" s="3"/>
      <c r="BQ172" s="3"/>
      <c r="BR172" s="3"/>
      <c r="BS172" s="3"/>
    </row>
    <row r="173" spans="1:71" ht="15">
      <c r="A173" s="65" t="s">
        <v>377</v>
      </c>
      <c r="B173" s="66"/>
      <c r="C173" s="66"/>
      <c r="D173" s="67">
        <v>150</v>
      </c>
      <c r="E173" s="69"/>
      <c r="F173" s="103" t="str">
        <f>HYPERLINK("https://yt3.ggpht.com/ytc/AAUvwnjIcJ6bvN4BTGjQxBMAv5hzs9ArJXAxD6kyVd22gQ=s88-c-k-c0x00ffffff-no-rj")</f>
        <v>https://yt3.ggpht.com/ytc/AAUvwnjIcJ6bvN4BTGjQxBMAv5hzs9ArJXAxD6kyVd22gQ=s88-c-k-c0x00ffffff-no-rj</v>
      </c>
      <c r="G173" s="66"/>
      <c r="H173" s="70" t="s">
        <v>1736</v>
      </c>
      <c r="I173" s="71"/>
      <c r="J173" s="71" t="s">
        <v>159</v>
      </c>
      <c r="K173" s="70" t="s">
        <v>1736</v>
      </c>
      <c r="L173" s="74">
        <v>1</v>
      </c>
      <c r="M173" s="75">
        <v>7552.68212890625</v>
      </c>
      <c r="N173" s="75">
        <v>8166.267578125</v>
      </c>
      <c r="O173" s="76"/>
      <c r="P173" s="77"/>
      <c r="Q173" s="77"/>
      <c r="R173" s="89"/>
      <c r="S173" s="49">
        <v>0</v>
      </c>
      <c r="T173" s="49">
        <v>1</v>
      </c>
      <c r="U173" s="50">
        <v>0</v>
      </c>
      <c r="V173" s="50">
        <v>0.000859</v>
      </c>
      <c r="W173" s="50">
        <v>0</v>
      </c>
      <c r="X173" s="50">
        <v>0.50924</v>
      </c>
      <c r="Y173" s="50">
        <v>0</v>
      </c>
      <c r="Z173" s="50">
        <v>0</v>
      </c>
      <c r="AA173" s="72">
        <v>173</v>
      </c>
      <c r="AB173" s="72"/>
      <c r="AC173" s="73"/>
      <c r="AD173" s="80" t="s">
        <v>1736</v>
      </c>
      <c r="AE173" s="80"/>
      <c r="AF173" s="80"/>
      <c r="AG173" s="80"/>
      <c r="AH173" s="80"/>
      <c r="AI173" s="80"/>
      <c r="AJ173" s="87">
        <v>41983.80355324074</v>
      </c>
      <c r="AK173" s="85" t="str">
        <f>HYPERLINK("https://yt3.ggpht.com/ytc/AAUvwnjIcJ6bvN4BTGjQxBMAv5hzs9ArJXAxD6kyVd22gQ=s88-c-k-c0x00ffffff-no-rj")</f>
        <v>https://yt3.ggpht.com/ytc/AAUvwnjIcJ6bvN4BTGjQxBMAv5hzs9ArJXAxD6kyVd22gQ=s88-c-k-c0x00ffffff-no-rj</v>
      </c>
      <c r="AL173" s="80">
        <v>0</v>
      </c>
      <c r="AM173" s="80">
        <v>0</v>
      </c>
      <c r="AN173" s="80">
        <v>2</v>
      </c>
      <c r="AO173" s="80" t="b">
        <v>0</v>
      </c>
      <c r="AP173" s="80">
        <v>0</v>
      </c>
      <c r="AQ173" s="80"/>
      <c r="AR173" s="80"/>
      <c r="AS173" s="80" t="s">
        <v>2664</v>
      </c>
      <c r="AT173" s="85" t="str">
        <f>HYPERLINK("https://www.youtube.com/channel/UCbCbuXFHCOUQwmP-3W4caqg")</f>
        <v>https://www.youtube.com/channel/UCbCbuXFHCOUQwmP-3W4caqg</v>
      </c>
      <c r="AU173" s="80" t="str">
        <f>REPLACE(INDEX(GroupVertices[Group],MATCH(Vertices[[#This Row],[Vertex]],GroupVertices[Vertex],0)),1,1,"")</f>
        <v>4</v>
      </c>
      <c r="AV173" s="49">
        <v>0</v>
      </c>
      <c r="AW173" s="50">
        <v>0</v>
      </c>
      <c r="AX173" s="49">
        <v>0</v>
      </c>
      <c r="AY173" s="50">
        <v>0</v>
      </c>
      <c r="AZ173" s="49">
        <v>0</v>
      </c>
      <c r="BA173" s="50">
        <v>0</v>
      </c>
      <c r="BB173" s="49">
        <v>6</v>
      </c>
      <c r="BC173" s="50">
        <v>100</v>
      </c>
      <c r="BD173" s="49">
        <v>6</v>
      </c>
      <c r="BE173" s="49"/>
      <c r="BF173" s="49"/>
      <c r="BG173" s="49"/>
      <c r="BH173" s="49"/>
      <c r="BI173" s="49"/>
      <c r="BJ173" s="49"/>
      <c r="BK173" s="111" t="s">
        <v>3796</v>
      </c>
      <c r="BL173" s="111" t="s">
        <v>3796</v>
      </c>
      <c r="BM173" s="111" t="s">
        <v>4265</v>
      </c>
      <c r="BN173" s="111" t="s">
        <v>4265</v>
      </c>
      <c r="BO173" s="2"/>
      <c r="BP173" s="3"/>
      <c r="BQ173" s="3"/>
      <c r="BR173" s="3"/>
      <c r="BS173" s="3"/>
    </row>
    <row r="174" spans="1:71" ht="15">
      <c r="A174" s="65" t="s">
        <v>378</v>
      </c>
      <c r="B174" s="66"/>
      <c r="C174" s="66"/>
      <c r="D174" s="67">
        <v>150</v>
      </c>
      <c r="E174" s="69"/>
      <c r="F174" s="103" t="str">
        <f>HYPERLINK("https://yt3.ggpht.com/ytc/AAUvwnh0FKt5--wdfrKArEPeXbABFv6u0ZGtRVkvUYl9Ug=s88-c-k-c0x00ffffff-no-rj")</f>
        <v>https://yt3.ggpht.com/ytc/AAUvwnh0FKt5--wdfrKArEPeXbABFv6u0ZGtRVkvUYl9Ug=s88-c-k-c0x00ffffff-no-rj</v>
      </c>
      <c r="G174" s="66"/>
      <c r="H174" s="70" t="s">
        <v>1737</v>
      </c>
      <c r="I174" s="71"/>
      <c r="J174" s="71" t="s">
        <v>159</v>
      </c>
      <c r="K174" s="70" t="s">
        <v>1737</v>
      </c>
      <c r="L174" s="74">
        <v>1</v>
      </c>
      <c r="M174" s="75">
        <v>9483.0556640625</v>
      </c>
      <c r="N174" s="75">
        <v>9397.458984375</v>
      </c>
      <c r="O174" s="76"/>
      <c r="P174" s="77"/>
      <c r="Q174" s="77"/>
      <c r="R174" s="89"/>
      <c r="S174" s="49">
        <v>0</v>
      </c>
      <c r="T174" s="49">
        <v>1</v>
      </c>
      <c r="U174" s="50">
        <v>0</v>
      </c>
      <c r="V174" s="50">
        <v>0.000701</v>
      </c>
      <c r="W174" s="50">
        <v>0</v>
      </c>
      <c r="X174" s="50">
        <v>0.573662</v>
      </c>
      <c r="Y174" s="50">
        <v>0</v>
      </c>
      <c r="Z174" s="50">
        <v>0</v>
      </c>
      <c r="AA174" s="72">
        <v>174</v>
      </c>
      <c r="AB174" s="72"/>
      <c r="AC174" s="73"/>
      <c r="AD174" s="80" t="s">
        <v>1737</v>
      </c>
      <c r="AE174" s="80"/>
      <c r="AF174" s="80"/>
      <c r="AG174" s="80"/>
      <c r="AH174" s="80"/>
      <c r="AI174" s="80"/>
      <c r="AJ174" s="87">
        <v>40815.85765046296</v>
      </c>
      <c r="AK174" s="85" t="str">
        <f>HYPERLINK("https://yt3.ggpht.com/ytc/AAUvwnh0FKt5--wdfrKArEPeXbABFv6u0ZGtRVkvUYl9Ug=s88-c-k-c0x00ffffff-no-rj")</f>
        <v>https://yt3.ggpht.com/ytc/AAUvwnh0FKt5--wdfrKArEPeXbABFv6u0ZGtRVkvUYl9Ug=s88-c-k-c0x00ffffff-no-rj</v>
      </c>
      <c r="AL174" s="80">
        <v>0</v>
      </c>
      <c r="AM174" s="80">
        <v>0</v>
      </c>
      <c r="AN174" s="80">
        <v>1</v>
      </c>
      <c r="AO174" s="80" t="b">
        <v>0</v>
      </c>
      <c r="AP174" s="80">
        <v>0</v>
      </c>
      <c r="AQ174" s="80"/>
      <c r="AR174" s="80"/>
      <c r="AS174" s="80" t="s">
        <v>2664</v>
      </c>
      <c r="AT174" s="85" t="str">
        <f>HYPERLINK("https://www.youtube.com/channel/UCZlF6sHHNC54_00VdC7D-eA")</f>
        <v>https://www.youtube.com/channel/UCZlF6sHHNC54_00VdC7D-eA</v>
      </c>
      <c r="AU174" s="80" t="str">
        <f>REPLACE(INDEX(GroupVertices[Group],MATCH(Vertices[[#This Row],[Vertex]],GroupVertices[Vertex],0)),1,1,"")</f>
        <v>4</v>
      </c>
      <c r="AV174" s="49">
        <v>0</v>
      </c>
      <c r="AW174" s="50">
        <v>0</v>
      </c>
      <c r="AX174" s="49">
        <v>0</v>
      </c>
      <c r="AY174" s="50">
        <v>0</v>
      </c>
      <c r="AZ174" s="49">
        <v>0</v>
      </c>
      <c r="BA174" s="50">
        <v>0</v>
      </c>
      <c r="BB174" s="49">
        <v>6</v>
      </c>
      <c r="BC174" s="50">
        <v>100</v>
      </c>
      <c r="BD174" s="49">
        <v>6</v>
      </c>
      <c r="BE174" s="49"/>
      <c r="BF174" s="49"/>
      <c r="BG174" s="49"/>
      <c r="BH174" s="49"/>
      <c r="BI174" s="49"/>
      <c r="BJ174" s="49"/>
      <c r="BK174" s="111" t="s">
        <v>3797</v>
      </c>
      <c r="BL174" s="111" t="s">
        <v>3797</v>
      </c>
      <c r="BM174" s="111" t="s">
        <v>2390</v>
      </c>
      <c r="BN174" s="111" t="s">
        <v>2390</v>
      </c>
      <c r="BO174" s="2"/>
      <c r="BP174" s="3"/>
      <c r="BQ174" s="3"/>
      <c r="BR174" s="3"/>
      <c r="BS174" s="3"/>
    </row>
    <row r="175" spans="1:71" ht="15">
      <c r="A175" s="65" t="s">
        <v>379</v>
      </c>
      <c r="B175" s="66"/>
      <c r="C175" s="66"/>
      <c r="D175" s="67">
        <v>291.66666666666663</v>
      </c>
      <c r="E175" s="69"/>
      <c r="F175" s="103" t="str">
        <f>HYPERLINK("https://yt3.ggpht.com/ytc/AAUvwnjt5sOgggvmSZLHKR9cnf9V4XuUlgevP9RwkApV=s88-c-k-c0x00ffffff-no-rj")</f>
        <v>https://yt3.ggpht.com/ytc/AAUvwnjt5sOgggvmSZLHKR9cnf9V4XuUlgevP9RwkApV=s88-c-k-c0x00ffffff-no-rj</v>
      </c>
      <c r="G175" s="66"/>
      <c r="H175" s="70" t="s">
        <v>1738</v>
      </c>
      <c r="I175" s="71"/>
      <c r="J175" s="71" t="s">
        <v>159</v>
      </c>
      <c r="K175" s="70" t="s">
        <v>1738</v>
      </c>
      <c r="L175" s="74">
        <v>96.21904761904761</v>
      </c>
      <c r="M175" s="75">
        <v>8953.2626953125</v>
      </c>
      <c r="N175" s="75">
        <v>8849.1923828125</v>
      </c>
      <c r="O175" s="76"/>
      <c r="P175" s="77"/>
      <c r="Q175" s="77"/>
      <c r="R175" s="89"/>
      <c r="S175" s="49">
        <v>1</v>
      </c>
      <c r="T175" s="49">
        <v>1</v>
      </c>
      <c r="U175" s="50">
        <v>530</v>
      </c>
      <c r="V175" s="50">
        <v>0.000861</v>
      </c>
      <c r="W175" s="50">
        <v>0</v>
      </c>
      <c r="X175" s="50">
        <v>0.996853</v>
      </c>
      <c r="Y175" s="50">
        <v>0</v>
      </c>
      <c r="Z175" s="50">
        <v>0</v>
      </c>
      <c r="AA175" s="72">
        <v>175</v>
      </c>
      <c r="AB175" s="72"/>
      <c r="AC175" s="73"/>
      <c r="AD175" s="80" t="s">
        <v>1738</v>
      </c>
      <c r="AE175" s="80" t="s">
        <v>2473</v>
      </c>
      <c r="AF175" s="80"/>
      <c r="AG175" s="80"/>
      <c r="AH175" s="80"/>
      <c r="AI175" s="80"/>
      <c r="AJ175" s="87">
        <v>42039.99670138889</v>
      </c>
      <c r="AK175" s="85" t="str">
        <f>HYPERLINK("https://yt3.ggpht.com/ytc/AAUvwnjt5sOgggvmSZLHKR9cnf9V4XuUlgevP9RwkApV=s88-c-k-c0x00ffffff-no-rj")</f>
        <v>https://yt3.ggpht.com/ytc/AAUvwnjt5sOgggvmSZLHKR9cnf9V4XuUlgevP9RwkApV=s88-c-k-c0x00ffffff-no-rj</v>
      </c>
      <c r="AL175" s="80">
        <v>2177</v>
      </c>
      <c r="AM175" s="80">
        <v>0</v>
      </c>
      <c r="AN175" s="80">
        <v>25</v>
      </c>
      <c r="AO175" s="80" t="b">
        <v>0</v>
      </c>
      <c r="AP175" s="80">
        <v>7</v>
      </c>
      <c r="AQ175" s="80"/>
      <c r="AR175" s="80"/>
      <c r="AS175" s="80" t="s">
        <v>2664</v>
      </c>
      <c r="AT175" s="85" t="str">
        <f>HYPERLINK("https://www.youtube.com/channel/UCM_eFu-EWA4EMOpou6yG8Mw")</f>
        <v>https://www.youtube.com/channel/UCM_eFu-EWA4EMOpou6yG8Mw</v>
      </c>
      <c r="AU175" s="80" t="str">
        <f>REPLACE(INDEX(GroupVertices[Group],MATCH(Vertices[[#This Row],[Vertex]],GroupVertices[Vertex],0)),1,1,"")</f>
        <v>4</v>
      </c>
      <c r="AV175" s="49">
        <v>0</v>
      </c>
      <c r="AW175" s="50">
        <v>0</v>
      </c>
      <c r="AX175" s="49">
        <v>0</v>
      </c>
      <c r="AY175" s="50">
        <v>0</v>
      </c>
      <c r="AZ175" s="49">
        <v>0</v>
      </c>
      <c r="BA175" s="50">
        <v>0</v>
      </c>
      <c r="BB175" s="49">
        <v>6</v>
      </c>
      <c r="BC175" s="50">
        <v>100</v>
      </c>
      <c r="BD175" s="49">
        <v>6</v>
      </c>
      <c r="BE175" s="49"/>
      <c r="BF175" s="49"/>
      <c r="BG175" s="49"/>
      <c r="BH175" s="49"/>
      <c r="BI175" s="49"/>
      <c r="BJ175" s="49"/>
      <c r="BK175" s="111" t="s">
        <v>3798</v>
      </c>
      <c r="BL175" s="111" t="s">
        <v>3798</v>
      </c>
      <c r="BM175" s="111" t="s">
        <v>4266</v>
      </c>
      <c r="BN175" s="111" t="s">
        <v>4266</v>
      </c>
      <c r="BO175" s="2"/>
      <c r="BP175" s="3"/>
      <c r="BQ175" s="3"/>
      <c r="BR175" s="3"/>
      <c r="BS175" s="3"/>
    </row>
    <row r="176" spans="1:71" ht="15">
      <c r="A176" s="65" t="s">
        <v>380</v>
      </c>
      <c r="B176" s="66"/>
      <c r="C176" s="66"/>
      <c r="D176" s="67">
        <v>150</v>
      </c>
      <c r="E176" s="69"/>
      <c r="F176" s="103" t="str">
        <f>HYPERLINK("https://yt3.ggpht.com/ytc/AAUvwnhFa3c7b_mtUyK7CbpVZUF4Ya_bQ7Af6mOFZg=s88-c-k-c0x00ffffff-no-rj")</f>
        <v>https://yt3.ggpht.com/ytc/AAUvwnhFa3c7b_mtUyK7CbpVZUF4Ya_bQ7Af6mOFZg=s88-c-k-c0x00ffffff-no-rj</v>
      </c>
      <c r="G176" s="66"/>
      <c r="H176" s="70" t="s">
        <v>1739</v>
      </c>
      <c r="I176" s="71"/>
      <c r="J176" s="71" t="s">
        <v>159</v>
      </c>
      <c r="K176" s="70" t="s">
        <v>1739</v>
      </c>
      <c r="L176" s="74">
        <v>1</v>
      </c>
      <c r="M176" s="75">
        <v>6809.2119140625</v>
      </c>
      <c r="N176" s="75">
        <v>8676.1181640625</v>
      </c>
      <c r="O176" s="76"/>
      <c r="P176" s="77"/>
      <c r="Q176" s="77"/>
      <c r="R176" s="89"/>
      <c r="S176" s="49">
        <v>0</v>
      </c>
      <c r="T176" s="49">
        <v>1</v>
      </c>
      <c r="U176" s="50">
        <v>0</v>
      </c>
      <c r="V176" s="50">
        <v>0.000701</v>
      </c>
      <c r="W176" s="50">
        <v>0</v>
      </c>
      <c r="X176" s="50">
        <v>0.529144</v>
      </c>
      <c r="Y176" s="50">
        <v>0</v>
      </c>
      <c r="Z176" s="50">
        <v>0</v>
      </c>
      <c r="AA176" s="72">
        <v>176</v>
      </c>
      <c r="AB176" s="72"/>
      <c r="AC176" s="73"/>
      <c r="AD176" s="80" t="s">
        <v>1739</v>
      </c>
      <c r="AE176" s="80"/>
      <c r="AF176" s="80"/>
      <c r="AG176" s="80"/>
      <c r="AH176" s="80"/>
      <c r="AI176" s="80"/>
      <c r="AJ176" s="87">
        <v>43873.855208333334</v>
      </c>
      <c r="AK176" s="85" t="str">
        <f>HYPERLINK("https://yt3.ggpht.com/ytc/AAUvwnhFa3c7b_mtUyK7CbpVZUF4Ya_bQ7Af6mOFZg=s88-c-k-c0x00ffffff-no-rj")</f>
        <v>https://yt3.ggpht.com/ytc/AAUvwnhFa3c7b_mtUyK7CbpVZUF4Ya_bQ7Af6mOFZg=s88-c-k-c0x00ffffff-no-rj</v>
      </c>
      <c r="AL176" s="80">
        <v>0</v>
      </c>
      <c r="AM176" s="80">
        <v>0</v>
      </c>
      <c r="AN176" s="80">
        <v>1</v>
      </c>
      <c r="AO176" s="80" t="b">
        <v>0</v>
      </c>
      <c r="AP176" s="80">
        <v>0</v>
      </c>
      <c r="AQ176" s="80"/>
      <c r="AR176" s="80"/>
      <c r="AS176" s="80" t="s">
        <v>2664</v>
      </c>
      <c r="AT176" s="85" t="str">
        <f>HYPERLINK("https://www.youtube.com/channel/UCNxtGauI9YwI_ANZwHVgNIg")</f>
        <v>https://www.youtube.com/channel/UCNxtGauI9YwI_ANZwHVgNIg</v>
      </c>
      <c r="AU176" s="80" t="str">
        <f>REPLACE(INDEX(GroupVertices[Group],MATCH(Vertices[[#This Row],[Vertex]],GroupVertices[Vertex],0)),1,1,"")</f>
        <v>4</v>
      </c>
      <c r="AV176" s="49">
        <v>1</v>
      </c>
      <c r="AW176" s="50">
        <v>2.7777777777777777</v>
      </c>
      <c r="AX176" s="49">
        <v>0</v>
      </c>
      <c r="AY176" s="50">
        <v>0</v>
      </c>
      <c r="AZ176" s="49">
        <v>0</v>
      </c>
      <c r="BA176" s="50">
        <v>0</v>
      </c>
      <c r="BB176" s="49">
        <v>35</v>
      </c>
      <c r="BC176" s="50">
        <v>97.22222222222223</v>
      </c>
      <c r="BD176" s="49">
        <v>36</v>
      </c>
      <c r="BE176" s="49"/>
      <c r="BF176" s="49"/>
      <c r="BG176" s="49"/>
      <c r="BH176" s="49"/>
      <c r="BI176" s="49"/>
      <c r="BJ176" s="49"/>
      <c r="BK176" s="111" t="s">
        <v>3799</v>
      </c>
      <c r="BL176" s="111" t="s">
        <v>4124</v>
      </c>
      <c r="BM176" s="111" t="s">
        <v>4267</v>
      </c>
      <c r="BN176" s="111" t="s">
        <v>4580</v>
      </c>
      <c r="BO176" s="2"/>
      <c r="BP176" s="3"/>
      <c r="BQ176" s="3"/>
      <c r="BR176" s="3"/>
      <c r="BS176" s="3"/>
    </row>
    <row r="177" spans="1:71" ht="15">
      <c r="A177" s="65" t="s">
        <v>381</v>
      </c>
      <c r="B177" s="66"/>
      <c r="C177" s="66"/>
      <c r="D177" s="67">
        <v>433.3333333333333</v>
      </c>
      <c r="E177" s="69"/>
      <c r="F177" s="103" t="str">
        <f>HYPERLINK("https://yt3.ggpht.com/ytc/AAUvwniIeONgZDErNbt03HTgApk5DPdaODlEj4L3Xg=s88-c-k-c0x00ffffff-no-rj")</f>
        <v>https://yt3.ggpht.com/ytc/AAUvwniIeONgZDErNbt03HTgApk5DPdaODlEj4L3Xg=s88-c-k-c0x00ffffff-no-rj</v>
      </c>
      <c r="G177" s="66"/>
      <c r="H177" s="70" t="s">
        <v>1740</v>
      </c>
      <c r="I177" s="71"/>
      <c r="J177" s="71" t="s">
        <v>75</v>
      </c>
      <c r="K177" s="70" t="s">
        <v>1740</v>
      </c>
      <c r="L177" s="74">
        <v>191.43809523809523</v>
      </c>
      <c r="M177" s="75">
        <v>7491.33154296875</v>
      </c>
      <c r="N177" s="75">
        <v>8374.091796875</v>
      </c>
      <c r="O177" s="76"/>
      <c r="P177" s="77"/>
      <c r="Q177" s="77"/>
      <c r="R177" s="89"/>
      <c r="S177" s="49">
        <v>2</v>
      </c>
      <c r="T177" s="49">
        <v>2</v>
      </c>
      <c r="U177" s="50">
        <v>530</v>
      </c>
      <c r="V177" s="50">
        <v>0.000861</v>
      </c>
      <c r="W177" s="50">
        <v>0</v>
      </c>
      <c r="X177" s="50">
        <v>1.338157</v>
      </c>
      <c r="Y177" s="50">
        <v>0</v>
      </c>
      <c r="Z177" s="50">
        <v>0</v>
      </c>
      <c r="AA177" s="72">
        <v>177</v>
      </c>
      <c r="AB177" s="72"/>
      <c r="AC177" s="73"/>
      <c r="AD177" s="80" t="s">
        <v>1740</v>
      </c>
      <c r="AE177" s="80"/>
      <c r="AF177" s="80"/>
      <c r="AG177" s="80"/>
      <c r="AH177" s="80"/>
      <c r="AI177" s="80"/>
      <c r="AJ177" s="87">
        <v>43873.85387731482</v>
      </c>
      <c r="AK177" s="85" t="str">
        <f>HYPERLINK("https://yt3.ggpht.com/ytc/AAUvwniIeONgZDErNbt03HTgApk5DPdaODlEj4L3Xg=s88-c-k-c0x00ffffff-no-rj")</f>
        <v>https://yt3.ggpht.com/ytc/AAUvwniIeONgZDErNbt03HTgApk5DPdaODlEj4L3Xg=s88-c-k-c0x00ffffff-no-rj</v>
      </c>
      <c r="AL177" s="80">
        <v>0</v>
      </c>
      <c r="AM177" s="80">
        <v>0</v>
      </c>
      <c r="AN177" s="80">
        <v>1</v>
      </c>
      <c r="AO177" s="80" t="b">
        <v>0</v>
      </c>
      <c r="AP177" s="80">
        <v>0</v>
      </c>
      <c r="AQ177" s="80"/>
      <c r="AR177" s="80"/>
      <c r="AS177" s="80" t="s">
        <v>2664</v>
      </c>
      <c r="AT177" s="85" t="str">
        <f>HYPERLINK("https://www.youtube.com/channel/UCEmhBmKML16KTwTejRJ9ZpQ")</f>
        <v>https://www.youtube.com/channel/UCEmhBmKML16KTwTejRJ9ZpQ</v>
      </c>
      <c r="AU177" s="80" t="str">
        <f>REPLACE(INDEX(GroupVertices[Group],MATCH(Vertices[[#This Row],[Vertex]],GroupVertices[Vertex],0)),1,1,"")</f>
        <v>4</v>
      </c>
      <c r="AV177" s="49">
        <v>0</v>
      </c>
      <c r="AW177" s="50">
        <v>0</v>
      </c>
      <c r="AX177" s="49">
        <v>0</v>
      </c>
      <c r="AY177" s="50">
        <v>0</v>
      </c>
      <c r="AZ177" s="49">
        <v>0</v>
      </c>
      <c r="BA177" s="50">
        <v>0</v>
      </c>
      <c r="BB177" s="49">
        <v>61</v>
      </c>
      <c r="BC177" s="50">
        <v>100</v>
      </c>
      <c r="BD177" s="49">
        <v>61</v>
      </c>
      <c r="BE177" s="49"/>
      <c r="BF177" s="49"/>
      <c r="BG177" s="49"/>
      <c r="BH177" s="49"/>
      <c r="BI177" s="49"/>
      <c r="BJ177" s="49"/>
      <c r="BK177" s="111" t="s">
        <v>3800</v>
      </c>
      <c r="BL177" s="111" t="s">
        <v>4125</v>
      </c>
      <c r="BM177" s="111" t="s">
        <v>4268</v>
      </c>
      <c r="BN177" s="111" t="s">
        <v>4581</v>
      </c>
      <c r="BO177" s="2"/>
      <c r="BP177" s="3"/>
      <c r="BQ177" s="3"/>
      <c r="BR177" s="3"/>
      <c r="BS177" s="3"/>
    </row>
    <row r="178" spans="1:71" ht="15">
      <c r="A178" s="65" t="s">
        <v>382</v>
      </c>
      <c r="B178" s="66"/>
      <c r="C178" s="66"/>
      <c r="D178" s="67">
        <v>150</v>
      </c>
      <c r="E178" s="69"/>
      <c r="F178" s="103" t="str">
        <f>HYPERLINK("https://yt3.ggpht.com/ytc/AAUvwnh75G-nxMKEcsTt50SjbZ_cjmcrqcpYTI9dkfmakw=s88-c-k-c0x00ffffff-no-rj")</f>
        <v>https://yt3.ggpht.com/ytc/AAUvwnh75G-nxMKEcsTt50SjbZ_cjmcrqcpYTI9dkfmakw=s88-c-k-c0x00ffffff-no-rj</v>
      </c>
      <c r="G178" s="66"/>
      <c r="H178" s="70" t="s">
        <v>1741</v>
      </c>
      <c r="I178" s="71"/>
      <c r="J178" s="71" t="s">
        <v>159</v>
      </c>
      <c r="K178" s="70" t="s">
        <v>1741</v>
      </c>
      <c r="L178" s="74">
        <v>1</v>
      </c>
      <c r="M178" s="75">
        <v>7603.20263671875</v>
      </c>
      <c r="N178" s="75">
        <v>6515.01806640625</v>
      </c>
      <c r="O178" s="76"/>
      <c r="P178" s="77"/>
      <c r="Q178" s="77"/>
      <c r="R178" s="89"/>
      <c r="S178" s="49">
        <v>0</v>
      </c>
      <c r="T178" s="49">
        <v>1</v>
      </c>
      <c r="U178" s="50">
        <v>0</v>
      </c>
      <c r="V178" s="50">
        <v>0.000701</v>
      </c>
      <c r="W178" s="50">
        <v>0</v>
      </c>
      <c r="X178" s="50">
        <v>0.573662</v>
      </c>
      <c r="Y178" s="50">
        <v>0</v>
      </c>
      <c r="Z178" s="50">
        <v>0</v>
      </c>
      <c r="AA178" s="72">
        <v>178</v>
      </c>
      <c r="AB178" s="72"/>
      <c r="AC178" s="73"/>
      <c r="AD178" s="80" t="s">
        <v>1741</v>
      </c>
      <c r="AE178" s="80"/>
      <c r="AF178" s="80"/>
      <c r="AG178" s="80"/>
      <c r="AH178" s="80"/>
      <c r="AI178" s="80"/>
      <c r="AJ178" s="87">
        <v>42613.87079861111</v>
      </c>
      <c r="AK178" s="85" t="str">
        <f>HYPERLINK("https://yt3.ggpht.com/ytc/AAUvwnh75G-nxMKEcsTt50SjbZ_cjmcrqcpYTI9dkfmakw=s88-c-k-c0x00ffffff-no-rj")</f>
        <v>https://yt3.ggpht.com/ytc/AAUvwnh75G-nxMKEcsTt50SjbZ_cjmcrqcpYTI9dkfmakw=s88-c-k-c0x00ffffff-no-rj</v>
      </c>
      <c r="AL178" s="80">
        <v>0</v>
      </c>
      <c r="AM178" s="80">
        <v>0</v>
      </c>
      <c r="AN178" s="80">
        <v>10</v>
      </c>
      <c r="AO178" s="80" t="b">
        <v>0</v>
      </c>
      <c r="AP178" s="80">
        <v>0</v>
      </c>
      <c r="AQ178" s="80"/>
      <c r="AR178" s="80"/>
      <c r="AS178" s="80" t="s">
        <v>2664</v>
      </c>
      <c r="AT178" s="85" t="str">
        <f>HYPERLINK("https://www.youtube.com/channel/UCWc6Iu66HSngtF-8ylCZJSQ")</f>
        <v>https://www.youtube.com/channel/UCWc6Iu66HSngtF-8ylCZJSQ</v>
      </c>
      <c r="AU178" s="80" t="str">
        <f>REPLACE(INDEX(GroupVertices[Group],MATCH(Vertices[[#This Row],[Vertex]],GroupVertices[Vertex],0)),1,1,"")</f>
        <v>4</v>
      </c>
      <c r="AV178" s="49">
        <v>0</v>
      </c>
      <c r="AW178" s="50">
        <v>0</v>
      </c>
      <c r="AX178" s="49">
        <v>0</v>
      </c>
      <c r="AY178" s="50">
        <v>0</v>
      </c>
      <c r="AZ178" s="49">
        <v>0</v>
      </c>
      <c r="BA178" s="50">
        <v>0</v>
      </c>
      <c r="BB178" s="49">
        <v>1</v>
      </c>
      <c r="BC178" s="50">
        <v>100</v>
      </c>
      <c r="BD178" s="49">
        <v>1</v>
      </c>
      <c r="BE178" s="49"/>
      <c r="BF178" s="49"/>
      <c r="BG178" s="49"/>
      <c r="BH178" s="49"/>
      <c r="BI178" s="49"/>
      <c r="BJ178" s="49"/>
      <c r="BK178" s="111" t="s">
        <v>2390</v>
      </c>
      <c r="BL178" s="111" t="s">
        <v>2390</v>
      </c>
      <c r="BM178" s="111" t="s">
        <v>2390</v>
      </c>
      <c r="BN178" s="111" t="s">
        <v>2390</v>
      </c>
      <c r="BO178" s="2"/>
      <c r="BP178" s="3"/>
      <c r="BQ178" s="3"/>
      <c r="BR178" s="3"/>
      <c r="BS178" s="3"/>
    </row>
    <row r="179" spans="1:71" ht="15">
      <c r="A179" s="65" t="s">
        <v>383</v>
      </c>
      <c r="B179" s="66"/>
      <c r="C179" s="66"/>
      <c r="D179" s="67">
        <v>291.66666666666663</v>
      </c>
      <c r="E179" s="69"/>
      <c r="F179" s="103" t="str">
        <f>HYPERLINK("https://yt3.ggpht.com/ytc/AAUvwnhEJzVXv1xiLp96MZEMCxYXzcuE0SlwZ9zYlQ=s88-c-k-c0x00ffffff-no-rj")</f>
        <v>https://yt3.ggpht.com/ytc/AAUvwnhEJzVXv1xiLp96MZEMCxYXzcuE0SlwZ9zYlQ=s88-c-k-c0x00ffffff-no-rj</v>
      </c>
      <c r="G179" s="66"/>
      <c r="H179" s="70" t="s">
        <v>1742</v>
      </c>
      <c r="I179" s="71"/>
      <c r="J179" s="71" t="s">
        <v>159</v>
      </c>
      <c r="K179" s="70" t="s">
        <v>1742</v>
      </c>
      <c r="L179" s="74">
        <v>96.21904761904761</v>
      </c>
      <c r="M179" s="75">
        <v>7906.6953125</v>
      </c>
      <c r="N179" s="75">
        <v>7251.0966796875</v>
      </c>
      <c r="O179" s="76"/>
      <c r="P179" s="77"/>
      <c r="Q179" s="77"/>
      <c r="R179" s="89"/>
      <c r="S179" s="49">
        <v>1</v>
      </c>
      <c r="T179" s="49">
        <v>1</v>
      </c>
      <c r="U179" s="50">
        <v>530</v>
      </c>
      <c r="V179" s="50">
        <v>0.000861</v>
      </c>
      <c r="W179" s="50">
        <v>0</v>
      </c>
      <c r="X179" s="50">
        <v>0.996853</v>
      </c>
      <c r="Y179" s="50">
        <v>0</v>
      </c>
      <c r="Z179" s="50">
        <v>0</v>
      </c>
      <c r="AA179" s="72">
        <v>179</v>
      </c>
      <c r="AB179" s="72"/>
      <c r="AC179" s="73"/>
      <c r="AD179" s="80" t="s">
        <v>1742</v>
      </c>
      <c r="AE179" s="80"/>
      <c r="AF179" s="80"/>
      <c r="AG179" s="80"/>
      <c r="AH179" s="80"/>
      <c r="AI179" s="80"/>
      <c r="AJ179" s="87">
        <v>42641.68318287037</v>
      </c>
      <c r="AK179" s="85" t="str">
        <f>HYPERLINK("https://yt3.ggpht.com/ytc/AAUvwnhEJzVXv1xiLp96MZEMCxYXzcuE0SlwZ9zYlQ=s88-c-k-c0x00ffffff-no-rj")</f>
        <v>https://yt3.ggpht.com/ytc/AAUvwnhEJzVXv1xiLp96MZEMCxYXzcuE0SlwZ9zYlQ=s88-c-k-c0x00ffffff-no-rj</v>
      </c>
      <c r="AL179" s="80">
        <v>0</v>
      </c>
      <c r="AM179" s="80">
        <v>0</v>
      </c>
      <c r="AN179" s="80">
        <v>0</v>
      </c>
      <c r="AO179" s="80" t="b">
        <v>0</v>
      </c>
      <c r="AP179" s="80">
        <v>0</v>
      </c>
      <c r="AQ179" s="80"/>
      <c r="AR179" s="80"/>
      <c r="AS179" s="80" t="s">
        <v>2664</v>
      </c>
      <c r="AT179" s="85" t="str">
        <f>HYPERLINK("https://www.youtube.com/channel/UCxqv514twWSq0AK__OAPlBQ")</f>
        <v>https://www.youtube.com/channel/UCxqv514twWSq0AK__OAPlBQ</v>
      </c>
      <c r="AU179" s="80" t="str">
        <f>REPLACE(INDEX(GroupVertices[Group],MATCH(Vertices[[#This Row],[Vertex]],GroupVertices[Vertex],0)),1,1,"")</f>
        <v>4</v>
      </c>
      <c r="AV179" s="49">
        <v>0</v>
      </c>
      <c r="AW179" s="50">
        <v>0</v>
      </c>
      <c r="AX179" s="49">
        <v>0</v>
      </c>
      <c r="AY179" s="50">
        <v>0</v>
      </c>
      <c r="AZ179" s="49">
        <v>0</v>
      </c>
      <c r="BA179" s="50">
        <v>0</v>
      </c>
      <c r="BB179" s="49">
        <v>6</v>
      </c>
      <c r="BC179" s="50">
        <v>100</v>
      </c>
      <c r="BD179" s="49">
        <v>6</v>
      </c>
      <c r="BE179" s="49"/>
      <c r="BF179" s="49"/>
      <c r="BG179" s="49"/>
      <c r="BH179" s="49"/>
      <c r="BI179" s="49"/>
      <c r="BJ179" s="49"/>
      <c r="BK179" s="111" t="s">
        <v>3801</v>
      </c>
      <c r="BL179" s="111" t="s">
        <v>3801</v>
      </c>
      <c r="BM179" s="111" t="s">
        <v>4269</v>
      </c>
      <c r="BN179" s="111" t="s">
        <v>4269</v>
      </c>
      <c r="BO179" s="2"/>
      <c r="BP179" s="3"/>
      <c r="BQ179" s="3"/>
      <c r="BR179" s="3"/>
      <c r="BS179" s="3"/>
    </row>
    <row r="180" spans="1:71" ht="15">
      <c r="A180" s="65" t="s">
        <v>384</v>
      </c>
      <c r="B180" s="66"/>
      <c r="C180" s="66"/>
      <c r="D180" s="67">
        <v>150</v>
      </c>
      <c r="E180" s="69"/>
      <c r="F180" s="103" t="str">
        <f>HYPERLINK("https://yt3.ggpht.com/JwAD1BQhkqyg_E5OagStI8K-e4SY_8p2z5vr7zHy3O81ajVBxuLT71zcsxT5hdG26_wttuZ0=s88-c-k-c0x00ffffff-no-rj")</f>
        <v>https://yt3.ggpht.com/JwAD1BQhkqyg_E5OagStI8K-e4SY_8p2z5vr7zHy3O81ajVBxuLT71zcsxT5hdG26_wttuZ0=s88-c-k-c0x00ffffff-no-rj</v>
      </c>
      <c r="G180" s="66"/>
      <c r="H180" s="70" t="s">
        <v>1743</v>
      </c>
      <c r="I180" s="71"/>
      <c r="J180" s="71" t="s">
        <v>159</v>
      </c>
      <c r="K180" s="70" t="s">
        <v>1743</v>
      </c>
      <c r="L180" s="74">
        <v>1</v>
      </c>
      <c r="M180" s="75">
        <v>8986.921875</v>
      </c>
      <c r="N180" s="75">
        <v>7604.3701171875</v>
      </c>
      <c r="O180" s="76"/>
      <c r="P180" s="77"/>
      <c r="Q180" s="77"/>
      <c r="R180" s="89"/>
      <c r="S180" s="49">
        <v>0</v>
      </c>
      <c r="T180" s="49">
        <v>3</v>
      </c>
      <c r="U180" s="50">
        <v>22</v>
      </c>
      <c r="V180" s="50">
        <v>0.000882</v>
      </c>
      <c r="W180" s="50">
        <v>0</v>
      </c>
      <c r="X180" s="50">
        <v>1.22422</v>
      </c>
      <c r="Y180" s="50">
        <v>0.3333333333333333</v>
      </c>
      <c r="Z180" s="50">
        <v>0</v>
      </c>
      <c r="AA180" s="72">
        <v>180</v>
      </c>
      <c r="AB180" s="72"/>
      <c r="AC180" s="73"/>
      <c r="AD180" s="80" t="s">
        <v>1743</v>
      </c>
      <c r="AE180" s="80" t="s">
        <v>2474</v>
      </c>
      <c r="AF180" s="80"/>
      <c r="AG180" s="80"/>
      <c r="AH180" s="80"/>
      <c r="AI180" s="80"/>
      <c r="AJ180" s="87">
        <v>42896.74681712963</v>
      </c>
      <c r="AK180" s="85" t="str">
        <f>HYPERLINK("https://yt3.ggpht.com/JwAD1BQhkqyg_E5OagStI8K-e4SY_8p2z5vr7zHy3O81ajVBxuLT71zcsxT5hdG26_wttuZ0=s88-c-k-c0x00ffffff-no-rj")</f>
        <v>https://yt3.ggpht.com/JwAD1BQhkqyg_E5OagStI8K-e4SY_8p2z5vr7zHy3O81ajVBxuLT71zcsxT5hdG26_wttuZ0=s88-c-k-c0x00ffffff-no-rj</v>
      </c>
      <c r="AL180" s="80">
        <v>5739</v>
      </c>
      <c r="AM180" s="80">
        <v>0</v>
      </c>
      <c r="AN180" s="80">
        <v>442</v>
      </c>
      <c r="AO180" s="80" t="b">
        <v>0</v>
      </c>
      <c r="AP180" s="80">
        <v>21</v>
      </c>
      <c r="AQ180" s="80"/>
      <c r="AR180" s="80"/>
      <c r="AS180" s="80" t="s">
        <v>2664</v>
      </c>
      <c r="AT180" s="85" t="str">
        <f>HYPERLINK("https://www.youtube.com/channel/UCWVdzKevS3_H77zZgSJoHlA")</f>
        <v>https://www.youtube.com/channel/UCWVdzKevS3_H77zZgSJoHlA</v>
      </c>
      <c r="AU180" s="80" t="str">
        <f>REPLACE(INDEX(GroupVertices[Group],MATCH(Vertices[[#This Row],[Vertex]],GroupVertices[Vertex],0)),1,1,"")</f>
        <v>4</v>
      </c>
      <c r="AV180" s="49">
        <v>3</v>
      </c>
      <c r="AW180" s="50">
        <v>6.122448979591836</v>
      </c>
      <c r="AX180" s="49">
        <v>0</v>
      </c>
      <c r="AY180" s="50">
        <v>0</v>
      </c>
      <c r="AZ180" s="49">
        <v>0</v>
      </c>
      <c r="BA180" s="50">
        <v>0</v>
      </c>
      <c r="BB180" s="49">
        <v>46</v>
      </c>
      <c r="BC180" s="50">
        <v>93.87755102040816</v>
      </c>
      <c r="BD180" s="49">
        <v>49</v>
      </c>
      <c r="BE180" s="49" t="s">
        <v>3453</v>
      </c>
      <c r="BF180" s="49" t="s">
        <v>3453</v>
      </c>
      <c r="BG180" s="49" t="s">
        <v>2379</v>
      </c>
      <c r="BH180" s="49" t="s">
        <v>2379</v>
      </c>
      <c r="BI180" s="49"/>
      <c r="BJ180" s="49"/>
      <c r="BK180" s="111" t="s">
        <v>3802</v>
      </c>
      <c r="BL180" s="111" t="s">
        <v>3802</v>
      </c>
      <c r="BM180" s="111" t="s">
        <v>4270</v>
      </c>
      <c r="BN180" s="111" t="s">
        <v>4270</v>
      </c>
      <c r="BO180" s="2"/>
      <c r="BP180" s="3"/>
      <c r="BQ180" s="3"/>
      <c r="BR180" s="3"/>
      <c r="BS180" s="3"/>
    </row>
    <row r="181" spans="1:71" ht="15">
      <c r="A181" s="65" t="s">
        <v>385</v>
      </c>
      <c r="B181" s="66"/>
      <c r="C181" s="66"/>
      <c r="D181" s="67">
        <v>291.66666666666663</v>
      </c>
      <c r="E181" s="69"/>
      <c r="F181" s="103" t="str">
        <f>HYPERLINK("https://yt3.ggpht.com/ytc/AAUvwnimiUh27ne2WGVG2PdXo9Ai8kPkAyn8kcbsT3lwvA=s88-c-k-c0x00ffffff-no-rj")</f>
        <v>https://yt3.ggpht.com/ytc/AAUvwnimiUh27ne2WGVG2PdXo9Ai8kPkAyn8kcbsT3lwvA=s88-c-k-c0x00ffffff-no-rj</v>
      </c>
      <c r="G181" s="66"/>
      <c r="H181" s="70" t="s">
        <v>1744</v>
      </c>
      <c r="I181" s="71"/>
      <c r="J181" s="71" t="s">
        <v>159</v>
      </c>
      <c r="K181" s="70" t="s">
        <v>1744</v>
      </c>
      <c r="L181" s="74">
        <v>96.21904761904761</v>
      </c>
      <c r="M181" s="75">
        <v>8971.53515625</v>
      </c>
      <c r="N181" s="75">
        <v>7806.71826171875</v>
      </c>
      <c r="O181" s="76"/>
      <c r="P181" s="77"/>
      <c r="Q181" s="77"/>
      <c r="R181" s="89"/>
      <c r="S181" s="49">
        <v>1</v>
      </c>
      <c r="T181" s="49">
        <v>1</v>
      </c>
      <c r="U181" s="50">
        <v>0</v>
      </c>
      <c r="V181" s="50">
        <v>0.00086</v>
      </c>
      <c r="W181" s="50">
        <v>0</v>
      </c>
      <c r="X181" s="50">
        <v>0.856102</v>
      </c>
      <c r="Y181" s="50">
        <v>0.5</v>
      </c>
      <c r="Z181" s="50">
        <v>0</v>
      </c>
      <c r="AA181" s="72">
        <v>181</v>
      </c>
      <c r="AB181" s="72"/>
      <c r="AC181" s="73"/>
      <c r="AD181" s="80" t="s">
        <v>1744</v>
      </c>
      <c r="AE181" s="80"/>
      <c r="AF181" s="80"/>
      <c r="AG181" s="80"/>
      <c r="AH181" s="80"/>
      <c r="AI181" s="80"/>
      <c r="AJ181" s="87">
        <v>42023.221770833334</v>
      </c>
      <c r="AK181" s="85" t="str">
        <f>HYPERLINK("https://yt3.ggpht.com/ytc/AAUvwnimiUh27ne2WGVG2PdXo9Ai8kPkAyn8kcbsT3lwvA=s88-c-k-c0x00ffffff-no-rj")</f>
        <v>https://yt3.ggpht.com/ytc/AAUvwnimiUh27ne2WGVG2PdXo9Ai8kPkAyn8kcbsT3lwvA=s88-c-k-c0x00ffffff-no-rj</v>
      </c>
      <c r="AL181" s="80">
        <v>0</v>
      </c>
      <c r="AM181" s="80">
        <v>0</v>
      </c>
      <c r="AN181" s="80">
        <v>13</v>
      </c>
      <c r="AO181" s="80" t="b">
        <v>0</v>
      </c>
      <c r="AP181" s="80">
        <v>0</v>
      </c>
      <c r="AQ181" s="80"/>
      <c r="AR181" s="80"/>
      <c r="AS181" s="80" t="s">
        <v>2664</v>
      </c>
      <c r="AT181" s="85" t="str">
        <f>HYPERLINK("https://www.youtube.com/channel/UCpfWAL5jCTom1iIoRhQUg4w")</f>
        <v>https://www.youtube.com/channel/UCpfWAL5jCTom1iIoRhQUg4w</v>
      </c>
      <c r="AU181" s="80" t="str">
        <f>REPLACE(INDEX(GroupVertices[Group],MATCH(Vertices[[#This Row],[Vertex]],GroupVertices[Vertex],0)),1,1,"")</f>
        <v>4</v>
      </c>
      <c r="AV181" s="49">
        <v>0</v>
      </c>
      <c r="AW181" s="50">
        <v>0</v>
      </c>
      <c r="AX181" s="49">
        <v>0</v>
      </c>
      <c r="AY181" s="50">
        <v>0</v>
      </c>
      <c r="AZ181" s="49">
        <v>0</v>
      </c>
      <c r="BA181" s="50">
        <v>0</v>
      </c>
      <c r="BB181" s="49">
        <v>8</v>
      </c>
      <c r="BC181" s="50">
        <v>100</v>
      </c>
      <c r="BD181" s="49">
        <v>8</v>
      </c>
      <c r="BE181" s="49"/>
      <c r="BF181" s="49"/>
      <c r="BG181" s="49"/>
      <c r="BH181" s="49"/>
      <c r="BI181" s="49"/>
      <c r="BJ181" s="49"/>
      <c r="BK181" s="111" t="s">
        <v>3803</v>
      </c>
      <c r="BL181" s="111" t="s">
        <v>3803</v>
      </c>
      <c r="BM181" s="111" t="s">
        <v>4271</v>
      </c>
      <c r="BN181" s="111" t="s">
        <v>4271</v>
      </c>
      <c r="BO181" s="2"/>
      <c r="BP181" s="3"/>
      <c r="BQ181" s="3"/>
      <c r="BR181" s="3"/>
      <c r="BS181" s="3"/>
    </row>
    <row r="182" spans="1:71" ht="15">
      <c r="A182" s="65" t="s">
        <v>386</v>
      </c>
      <c r="B182" s="66"/>
      <c r="C182" s="66"/>
      <c r="D182" s="67">
        <v>150</v>
      </c>
      <c r="E182" s="69"/>
      <c r="F182" s="103" t="str">
        <f>HYPERLINK("https://yt3.ggpht.com/ytc/AAUvwngF7edmhDqXmYUm1u66Kt5nKvRFiMiWQyaJjtYirw=s88-c-k-c0x00ffffff-no-rj")</f>
        <v>https://yt3.ggpht.com/ytc/AAUvwngF7edmhDqXmYUm1u66Kt5nKvRFiMiWQyaJjtYirw=s88-c-k-c0x00ffffff-no-rj</v>
      </c>
      <c r="G182" s="66"/>
      <c r="H182" s="70" t="s">
        <v>1745</v>
      </c>
      <c r="I182" s="71"/>
      <c r="J182" s="71" t="s">
        <v>159</v>
      </c>
      <c r="K182" s="70" t="s">
        <v>1745</v>
      </c>
      <c r="L182" s="74">
        <v>1</v>
      </c>
      <c r="M182" s="75">
        <v>9690.4111328125</v>
      </c>
      <c r="N182" s="75">
        <v>7152.97314453125</v>
      </c>
      <c r="O182" s="76"/>
      <c r="P182" s="77"/>
      <c r="Q182" s="77"/>
      <c r="R182" s="89"/>
      <c r="S182" s="49">
        <v>0</v>
      </c>
      <c r="T182" s="49">
        <v>1</v>
      </c>
      <c r="U182" s="50">
        <v>0</v>
      </c>
      <c r="V182" s="50">
        <v>0.000733</v>
      </c>
      <c r="W182" s="50">
        <v>0</v>
      </c>
      <c r="X182" s="50">
        <v>0.501137</v>
      </c>
      <c r="Y182" s="50">
        <v>0</v>
      </c>
      <c r="Z182" s="50">
        <v>0</v>
      </c>
      <c r="AA182" s="72">
        <v>182</v>
      </c>
      <c r="AB182" s="72"/>
      <c r="AC182" s="73"/>
      <c r="AD182" s="80" t="s">
        <v>1745</v>
      </c>
      <c r="AE182" s="80"/>
      <c r="AF182" s="80"/>
      <c r="AG182" s="80"/>
      <c r="AH182" s="80"/>
      <c r="AI182" s="80"/>
      <c r="AJ182" s="87">
        <v>42766.48715277778</v>
      </c>
      <c r="AK182" s="85" t="str">
        <f>HYPERLINK("https://yt3.ggpht.com/ytc/AAUvwngF7edmhDqXmYUm1u66Kt5nKvRFiMiWQyaJjtYirw=s88-c-k-c0x00ffffff-no-rj")</f>
        <v>https://yt3.ggpht.com/ytc/AAUvwngF7edmhDqXmYUm1u66Kt5nKvRFiMiWQyaJjtYirw=s88-c-k-c0x00ffffff-no-rj</v>
      </c>
      <c r="AL182" s="80">
        <v>1</v>
      </c>
      <c r="AM182" s="80">
        <v>0</v>
      </c>
      <c r="AN182" s="80">
        <v>0</v>
      </c>
      <c r="AO182" s="80" t="b">
        <v>0</v>
      </c>
      <c r="AP182" s="80">
        <v>1</v>
      </c>
      <c r="AQ182" s="80"/>
      <c r="AR182" s="80"/>
      <c r="AS182" s="80" t="s">
        <v>2664</v>
      </c>
      <c r="AT182" s="85" t="str">
        <f>HYPERLINK("https://www.youtube.com/channel/UC50kqnAFV1i8YVdc4VGzKCw")</f>
        <v>https://www.youtube.com/channel/UC50kqnAFV1i8YVdc4VGzKCw</v>
      </c>
      <c r="AU182" s="80" t="str">
        <f>REPLACE(INDEX(GroupVertices[Group],MATCH(Vertices[[#This Row],[Vertex]],GroupVertices[Vertex],0)),1,1,"")</f>
        <v>4</v>
      </c>
      <c r="AV182" s="49">
        <v>1</v>
      </c>
      <c r="AW182" s="50">
        <v>5.2631578947368425</v>
      </c>
      <c r="AX182" s="49">
        <v>3</v>
      </c>
      <c r="AY182" s="50">
        <v>15.789473684210526</v>
      </c>
      <c r="AZ182" s="49">
        <v>0</v>
      </c>
      <c r="BA182" s="50">
        <v>0</v>
      </c>
      <c r="BB182" s="49">
        <v>15</v>
      </c>
      <c r="BC182" s="50">
        <v>78.94736842105263</v>
      </c>
      <c r="BD182" s="49">
        <v>19</v>
      </c>
      <c r="BE182" s="49"/>
      <c r="BF182" s="49"/>
      <c r="BG182" s="49"/>
      <c r="BH182" s="49"/>
      <c r="BI182" s="49"/>
      <c r="BJ182" s="49"/>
      <c r="BK182" s="111" t="s">
        <v>3804</v>
      </c>
      <c r="BL182" s="111" t="s">
        <v>3804</v>
      </c>
      <c r="BM182" s="111" t="s">
        <v>4272</v>
      </c>
      <c r="BN182" s="111" t="s">
        <v>4272</v>
      </c>
      <c r="BO182" s="2"/>
      <c r="BP182" s="3"/>
      <c r="BQ182" s="3"/>
      <c r="BR182" s="3"/>
      <c r="BS182" s="3"/>
    </row>
    <row r="183" spans="1:71" ht="15">
      <c r="A183" s="65" t="s">
        <v>394</v>
      </c>
      <c r="B183" s="66"/>
      <c r="C183" s="66"/>
      <c r="D183" s="67">
        <v>1000</v>
      </c>
      <c r="E183" s="69"/>
      <c r="F183" s="103" t="str">
        <f>HYPERLINK("https://yt3.ggpht.com/ytc/AAUvwniazKMIUuLFJtcCFaW07tW1g5t6aJErYEkqjj_b0Q=s88-c-k-c0x00ffffff-no-rj")</f>
        <v>https://yt3.ggpht.com/ytc/AAUvwniazKMIUuLFJtcCFaW07tW1g5t6aJErYEkqjj_b0Q=s88-c-k-c0x00ffffff-no-rj</v>
      </c>
      <c r="G183" s="66"/>
      <c r="H183" s="70" t="s">
        <v>1753</v>
      </c>
      <c r="I183" s="71"/>
      <c r="J183" s="71" t="s">
        <v>75</v>
      </c>
      <c r="K183" s="70" t="s">
        <v>1753</v>
      </c>
      <c r="L183" s="74">
        <v>857.9714285714285</v>
      </c>
      <c r="M183" s="75">
        <v>9033.177734375</v>
      </c>
      <c r="N183" s="75">
        <v>7407.6611328125</v>
      </c>
      <c r="O183" s="76"/>
      <c r="P183" s="77"/>
      <c r="Q183" s="77"/>
      <c r="R183" s="89"/>
      <c r="S183" s="49">
        <v>9</v>
      </c>
      <c r="T183" s="49">
        <v>1</v>
      </c>
      <c r="U183" s="50">
        <v>4747.233333</v>
      </c>
      <c r="V183" s="50">
        <v>0.00091</v>
      </c>
      <c r="W183" s="50">
        <v>0</v>
      </c>
      <c r="X183" s="50">
        <v>4.131027</v>
      </c>
      <c r="Y183" s="50">
        <v>0.022222222222222223</v>
      </c>
      <c r="Z183" s="50">
        <v>0</v>
      </c>
      <c r="AA183" s="72">
        <v>183</v>
      </c>
      <c r="AB183" s="72"/>
      <c r="AC183" s="73"/>
      <c r="AD183" s="80" t="s">
        <v>1753</v>
      </c>
      <c r="AE183" s="80"/>
      <c r="AF183" s="80"/>
      <c r="AG183" s="80"/>
      <c r="AH183" s="80"/>
      <c r="AI183" s="80"/>
      <c r="AJ183" s="87">
        <v>43729.03643518518</v>
      </c>
      <c r="AK183" s="85" t="str">
        <f>HYPERLINK("https://yt3.ggpht.com/ytc/AAUvwniazKMIUuLFJtcCFaW07tW1g5t6aJErYEkqjj_b0Q=s88-c-k-c0x00ffffff-no-rj")</f>
        <v>https://yt3.ggpht.com/ytc/AAUvwniazKMIUuLFJtcCFaW07tW1g5t6aJErYEkqjj_b0Q=s88-c-k-c0x00ffffff-no-rj</v>
      </c>
      <c r="AL183" s="80">
        <v>0</v>
      </c>
      <c r="AM183" s="80">
        <v>0</v>
      </c>
      <c r="AN183" s="80">
        <v>13</v>
      </c>
      <c r="AO183" s="80" t="b">
        <v>0</v>
      </c>
      <c r="AP183" s="80">
        <v>0</v>
      </c>
      <c r="AQ183" s="80"/>
      <c r="AR183" s="80"/>
      <c r="AS183" s="80" t="s">
        <v>2664</v>
      </c>
      <c r="AT183" s="85" t="str">
        <f>HYPERLINK("https://www.youtube.com/channel/UCu6wTkukAyVqunE0TaKrzWw")</f>
        <v>https://www.youtube.com/channel/UCu6wTkukAyVqunE0TaKrzWw</v>
      </c>
      <c r="AU183" s="80" t="str">
        <f>REPLACE(INDEX(GroupVertices[Group],MATCH(Vertices[[#This Row],[Vertex]],GroupVertices[Vertex],0)),1,1,"")</f>
        <v>4</v>
      </c>
      <c r="AV183" s="49">
        <v>0</v>
      </c>
      <c r="AW183" s="50">
        <v>0</v>
      </c>
      <c r="AX183" s="49">
        <v>0</v>
      </c>
      <c r="AY183" s="50">
        <v>0</v>
      </c>
      <c r="AZ183" s="49">
        <v>0</v>
      </c>
      <c r="BA183" s="50">
        <v>0</v>
      </c>
      <c r="BB183" s="49">
        <v>9</v>
      </c>
      <c r="BC183" s="50">
        <v>100</v>
      </c>
      <c r="BD183" s="49">
        <v>9</v>
      </c>
      <c r="BE183" s="49"/>
      <c r="BF183" s="49"/>
      <c r="BG183" s="49"/>
      <c r="BH183" s="49"/>
      <c r="BI183" s="49"/>
      <c r="BJ183" s="49"/>
      <c r="BK183" s="111" t="s">
        <v>3805</v>
      </c>
      <c r="BL183" s="111" t="s">
        <v>3805</v>
      </c>
      <c r="BM183" s="111" t="s">
        <v>4273</v>
      </c>
      <c r="BN183" s="111" t="s">
        <v>4273</v>
      </c>
      <c r="BO183" s="2"/>
      <c r="BP183" s="3"/>
      <c r="BQ183" s="3"/>
      <c r="BR183" s="3"/>
      <c r="BS183" s="3"/>
    </row>
    <row r="184" spans="1:71" ht="15">
      <c r="A184" s="65" t="s">
        <v>387</v>
      </c>
      <c r="B184" s="66"/>
      <c r="C184" s="66"/>
      <c r="D184" s="67">
        <v>150</v>
      </c>
      <c r="E184" s="69"/>
      <c r="F184" s="103" t="str">
        <f>HYPERLINK("https://yt3.ggpht.com/ytc/AAUvwni5toEkaA9O2bG-BAB71RDdDK99zCpFqjrmFYRV=s88-c-k-c0x00ffffff-no-rj")</f>
        <v>https://yt3.ggpht.com/ytc/AAUvwni5toEkaA9O2bG-BAB71RDdDK99zCpFqjrmFYRV=s88-c-k-c0x00ffffff-no-rj</v>
      </c>
      <c r="G184" s="66"/>
      <c r="H184" s="70" t="s">
        <v>1746</v>
      </c>
      <c r="I184" s="71"/>
      <c r="J184" s="71" t="s">
        <v>159</v>
      </c>
      <c r="K184" s="70" t="s">
        <v>1746</v>
      </c>
      <c r="L184" s="74">
        <v>1</v>
      </c>
      <c r="M184" s="75">
        <v>9524.7763671875</v>
      </c>
      <c r="N184" s="75">
        <v>6925.08740234375</v>
      </c>
      <c r="O184" s="76"/>
      <c r="P184" s="77"/>
      <c r="Q184" s="77"/>
      <c r="R184" s="89"/>
      <c r="S184" s="49">
        <v>0</v>
      </c>
      <c r="T184" s="49">
        <v>1</v>
      </c>
      <c r="U184" s="50">
        <v>0</v>
      </c>
      <c r="V184" s="50">
        <v>0.000733</v>
      </c>
      <c r="W184" s="50">
        <v>0</v>
      </c>
      <c r="X184" s="50">
        <v>0.501137</v>
      </c>
      <c r="Y184" s="50">
        <v>0</v>
      </c>
      <c r="Z184" s="50">
        <v>0</v>
      </c>
      <c r="AA184" s="72">
        <v>184</v>
      </c>
      <c r="AB184" s="72"/>
      <c r="AC184" s="73"/>
      <c r="AD184" s="80" t="s">
        <v>1746</v>
      </c>
      <c r="AE184" s="80" t="s">
        <v>2475</v>
      </c>
      <c r="AF184" s="80"/>
      <c r="AG184" s="80"/>
      <c r="AH184" s="80"/>
      <c r="AI184" s="80"/>
      <c r="AJ184" s="87">
        <v>42131.11969907407</v>
      </c>
      <c r="AK184" s="85" t="str">
        <f>HYPERLINK("https://yt3.ggpht.com/ytc/AAUvwni5toEkaA9O2bG-BAB71RDdDK99zCpFqjrmFYRV=s88-c-k-c0x00ffffff-no-rj")</f>
        <v>https://yt3.ggpht.com/ytc/AAUvwni5toEkaA9O2bG-BAB71RDdDK99zCpFqjrmFYRV=s88-c-k-c0x00ffffff-no-rj</v>
      </c>
      <c r="AL184" s="80">
        <v>0</v>
      </c>
      <c r="AM184" s="80">
        <v>0</v>
      </c>
      <c r="AN184" s="80">
        <v>16</v>
      </c>
      <c r="AO184" s="80" t="b">
        <v>0</v>
      </c>
      <c r="AP184" s="80">
        <v>0</v>
      </c>
      <c r="AQ184" s="80"/>
      <c r="AR184" s="80"/>
      <c r="AS184" s="80" t="s">
        <v>2664</v>
      </c>
      <c r="AT184" s="85" t="str">
        <f>HYPERLINK("https://www.youtube.com/channel/UCzECW1QYDLBlfE5KIA2WyLw")</f>
        <v>https://www.youtube.com/channel/UCzECW1QYDLBlfE5KIA2WyLw</v>
      </c>
      <c r="AU184" s="80" t="str">
        <f>REPLACE(INDEX(GroupVertices[Group],MATCH(Vertices[[#This Row],[Vertex]],GroupVertices[Vertex],0)),1,1,"")</f>
        <v>4</v>
      </c>
      <c r="AV184" s="49">
        <v>0</v>
      </c>
      <c r="AW184" s="50">
        <v>0</v>
      </c>
      <c r="AX184" s="49">
        <v>0</v>
      </c>
      <c r="AY184" s="50">
        <v>0</v>
      </c>
      <c r="AZ184" s="49">
        <v>0</v>
      </c>
      <c r="BA184" s="50">
        <v>0</v>
      </c>
      <c r="BB184" s="49">
        <v>2</v>
      </c>
      <c r="BC184" s="50">
        <v>100</v>
      </c>
      <c r="BD184" s="49">
        <v>2</v>
      </c>
      <c r="BE184" s="49"/>
      <c r="BF184" s="49"/>
      <c r="BG184" s="49"/>
      <c r="BH184" s="49"/>
      <c r="BI184" s="49"/>
      <c r="BJ184" s="49"/>
      <c r="BK184" s="111" t="s">
        <v>2791</v>
      </c>
      <c r="BL184" s="111" t="s">
        <v>2791</v>
      </c>
      <c r="BM184" s="111" t="s">
        <v>2390</v>
      </c>
      <c r="BN184" s="111" t="s">
        <v>2390</v>
      </c>
      <c r="BO184" s="2"/>
      <c r="BP184" s="3"/>
      <c r="BQ184" s="3"/>
      <c r="BR184" s="3"/>
      <c r="BS184" s="3"/>
    </row>
    <row r="185" spans="1:71" ht="15">
      <c r="A185" s="65" t="s">
        <v>388</v>
      </c>
      <c r="B185" s="66"/>
      <c r="C185" s="66"/>
      <c r="D185" s="67">
        <v>150</v>
      </c>
      <c r="E185" s="69"/>
      <c r="F185" s="103" t="str">
        <f>HYPERLINK("https://yt3.ggpht.com/ytc/AAUvwngvUctRNdH2lUl90H2ccCfeLRJxpV6kw3N6yrSe=s88-c-k-c0x00ffffff-no-rj")</f>
        <v>https://yt3.ggpht.com/ytc/AAUvwngvUctRNdH2lUl90H2ccCfeLRJxpV6kw3N6yrSe=s88-c-k-c0x00ffffff-no-rj</v>
      </c>
      <c r="G185" s="66"/>
      <c r="H185" s="70" t="s">
        <v>1747</v>
      </c>
      <c r="I185" s="71"/>
      <c r="J185" s="71" t="s">
        <v>159</v>
      </c>
      <c r="K185" s="70" t="s">
        <v>1747</v>
      </c>
      <c r="L185" s="74">
        <v>1</v>
      </c>
      <c r="M185" s="75">
        <v>9809.7998046875</v>
      </c>
      <c r="N185" s="75">
        <v>7399.1279296875</v>
      </c>
      <c r="O185" s="76"/>
      <c r="P185" s="77"/>
      <c r="Q185" s="77"/>
      <c r="R185" s="89"/>
      <c r="S185" s="49">
        <v>0</v>
      </c>
      <c r="T185" s="49">
        <v>1</v>
      </c>
      <c r="U185" s="50">
        <v>0</v>
      </c>
      <c r="V185" s="50">
        <v>0.000733</v>
      </c>
      <c r="W185" s="50">
        <v>0</v>
      </c>
      <c r="X185" s="50">
        <v>0.501137</v>
      </c>
      <c r="Y185" s="50">
        <v>0</v>
      </c>
      <c r="Z185" s="50">
        <v>0</v>
      </c>
      <c r="AA185" s="72">
        <v>185</v>
      </c>
      <c r="AB185" s="72"/>
      <c r="AC185" s="73"/>
      <c r="AD185" s="80" t="s">
        <v>1747</v>
      </c>
      <c r="AE185" s="80" t="s">
        <v>2476</v>
      </c>
      <c r="AF185" s="80"/>
      <c r="AG185" s="80"/>
      <c r="AH185" s="80"/>
      <c r="AI185" s="80"/>
      <c r="AJ185" s="87">
        <v>43665.66202546296</v>
      </c>
      <c r="AK185" s="85" t="str">
        <f>HYPERLINK("https://yt3.ggpht.com/ytc/AAUvwngvUctRNdH2lUl90H2ccCfeLRJxpV6kw3N6yrSe=s88-c-k-c0x00ffffff-no-rj")</f>
        <v>https://yt3.ggpht.com/ytc/AAUvwngvUctRNdH2lUl90H2ccCfeLRJxpV6kw3N6yrSe=s88-c-k-c0x00ffffff-no-rj</v>
      </c>
      <c r="AL185" s="80">
        <v>320</v>
      </c>
      <c r="AM185" s="80">
        <v>0</v>
      </c>
      <c r="AN185" s="80">
        <v>30</v>
      </c>
      <c r="AO185" s="80" t="b">
        <v>0</v>
      </c>
      <c r="AP185" s="80">
        <v>8</v>
      </c>
      <c r="AQ185" s="80"/>
      <c r="AR185" s="80"/>
      <c r="AS185" s="80" t="s">
        <v>2664</v>
      </c>
      <c r="AT185" s="85" t="str">
        <f>HYPERLINK("https://www.youtube.com/channel/UC6Ay0pZCXvOaPaPPYOy6s0A")</f>
        <v>https://www.youtube.com/channel/UC6Ay0pZCXvOaPaPPYOy6s0A</v>
      </c>
      <c r="AU185" s="80" t="str">
        <f>REPLACE(INDEX(GroupVertices[Group],MATCH(Vertices[[#This Row],[Vertex]],GroupVertices[Vertex],0)),1,1,"")</f>
        <v>4</v>
      </c>
      <c r="AV185" s="49">
        <v>0</v>
      </c>
      <c r="AW185" s="50">
        <v>0</v>
      </c>
      <c r="AX185" s="49">
        <v>0</v>
      </c>
      <c r="AY185" s="50">
        <v>0</v>
      </c>
      <c r="AZ185" s="49">
        <v>0</v>
      </c>
      <c r="BA185" s="50">
        <v>0</v>
      </c>
      <c r="BB185" s="49">
        <v>2</v>
      </c>
      <c r="BC185" s="50">
        <v>100</v>
      </c>
      <c r="BD185" s="49">
        <v>2</v>
      </c>
      <c r="BE185" s="49"/>
      <c r="BF185" s="49"/>
      <c r="BG185" s="49"/>
      <c r="BH185" s="49"/>
      <c r="BI185" s="49"/>
      <c r="BJ185" s="49"/>
      <c r="BK185" s="111" t="s">
        <v>3121</v>
      </c>
      <c r="BL185" s="111" t="s">
        <v>3121</v>
      </c>
      <c r="BM185" s="111" t="s">
        <v>2390</v>
      </c>
      <c r="BN185" s="111" t="s">
        <v>2390</v>
      </c>
      <c r="BO185" s="2"/>
      <c r="BP185" s="3"/>
      <c r="BQ185" s="3"/>
      <c r="BR185" s="3"/>
      <c r="BS185" s="3"/>
    </row>
    <row r="186" spans="1:71" ht="15">
      <c r="A186" s="65" t="s">
        <v>389</v>
      </c>
      <c r="B186" s="66"/>
      <c r="C186" s="66"/>
      <c r="D186" s="67">
        <v>150</v>
      </c>
      <c r="E186" s="69"/>
      <c r="F186" s="103" t="str">
        <f>HYPERLINK("https://yt3.ggpht.com/ytc/AAUvwnitW4YWXO89eLFYvvlLvdnPkU6H_abpxuar4_n_=s88-c-k-c0x00ffffff-no-rj")</f>
        <v>https://yt3.ggpht.com/ytc/AAUvwnitW4YWXO89eLFYvvlLvdnPkU6H_abpxuar4_n_=s88-c-k-c0x00ffffff-no-rj</v>
      </c>
      <c r="G186" s="66"/>
      <c r="H186" s="70" t="s">
        <v>1748</v>
      </c>
      <c r="I186" s="71"/>
      <c r="J186" s="71" t="s">
        <v>159</v>
      </c>
      <c r="K186" s="70" t="s">
        <v>1748</v>
      </c>
      <c r="L186" s="74">
        <v>1</v>
      </c>
      <c r="M186" s="75">
        <v>8874.7958984375</v>
      </c>
      <c r="N186" s="75">
        <v>6487.79052734375</v>
      </c>
      <c r="O186" s="76"/>
      <c r="P186" s="77"/>
      <c r="Q186" s="77"/>
      <c r="R186" s="89"/>
      <c r="S186" s="49">
        <v>0</v>
      </c>
      <c r="T186" s="49">
        <v>1</v>
      </c>
      <c r="U186" s="50">
        <v>0</v>
      </c>
      <c r="V186" s="50">
        <v>0.000733</v>
      </c>
      <c r="W186" s="50">
        <v>0</v>
      </c>
      <c r="X186" s="50">
        <v>0.501137</v>
      </c>
      <c r="Y186" s="50">
        <v>0</v>
      </c>
      <c r="Z186" s="50">
        <v>0</v>
      </c>
      <c r="AA186" s="72">
        <v>186</v>
      </c>
      <c r="AB186" s="72"/>
      <c r="AC186" s="73"/>
      <c r="AD186" s="80" t="s">
        <v>1748</v>
      </c>
      <c r="AE186" s="80" t="s">
        <v>2477</v>
      </c>
      <c r="AF186" s="80"/>
      <c r="AG186" s="80"/>
      <c r="AH186" s="80"/>
      <c r="AI186" s="80"/>
      <c r="AJ186" s="87">
        <v>43719.048796296294</v>
      </c>
      <c r="AK186" s="85" t="str">
        <f>HYPERLINK("https://yt3.ggpht.com/ytc/AAUvwnitW4YWXO89eLFYvvlLvdnPkU6H_abpxuar4_n_=s88-c-k-c0x00ffffff-no-rj")</f>
        <v>https://yt3.ggpht.com/ytc/AAUvwnitW4YWXO89eLFYvvlLvdnPkU6H_abpxuar4_n_=s88-c-k-c0x00ffffff-no-rj</v>
      </c>
      <c r="AL186" s="80">
        <v>1</v>
      </c>
      <c r="AM186" s="80">
        <v>0</v>
      </c>
      <c r="AN186" s="80">
        <v>0</v>
      </c>
      <c r="AO186" s="80" t="b">
        <v>0</v>
      </c>
      <c r="AP186" s="80">
        <v>1</v>
      </c>
      <c r="AQ186" s="80"/>
      <c r="AR186" s="80"/>
      <c r="AS186" s="80" t="s">
        <v>2664</v>
      </c>
      <c r="AT186" s="85" t="str">
        <f>HYPERLINK("https://www.youtube.com/channel/UC-YSMJTWUtL5hAeon8YDW4Q")</f>
        <v>https://www.youtube.com/channel/UC-YSMJTWUtL5hAeon8YDW4Q</v>
      </c>
      <c r="AU186" s="80" t="str">
        <f>REPLACE(INDEX(GroupVertices[Group],MATCH(Vertices[[#This Row],[Vertex]],GroupVertices[Vertex],0)),1,1,"")</f>
        <v>4</v>
      </c>
      <c r="AV186" s="49">
        <v>0</v>
      </c>
      <c r="AW186" s="50">
        <v>0</v>
      </c>
      <c r="AX186" s="49">
        <v>0</v>
      </c>
      <c r="AY186" s="50">
        <v>0</v>
      </c>
      <c r="AZ186" s="49">
        <v>0</v>
      </c>
      <c r="BA186" s="50">
        <v>0</v>
      </c>
      <c r="BB186" s="49">
        <v>6</v>
      </c>
      <c r="BC186" s="50">
        <v>100</v>
      </c>
      <c r="BD186" s="49">
        <v>6</v>
      </c>
      <c r="BE186" s="49"/>
      <c r="BF186" s="49"/>
      <c r="BG186" s="49"/>
      <c r="BH186" s="49"/>
      <c r="BI186" s="49"/>
      <c r="BJ186" s="49"/>
      <c r="BK186" s="111" t="s">
        <v>3806</v>
      </c>
      <c r="BL186" s="111" t="s">
        <v>3806</v>
      </c>
      <c r="BM186" s="111" t="s">
        <v>2390</v>
      </c>
      <c r="BN186" s="111" t="s">
        <v>2390</v>
      </c>
      <c r="BO186" s="2"/>
      <c r="BP186" s="3"/>
      <c r="BQ186" s="3"/>
      <c r="BR186" s="3"/>
      <c r="BS186" s="3"/>
    </row>
    <row r="187" spans="1:71" ht="15">
      <c r="A187" s="65" t="s">
        <v>390</v>
      </c>
      <c r="B187" s="66"/>
      <c r="C187" s="66"/>
      <c r="D187" s="67">
        <v>150</v>
      </c>
      <c r="E187" s="69"/>
      <c r="F187" s="103" t="str">
        <f>HYPERLINK("https://yt3.ggpht.com/ytc/AAUvwni2_6rqoXvCgQURV5KUjivSY6YfQFVRm99ZbxF28A=s88-c-k-c0x00ffffff-no-rj")</f>
        <v>https://yt3.ggpht.com/ytc/AAUvwni2_6rqoXvCgQURV5KUjivSY6YfQFVRm99ZbxF28A=s88-c-k-c0x00ffffff-no-rj</v>
      </c>
      <c r="G187" s="66"/>
      <c r="H187" s="70" t="s">
        <v>1749</v>
      </c>
      <c r="I187" s="71"/>
      <c r="J187" s="71" t="s">
        <v>159</v>
      </c>
      <c r="K187" s="70" t="s">
        <v>1749</v>
      </c>
      <c r="L187" s="74">
        <v>1</v>
      </c>
      <c r="M187" s="75">
        <v>9332.6220703125</v>
      </c>
      <c r="N187" s="75">
        <v>6740.08154296875</v>
      </c>
      <c r="O187" s="76"/>
      <c r="P187" s="77"/>
      <c r="Q187" s="77"/>
      <c r="R187" s="89"/>
      <c r="S187" s="49">
        <v>0</v>
      </c>
      <c r="T187" s="49">
        <v>1</v>
      </c>
      <c r="U187" s="50">
        <v>0</v>
      </c>
      <c r="V187" s="50">
        <v>0.000733</v>
      </c>
      <c r="W187" s="50">
        <v>0</v>
      </c>
      <c r="X187" s="50">
        <v>0.501137</v>
      </c>
      <c r="Y187" s="50">
        <v>0</v>
      </c>
      <c r="Z187" s="50">
        <v>0</v>
      </c>
      <c r="AA187" s="72">
        <v>187</v>
      </c>
      <c r="AB187" s="72"/>
      <c r="AC187" s="73"/>
      <c r="AD187" s="80" t="s">
        <v>1749</v>
      </c>
      <c r="AE187" s="80"/>
      <c r="AF187" s="80"/>
      <c r="AG187" s="80"/>
      <c r="AH187" s="80"/>
      <c r="AI187" s="80"/>
      <c r="AJ187" s="87">
        <v>42965.728159722225</v>
      </c>
      <c r="AK187" s="85" t="str">
        <f>HYPERLINK("https://yt3.ggpht.com/ytc/AAUvwni2_6rqoXvCgQURV5KUjivSY6YfQFVRm99ZbxF28A=s88-c-k-c0x00ffffff-no-rj")</f>
        <v>https://yt3.ggpht.com/ytc/AAUvwni2_6rqoXvCgQURV5KUjivSY6YfQFVRm99ZbxF28A=s88-c-k-c0x00ffffff-no-rj</v>
      </c>
      <c r="AL187" s="80">
        <v>9</v>
      </c>
      <c r="AM187" s="80">
        <v>0</v>
      </c>
      <c r="AN187" s="80">
        <v>0</v>
      </c>
      <c r="AO187" s="80" t="b">
        <v>0</v>
      </c>
      <c r="AP187" s="80">
        <v>1</v>
      </c>
      <c r="AQ187" s="80"/>
      <c r="AR187" s="80"/>
      <c r="AS187" s="80" t="s">
        <v>2664</v>
      </c>
      <c r="AT187" s="85" t="str">
        <f>HYPERLINK("https://www.youtube.com/channel/UCdq_WSt0JCjBKXydTu1rgTQ")</f>
        <v>https://www.youtube.com/channel/UCdq_WSt0JCjBKXydTu1rgTQ</v>
      </c>
      <c r="AU187" s="80" t="str">
        <f>REPLACE(INDEX(GroupVertices[Group],MATCH(Vertices[[#This Row],[Vertex]],GroupVertices[Vertex],0)),1,1,"")</f>
        <v>4</v>
      </c>
      <c r="AV187" s="49">
        <v>0</v>
      </c>
      <c r="AW187" s="50">
        <v>0</v>
      </c>
      <c r="AX187" s="49">
        <v>1</v>
      </c>
      <c r="AY187" s="50">
        <v>16.666666666666668</v>
      </c>
      <c r="AZ187" s="49">
        <v>0</v>
      </c>
      <c r="BA187" s="50">
        <v>0</v>
      </c>
      <c r="BB187" s="49">
        <v>5</v>
      </c>
      <c r="BC187" s="50">
        <v>83.33333333333333</v>
      </c>
      <c r="BD187" s="49">
        <v>6</v>
      </c>
      <c r="BE187" s="49"/>
      <c r="BF187" s="49"/>
      <c r="BG187" s="49"/>
      <c r="BH187" s="49"/>
      <c r="BI187" s="49"/>
      <c r="BJ187" s="49"/>
      <c r="BK187" s="111" t="s">
        <v>3807</v>
      </c>
      <c r="BL187" s="111" t="s">
        <v>3807</v>
      </c>
      <c r="BM187" s="111" t="s">
        <v>4274</v>
      </c>
      <c r="BN187" s="111" t="s">
        <v>4274</v>
      </c>
      <c r="BO187" s="2"/>
      <c r="BP187" s="3"/>
      <c r="BQ187" s="3"/>
      <c r="BR187" s="3"/>
      <c r="BS187" s="3"/>
    </row>
    <row r="188" spans="1:71" ht="15">
      <c r="A188" s="65" t="s">
        <v>391</v>
      </c>
      <c r="B188" s="66"/>
      <c r="C188" s="66"/>
      <c r="D188" s="67">
        <v>150</v>
      </c>
      <c r="E188" s="69"/>
      <c r="F188" s="103" t="str">
        <f>HYPERLINK("https://yt3.ggpht.com/ytc/AAUvwnhHy5HsO6X6kSa0zT_ujQ818pIRA2WmhmOgSQLG=s88-c-k-c0x00ffffff-no-rj")</f>
        <v>https://yt3.ggpht.com/ytc/AAUvwnhHy5HsO6X6kSa0zT_ujQ818pIRA2WmhmOgSQLG=s88-c-k-c0x00ffffff-no-rj</v>
      </c>
      <c r="G188" s="66"/>
      <c r="H188" s="70" t="s">
        <v>1750</v>
      </c>
      <c r="I188" s="71"/>
      <c r="J188" s="71" t="s">
        <v>159</v>
      </c>
      <c r="K188" s="70" t="s">
        <v>1750</v>
      </c>
      <c r="L188" s="74">
        <v>1</v>
      </c>
      <c r="M188" s="75">
        <v>9120.490234375</v>
      </c>
      <c r="N188" s="75">
        <v>6596.11279296875</v>
      </c>
      <c r="O188" s="76"/>
      <c r="P188" s="77"/>
      <c r="Q188" s="77"/>
      <c r="R188" s="89"/>
      <c r="S188" s="49">
        <v>0</v>
      </c>
      <c r="T188" s="49">
        <v>1</v>
      </c>
      <c r="U188" s="50">
        <v>0</v>
      </c>
      <c r="V188" s="50">
        <v>0.000733</v>
      </c>
      <c r="W188" s="50">
        <v>0</v>
      </c>
      <c r="X188" s="50">
        <v>0.501137</v>
      </c>
      <c r="Y188" s="50">
        <v>0</v>
      </c>
      <c r="Z188" s="50">
        <v>0</v>
      </c>
      <c r="AA188" s="72">
        <v>188</v>
      </c>
      <c r="AB188" s="72"/>
      <c r="AC188" s="73"/>
      <c r="AD188" s="80" t="s">
        <v>1750</v>
      </c>
      <c r="AE188" s="80" t="s">
        <v>2478</v>
      </c>
      <c r="AF188" s="80"/>
      <c r="AG188" s="80"/>
      <c r="AH188" s="80"/>
      <c r="AI188" s="80"/>
      <c r="AJ188" s="87">
        <v>43817.9919212963</v>
      </c>
      <c r="AK188" s="85" t="str">
        <f>HYPERLINK("https://yt3.ggpht.com/ytc/AAUvwnhHy5HsO6X6kSa0zT_ujQ818pIRA2WmhmOgSQLG=s88-c-k-c0x00ffffff-no-rj")</f>
        <v>https://yt3.ggpht.com/ytc/AAUvwnhHy5HsO6X6kSa0zT_ujQ818pIRA2WmhmOgSQLG=s88-c-k-c0x00ffffff-no-rj</v>
      </c>
      <c r="AL188" s="80">
        <v>67</v>
      </c>
      <c r="AM188" s="80">
        <v>0</v>
      </c>
      <c r="AN188" s="80">
        <v>8</v>
      </c>
      <c r="AO188" s="80" t="b">
        <v>0</v>
      </c>
      <c r="AP188" s="80">
        <v>1</v>
      </c>
      <c r="AQ188" s="80"/>
      <c r="AR188" s="80"/>
      <c r="AS188" s="80" t="s">
        <v>2664</v>
      </c>
      <c r="AT188" s="85" t="str">
        <f>HYPERLINK("https://www.youtube.com/channel/UCrUysV9Hi3CdSQ--IqmXjVw")</f>
        <v>https://www.youtube.com/channel/UCrUysV9Hi3CdSQ--IqmXjVw</v>
      </c>
      <c r="AU188" s="80" t="str">
        <f>REPLACE(INDEX(GroupVertices[Group],MATCH(Vertices[[#This Row],[Vertex]],GroupVertices[Vertex],0)),1,1,"")</f>
        <v>4</v>
      </c>
      <c r="AV188" s="49">
        <v>0</v>
      </c>
      <c r="AW188" s="50">
        <v>0</v>
      </c>
      <c r="AX188" s="49">
        <v>0</v>
      </c>
      <c r="AY188" s="50">
        <v>0</v>
      </c>
      <c r="AZ188" s="49">
        <v>0</v>
      </c>
      <c r="BA188" s="50">
        <v>0</v>
      </c>
      <c r="BB188" s="49">
        <v>1</v>
      </c>
      <c r="BC188" s="50">
        <v>100</v>
      </c>
      <c r="BD188" s="49">
        <v>1</v>
      </c>
      <c r="BE188" s="49"/>
      <c r="BF188" s="49"/>
      <c r="BG188" s="49"/>
      <c r="BH188" s="49"/>
      <c r="BI188" s="49"/>
      <c r="BJ188" s="49"/>
      <c r="BK188" s="111" t="s">
        <v>1059</v>
      </c>
      <c r="BL188" s="111" t="s">
        <v>1059</v>
      </c>
      <c r="BM188" s="111" t="s">
        <v>2390</v>
      </c>
      <c r="BN188" s="111" t="s">
        <v>2390</v>
      </c>
      <c r="BO188" s="2"/>
      <c r="BP188" s="3"/>
      <c r="BQ188" s="3"/>
      <c r="BR188" s="3"/>
      <c r="BS188" s="3"/>
    </row>
    <row r="189" spans="1:71" ht="15">
      <c r="A189" s="65" t="s">
        <v>392</v>
      </c>
      <c r="B189" s="66"/>
      <c r="C189" s="66"/>
      <c r="D189" s="67">
        <v>150</v>
      </c>
      <c r="E189" s="69"/>
      <c r="F189" s="103" t="str">
        <f>HYPERLINK("https://yt3.ggpht.com/ytc/AAUvwnjxmpDF8hs3Iwg76ZXiIDkt2IpETqGGPbLwPuw9xg=s88-c-k-c0x00ffffff-no-rj")</f>
        <v>https://yt3.ggpht.com/ytc/AAUvwnjxmpDF8hs3Iwg76ZXiIDkt2IpETqGGPbLwPuw9xg=s88-c-k-c0x00ffffff-no-rj</v>
      </c>
      <c r="G189" s="66"/>
      <c r="H189" s="70" t="s">
        <v>1751</v>
      </c>
      <c r="I189" s="71"/>
      <c r="J189" s="71" t="s">
        <v>159</v>
      </c>
      <c r="K189" s="70" t="s">
        <v>1751</v>
      </c>
      <c r="L189" s="74">
        <v>1</v>
      </c>
      <c r="M189" s="75">
        <v>9892.853515625</v>
      </c>
      <c r="N189" s="75">
        <v>7674.642578125</v>
      </c>
      <c r="O189" s="76"/>
      <c r="P189" s="77"/>
      <c r="Q189" s="77"/>
      <c r="R189" s="89"/>
      <c r="S189" s="49">
        <v>0</v>
      </c>
      <c r="T189" s="49">
        <v>2</v>
      </c>
      <c r="U189" s="50">
        <v>2722.5</v>
      </c>
      <c r="V189" s="50">
        <v>0.001012</v>
      </c>
      <c r="W189" s="50">
        <v>0</v>
      </c>
      <c r="X189" s="50">
        <v>0.831683</v>
      </c>
      <c r="Y189" s="50">
        <v>0</v>
      </c>
      <c r="Z189" s="50">
        <v>0</v>
      </c>
      <c r="AA189" s="72">
        <v>189</v>
      </c>
      <c r="AB189" s="72"/>
      <c r="AC189" s="73"/>
      <c r="AD189" s="80" t="s">
        <v>1751</v>
      </c>
      <c r="AE189" s="80" t="s">
        <v>2479</v>
      </c>
      <c r="AF189" s="80"/>
      <c r="AG189" s="80"/>
      <c r="AH189" s="80"/>
      <c r="AI189" s="80"/>
      <c r="AJ189" s="87">
        <v>43546.05578703704</v>
      </c>
      <c r="AK189" s="85" t="str">
        <f>HYPERLINK("https://yt3.ggpht.com/ytc/AAUvwnjxmpDF8hs3Iwg76ZXiIDkt2IpETqGGPbLwPuw9xg=s88-c-k-c0x00ffffff-no-rj")</f>
        <v>https://yt3.ggpht.com/ytc/AAUvwnjxmpDF8hs3Iwg76ZXiIDkt2IpETqGGPbLwPuw9xg=s88-c-k-c0x00ffffff-no-rj</v>
      </c>
      <c r="AL189" s="80">
        <v>0</v>
      </c>
      <c r="AM189" s="80">
        <v>0</v>
      </c>
      <c r="AN189" s="80">
        <v>12</v>
      </c>
      <c r="AO189" s="80" t="b">
        <v>0</v>
      </c>
      <c r="AP189" s="80">
        <v>0</v>
      </c>
      <c r="AQ189" s="80"/>
      <c r="AR189" s="80"/>
      <c r="AS189" s="80" t="s">
        <v>2664</v>
      </c>
      <c r="AT189" s="85" t="str">
        <f>HYPERLINK("https://www.youtube.com/channel/UCcR3lvb6rzItuTw9H5_I2TQ")</f>
        <v>https://www.youtube.com/channel/UCcR3lvb6rzItuTw9H5_I2TQ</v>
      </c>
      <c r="AU189" s="80" t="str">
        <f>REPLACE(INDEX(GroupVertices[Group],MATCH(Vertices[[#This Row],[Vertex]],GroupVertices[Vertex],0)),1,1,"")</f>
        <v>4</v>
      </c>
      <c r="AV189" s="49">
        <v>0</v>
      </c>
      <c r="AW189" s="50">
        <v>0</v>
      </c>
      <c r="AX189" s="49">
        <v>1</v>
      </c>
      <c r="AY189" s="50">
        <v>20</v>
      </c>
      <c r="AZ189" s="49">
        <v>0</v>
      </c>
      <c r="BA189" s="50">
        <v>0</v>
      </c>
      <c r="BB189" s="49">
        <v>4</v>
      </c>
      <c r="BC189" s="50">
        <v>80</v>
      </c>
      <c r="BD189" s="49">
        <v>5</v>
      </c>
      <c r="BE189" s="49"/>
      <c r="BF189" s="49"/>
      <c r="BG189" s="49"/>
      <c r="BH189" s="49"/>
      <c r="BI189" s="49"/>
      <c r="BJ189" s="49"/>
      <c r="BK189" s="111" t="s">
        <v>3808</v>
      </c>
      <c r="BL189" s="111" t="s">
        <v>3808</v>
      </c>
      <c r="BM189" s="111" t="s">
        <v>4275</v>
      </c>
      <c r="BN189" s="111" t="s">
        <v>4275</v>
      </c>
      <c r="BO189" s="2"/>
      <c r="BP189" s="3"/>
      <c r="BQ189" s="3"/>
      <c r="BR189" s="3"/>
      <c r="BS189" s="3"/>
    </row>
    <row r="190" spans="1:71" ht="15">
      <c r="A190" s="65" t="s">
        <v>393</v>
      </c>
      <c r="B190" s="66"/>
      <c r="C190" s="66"/>
      <c r="D190" s="67">
        <v>150</v>
      </c>
      <c r="E190" s="69"/>
      <c r="F190" s="103" t="str">
        <f>HYPERLINK("https://yt3.ggpht.com/ytc/AAUvwnj-VJcK_AQvYNmcMVJAfu7hSLLW01NxSj3I9cpdjA=s88-c-k-c0x00ffffff-no-rj")</f>
        <v>https://yt3.ggpht.com/ytc/AAUvwnj-VJcK_AQvYNmcMVJAfu7hSLLW01NxSj3I9cpdjA=s88-c-k-c0x00ffffff-no-rj</v>
      </c>
      <c r="G190" s="66"/>
      <c r="H190" s="70" t="s">
        <v>1752</v>
      </c>
      <c r="I190" s="71"/>
      <c r="J190" s="71" t="s">
        <v>159</v>
      </c>
      <c r="K190" s="70" t="s">
        <v>1752</v>
      </c>
      <c r="L190" s="74">
        <v>1</v>
      </c>
      <c r="M190" s="75">
        <v>8817.0205078125</v>
      </c>
      <c r="N190" s="75">
        <v>7406.896484375</v>
      </c>
      <c r="O190" s="76"/>
      <c r="P190" s="77"/>
      <c r="Q190" s="77"/>
      <c r="R190" s="89"/>
      <c r="S190" s="49">
        <v>0</v>
      </c>
      <c r="T190" s="49">
        <v>2</v>
      </c>
      <c r="U190" s="50">
        <v>0</v>
      </c>
      <c r="V190" s="50">
        <v>0.000881</v>
      </c>
      <c r="W190" s="50">
        <v>0</v>
      </c>
      <c r="X190" s="50">
        <v>0.860377</v>
      </c>
      <c r="Y190" s="50">
        <v>0.5</v>
      </c>
      <c r="Z190" s="50">
        <v>0</v>
      </c>
      <c r="AA190" s="72">
        <v>190</v>
      </c>
      <c r="AB190" s="72"/>
      <c r="AC190" s="73"/>
      <c r="AD190" s="80" t="s">
        <v>1752</v>
      </c>
      <c r="AE190" s="80" t="s">
        <v>2480</v>
      </c>
      <c r="AF190" s="80"/>
      <c r="AG190" s="80"/>
      <c r="AH190" s="80"/>
      <c r="AI190" s="80"/>
      <c r="AJ190" s="87">
        <v>42861.036770833336</v>
      </c>
      <c r="AK190" s="85" t="str">
        <f>HYPERLINK("https://yt3.ggpht.com/ytc/AAUvwnj-VJcK_AQvYNmcMVJAfu7hSLLW01NxSj3I9cpdjA=s88-c-k-c0x00ffffff-no-rj")</f>
        <v>https://yt3.ggpht.com/ytc/AAUvwnj-VJcK_AQvYNmcMVJAfu7hSLLW01NxSj3I9cpdjA=s88-c-k-c0x00ffffff-no-rj</v>
      </c>
      <c r="AL190" s="80">
        <v>1380</v>
      </c>
      <c r="AM190" s="80">
        <v>0</v>
      </c>
      <c r="AN190" s="80">
        <v>46</v>
      </c>
      <c r="AO190" s="80" t="b">
        <v>0</v>
      </c>
      <c r="AP190" s="80">
        <v>19</v>
      </c>
      <c r="AQ190" s="80"/>
      <c r="AR190" s="80"/>
      <c r="AS190" s="80" t="s">
        <v>2664</v>
      </c>
      <c r="AT190" s="85" t="str">
        <f>HYPERLINK("https://www.youtube.com/channel/UChIdhlau-9aLJ_ClYaiTwxQ")</f>
        <v>https://www.youtube.com/channel/UChIdhlau-9aLJ_ClYaiTwxQ</v>
      </c>
      <c r="AU190" s="80" t="str">
        <f>REPLACE(INDEX(GroupVertices[Group],MATCH(Vertices[[#This Row],[Vertex]],GroupVertices[Vertex],0)),1,1,"")</f>
        <v>4</v>
      </c>
      <c r="AV190" s="49">
        <v>1</v>
      </c>
      <c r="AW190" s="50">
        <v>3.4482758620689653</v>
      </c>
      <c r="AX190" s="49">
        <v>2</v>
      </c>
      <c r="AY190" s="50">
        <v>6.896551724137931</v>
      </c>
      <c r="AZ190" s="49">
        <v>0</v>
      </c>
      <c r="BA190" s="50">
        <v>0</v>
      </c>
      <c r="BB190" s="49">
        <v>26</v>
      </c>
      <c r="BC190" s="50">
        <v>89.65517241379311</v>
      </c>
      <c r="BD190" s="49">
        <v>29</v>
      </c>
      <c r="BE190" s="49"/>
      <c r="BF190" s="49"/>
      <c r="BG190" s="49"/>
      <c r="BH190" s="49"/>
      <c r="BI190" s="49"/>
      <c r="BJ190" s="49"/>
      <c r="BK190" s="111" t="s">
        <v>3809</v>
      </c>
      <c r="BL190" s="111" t="s">
        <v>3809</v>
      </c>
      <c r="BM190" s="111" t="s">
        <v>4276</v>
      </c>
      <c r="BN190" s="111" t="s">
        <v>4276</v>
      </c>
      <c r="BO190" s="2"/>
      <c r="BP190" s="3"/>
      <c r="BQ190" s="3"/>
      <c r="BR190" s="3"/>
      <c r="BS190" s="3"/>
    </row>
    <row r="191" spans="1:71" ht="15">
      <c r="A191" s="65" t="s">
        <v>395</v>
      </c>
      <c r="B191" s="66"/>
      <c r="C191" s="66"/>
      <c r="D191" s="67">
        <v>150</v>
      </c>
      <c r="E191" s="69"/>
      <c r="F191" s="103" t="str">
        <f>HYPERLINK("https://yt3.ggpht.com/a/default-user=s88")</f>
        <v>https://yt3.ggpht.com/a/default-user=s88</v>
      </c>
      <c r="G191" s="66"/>
      <c r="H191" s="70" t="s">
        <v>1754</v>
      </c>
      <c r="I191" s="71"/>
      <c r="J191" s="71" t="s">
        <v>159</v>
      </c>
      <c r="K191" s="70" t="s">
        <v>1754</v>
      </c>
      <c r="L191" s="74">
        <v>1</v>
      </c>
      <c r="M191" s="75">
        <v>6782.76123046875</v>
      </c>
      <c r="N191" s="75">
        <v>7586.48974609375</v>
      </c>
      <c r="O191" s="76"/>
      <c r="P191" s="77"/>
      <c r="Q191" s="77"/>
      <c r="R191" s="89"/>
      <c r="S191" s="49">
        <v>0</v>
      </c>
      <c r="T191" s="49">
        <v>1</v>
      </c>
      <c r="U191" s="50">
        <v>0</v>
      </c>
      <c r="V191" s="50">
        <v>0.000702</v>
      </c>
      <c r="W191" s="50">
        <v>0</v>
      </c>
      <c r="X191" s="50">
        <v>0.567751</v>
      </c>
      <c r="Y191" s="50">
        <v>0</v>
      </c>
      <c r="Z191" s="50">
        <v>0</v>
      </c>
      <c r="AA191" s="72">
        <v>191</v>
      </c>
      <c r="AB191" s="72"/>
      <c r="AC191" s="73"/>
      <c r="AD191" s="80" t="s">
        <v>1754</v>
      </c>
      <c r="AE191" s="80" t="s">
        <v>2481</v>
      </c>
      <c r="AF191" s="80"/>
      <c r="AG191" s="80"/>
      <c r="AH191" s="80"/>
      <c r="AI191" s="80"/>
      <c r="AJ191" s="87">
        <v>43336.95878472222</v>
      </c>
      <c r="AK191" s="85" t="str">
        <f>HYPERLINK("https://yt3.ggpht.com/a/default-user=s88")</f>
        <v>https://yt3.ggpht.com/a/default-user=s88</v>
      </c>
      <c r="AL191" s="80">
        <v>0</v>
      </c>
      <c r="AM191" s="80">
        <v>0</v>
      </c>
      <c r="AN191" s="80">
        <v>5</v>
      </c>
      <c r="AO191" s="80" t="b">
        <v>0</v>
      </c>
      <c r="AP191" s="80">
        <v>0</v>
      </c>
      <c r="AQ191" s="80"/>
      <c r="AR191" s="80"/>
      <c r="AS191" s="80" t="s">
        <v>2664</v>
      </c>
      <c r="AT191" s="85" t="str">
        <f>HYPERLINK("https://www.youtube.com/channel/UCe5vN9iYzWRu3MV8QdPaSoQ")</f>
        <v>https://www.youtube.com/channel/UCe5vN9iYzWRu3MV8QdPaSoQ</v>
      </c>
      <c r="AU191" s="80" t="str">
        <f>REPLACE(INDEX(GroupVertices[Group],MATCH(Vertices[[#This Row],[Vertex]],GroupVertices[Vertex],0)),1,1,"")</f>
        <v>4</v>
      </c>
      <c r="AV191" s="49">
        <v>0</v>
      </c>
      <c r="AW191" s="50">
        <v>0</v>
      </c>
      <c r="AX191" s="49">
        <v>0</v>
      </c>
      <c r="AY191" s="50">
        <v>0</v>
      </c>
      <c r="AZ191" s="49">
        <v>0</v>
      </c>
      <c r="BA191" s="50">
        <v>0</v>
      </c>
      <c r="BB191" s="49">
        <v>2</v>
      </c>
      <c r="BC191" s="50">
        <v>100</v>
      </c>
      <c r="BD191" s="49">
        <v>2</v>
      </c>
      <c r="BE191" s="49"/>
      <c r="BF191" s="49"/>
      <c r="BG191" s="49"/>
      <c r="BH191" s="49"/>
      <c r="BI191" s="49"/>
      <c r="BJ191" s="49"/>
      <c r="BK191" s="111" t="s">
        <v>2390</v>
      </c>
      <c r="BL191" s="111" t="s">
        <v>2390</v>
      </c>
      <c r="BM191" s="111" t="s">
        <v>2390</v>
      </c>
      <c r="BN191" s="111" t="s">
        <v>2390</v>
      </c>
      <c r="BO191" s="2"/>
      <c r="BP191" s="3"/>
      <c r="BQ191" s="3"/>
      <c r="BR191" s="3"/>
      <c r="BS191" s="3"/>
    </row>
    <row r="192" spans="1:71" ht="15">
      <c r="A192" s="65" t="s">
        <v>397</v>
      </c>
      <c r="B192" s="66"/>
      <c r="C192" s="66"/>
      <c r="D192" s="67">
        <v>433.3333333333333</v>
      </c>
      <c r="E192" s="69"/>
      <c r="F192" s="103" t="str">
        <f>HYPERLINK("https://yt3.ggpht.com/ytc/AAUvwniW1R6S_ewoUIS0GfMzdJORcB9UNXlMq4qUBA=s88-c-k-c0x00ffffff-no-rj")</f>
        <v>https://yt3.ggpht.com/ytc/AAUvwniW1R6S_ewoUIS0GfMzdJORcB9UNXlMq4qUBA=s88-c-k-c0x00ffffff-no-rj</v>
      </c>
      <c r="G192" s="66"/>
      <c r="H192" s="70" t="s">
        <v>1756</v>
      </c>
      <c r="I192" s="71"/>
      <c r="J192" s="71" t="s">
        <v>75</v>
      </c>
      <c r="K192" s="70" t="s">
        <v>1756</v>
      </c>
      <c r="L192" s="74">
        <v>191.43809523809523</v>
      </c>
      <c r="M192" s="75">
        <v>7536.04833984375</v>
      </c>
      <c r="N192" s="75">
        <v>7629.01513671875</v>
      </c>
      <c r="O192" s="76"/>
      <c r="P192" s="77"/>
      <c r="Q192" s="77"/>
      <c r="R192" s="89"/>
      <c r="S192" s="49">
        <v>2</v>
      </c>
      <c r="T192" s="49">
        <v>1</v>
      </c>
      <c r="U192" s="50">
        <v>1058</v>
      </c>
      <c r="V192" s="50">
        <v>0.000862</v>
      </c>
      <c r="W192" s="50">
        <v>0</v>
      </c>
      <c r="X192" s="50">
        <v>1.474417</v>
      </c>
      <c r="Y192" s="50">
        <v>0</v>
      </c>
      <c r="Z192" s="50">
        <v>0</v>
      </c>
      <c r="AA192" s="72">
        <v>192</v>
      </c>
      <c r="AB192" s="72"/>
      <c r="AC192" s="73"/>
      <c r="AD192" s="80" t="s">
        <v>1756</v>
      </c>
      <c r="AE192" s="80"/>
      <c r="AF192" s="80"/>
      <c r="AG192" s="80"/>
      <c r="AH192" s="80"/>
      <c r="AI192" s="80"/>
      <c r="AJ192" s="87">
        <v>43955.76210648148</v>
      </c>
      <c r="AK192" s="85" t="str">
        <f>HYPERLINK("https://yt3.ggpht.com/ytc/AAUvwniW1R6S_ewoUIS0GfMzdJORcB9UNXlMq4qUBA=s88-c-k-c0x00ffffff-no-rj")</f>
        <v>https://yt3.ggpht.com/ytc/AAUvwniW1R6S_ewoUIS0GfMzdJORcB9UNXlMq4qUBA=s88-c-k-c0x00ffffff-no-rj</v>
      </c>
      <c r="AL192" s="80">
        <v>0</v>
      </c>
      <c r="AM192" s="80">
        <v>0</v>
      </c>
      <c r="AN192" s="80">
        <v>0</v>
      </c>
      <c r="AO192" s="80" t="b">
        <v>0</v>
      </c>
      <c r="AP192" s="80">
        <v>0</v>
      </c>
      <c r="AQ192" s="80"/>
      <c r="AR192" s="80"/>
      <c r="AS192" s="80" t="s">
        <v>2664</v>
      </c>
      <c r="AT192" s="85" t="str">
        <f>HYPERLINK("https://www.youtube.com/channel/UCkzFL--FtYlc5M3mnc7OGXg")</f>
        <v>https://www.youtube.com/channel/UCkzFL--FtYlc5M3mnc7OGXg</v>
      </c>
      <c r="AU192" s="80" t="str">
        <f>REPLACE(INDEX(GroupVertices[Group],MATCH(Vertices[[#This Row],[Vertex]],GroupVertices[Vertex],0)),1,1,"")</f>
        <v>4</v>
      </c>
      <c r="AV192" s="49">
        <v>1</v>
      </c>
      <c r="AW192" s="50">
        <v>8.333333333333334</v>
      </c>
      <c r="AX192" s="49">
        <v>0</v>
      </c>
      <c r="AY192" s="50">
        <v>0</v>
      </c>
      <c r="AZ192" s="49">
        <v>0</v>
      </c>
      <c r="BA192" s="50">
        <v>0</v>
      </c>
      <c r="BB192" s="49">
        <v>11</v>
      </c>
      <c r="BC192" s="50">
        <v>91.66666666666667</v>
      </c>
      <c r="BD192" s="49">
        <v>12</v>
      </c>
      <c r="BE192" s="49"/>
      <c r="BF192" s="49"/>
      <c r="BG192" s="49"/>
      <c r="BH192" s="49"/>
      <c r="BI192" s="49"/>
      <c r="BJ192" s="49"/>
      <c r="BK192" s="111" t="s">
        <v>3810</v>
      </c>
      <c r="BL192" s="111" t="s">
        <v>3810</v>
      </c>
      <c r="BM192" s="111" t="s">
        <v>4277</v>
      </c>
      <c r="BN192" s="111" t="s">
        <v>4277</v>
      </c>
      <c r="BO192" s="2"/>
      <c r="BP192" s="3"/>
      <c r="BQ192" s="3"/>
      <c r="BR192" s="3"/>
      <c r="BS192" s="3"/>
    </row>
    <row r="193" spans="1:71" ht="15">
      <c r="A193" s="65" t="s">
        <v>396</v>
      </c>
      <c r="B193" s="66"/>
      <c r="C193" s="66"/>
      <c r="D193" s="67">
        <v>150</v>
      </c>
      <c r="E193" s="69"/>
      <c r="F193" s="103" t="str">
        <f>HYPERLINK("https://yt3.ggpht.com/ytc/AAUvwniuDR_JT6jJZR-GhMIXlstj_cng8UW3xsbaQECEkA=s88-c-k-c0x00ffffff-no-rj")</f>
        <v>https://yt3.ggpht.com/ytc/AAUvwniuDR_JT6jJZR-GhMIXlstj_cng8UW3xsbaQECEkA=s88-c-k-c0x00ffffff-no-rj</v>
      </c>
      <c r="G193" s="66"/>
      <c r="H193" s="70" t="s">
        <v>1755</v>
      </c>
      <c r="I193" s="71"/>
      <c r="J193" s="71" t="s">
        <v>159</v>
      </c>
      <c r="K193" s="70" t="s">
        <v>1755</v>
      </c>
      <c r="L193" s="74">
        <v>1</v>
      </c>
      <c r="M193" s="75">
        <v>6991.2294921875</v>
      </c>
      <c r="N193" s="75">
        <v>7103.4033203125</v>
      </c>
      <c r="O193" s="76"/>
      <c r="P193" s="77"/>
      <c r="Q193" s="77"/>
      <c r="R193" s="89"/>
      <c r="S193" s="49">
        <v>0</v>
      </c>
      <c r="T193" s="49">
        <v>1</v>
      </c>
      <c r="U193" s="50">
        <v>0</v>
      </c>
      <c r="V193" s="50">
        <v>0.000702</v>
      </c>
      <c r="W193" s="50">
        <v>0</v>
      </c>
      <c r="X193" s="50">
        <v>0.567751</v>
      </c>
      <c r="Y193" s="50">
        <v>0</v>
      </c>
      <c r="Z193" s="50">
        <v>0</v>
      </c>
      <c r="AA193" s="72">
        <v>193</v>
      </c>
      <c r="AB193" s="72"/>
      <c r="AC193" s="73"/>
      <c r="AD193" s="80" t="s">
        <v>1755</v>
      </c>
      <c r="AE193" s="80"/>
      <c r="AF193" s="80"/>
      <c r="AG193" s="80"/>
      <c r="AH193" s="80"/>
      <c r="AI193" s="80"/>
      <c r="AJ193" s="87">
        <v>43250.87569444445</v>
      </c>
      <c r="AK193" s="85" t="str">
        <f>HYPERLINK("https://yt3.ggpht.com/ytc/AAUvwniuDR_JT6jJZR-GhMIXlstj_cng8UW3xsbaQECEkA=s88-c-k-c0x00ffffff-no-rj")</f>
        <v>https://yt3.ggpht.com/ytc/AAUvwniuDR_JT6jJZR-GhMIXlstj_cng8UW3xsbaQECEkA=s88-c-k-c0x00ffffff-no-rj</v>
      </c>
      <c r="AL193" s="80">
        <v>29</v>
      </c>
      <c r="AM193" s="80">
        <v>0</v>
      </c>
      <c r="AN193" s="80">
        <v>55</v>
      </c>
      <c r="AO193" s="80" t="b">
        <v>0</v>
      </c>
      <c r="AP193" s="80">
        <v>1</v>
      </c>
      <c r="AQ193" s="80"/>
      <c r="AR193" s="80"/>
      <c r="AS193" s="80" t="s">
        <v>2664</v>
      </c>
      <c r="AT193" s="85" t="str">
        <f>HYPERLINK("https://www.youtube.com/channel/UC-VTJt8mzfTG9fa7HIrL9Vw")</f>
        <v>https://www.youtube.com/channel/UC-VTJt8mzfTG9fa7HIrL9Vw</v>
      </c>
      <c r="AU193" s="80" t="str">
        <f>REPLACE(INDEX(GroupVertices[Group],MATCH(Vertices[[#This Row],[Vertex]],GroupVertices[Vertex],0)),1,1,"")</f>
        <v>4</v>
      </c>
      <c r="AV193" s="49">
        <v>0</v>
      </c>
      <c r="AW193" s="50">
        <v>0</v>
      </c>
      <c r="AX193" s="49">
        <v>2</v>
      </c>
      <c r="AY193" s="50">
        <v>40</v>
      </c>
      <c r="AZ193" s="49">
        <v>0</v>
      </c>
      <c r="BA193" s="50">
        <v>0</v>
      </c>
      <c r="BB193" s="49">
        <v>3</v>
      </c>
      <c r="BC193" s="50">
        <v>60</v>
      </c>
      <c r="BD193" s="49">
        <v>5</v>
      </c>
      <c r="BE193" s="49"/>
      <c r="BF193" s="49"/>
      <c r="BG193" s="49"/>
      <c r="BH193" s="49"/>
      <c r="BI193" s="49"/>
      <c r="BJ193" s="49"/>
      <c r="BK193" s="111" t="s">
        <v>3811</v>
      </c>
      <c r="BL193" s="111" t="s">
        <v>3811</v>
      </c>
      <c r="BM193" s="111" t="s">
        <v>4278</v>
      </c>
      <c r="BN193" s="111" t="s">
        <v>4278</v>
      </c>
      <c r="BO193" s="2"/>
      <c r="BP193" s="3"/>
      <c r="BQ193" s="3"/>
      <c r="BR193" s="3"/>
      <c r="BS193" s="3"/>
    </row>
    <row r="194" spans="1:71" ht="15">
      <c r="A194" s="65" t="s">
        <v>398</v>
      </c>
      <c r="B194" s="66"/>
      <c r="C194" s="66"/>
      <c r="D194" s="67">
        <v>150</v>
      </c>
      <c r="E194" s="69"/>
      <c r="F194" s="103" t="str">
        <f>HYPERLINK("https://yt3.ggpht.com/hseWZzTC2cE1JLqXU0ySOP0PjZDy-t79xUjp5xW3p1U0gQSscoFm8yvm3B13egX-SAbs9Sby=s88-c-k-c0x00ffffff-no-rj")</f>
        <v>https://yt3.ggpht.com/hseWZzTC2cE1JLqXU0ySOP0PjZDy-t79xUjp5xW3p1U0gQSscoFm8yvm3B13egX-SAbs9Sby=s88-c-k-c0x00ffffff-no-rj</v>
      </c>
      <c r="G194" s="66"/>
      <c r="H194" s="70" t="s">
        <v>1757</v>
      </c>
      <c r="I194" s="71"/>
      <c r="J194" s="71" t="s">
        <v>159</v>
      </c>
      <c r="K194" s="70" t="s">
        <v>1757</v>
      </c>
      <c r="L194" s="74">
        <v>1</v>
      </c>
      <c r="M194" s="75">
        <v>8630.4912109375</v>
      </c>
      <c r="N194" s="75">
        <v>7555.119140625</v>
      </c>
      <c r="O194" s="76"/>
      <c r="P194" s="77"/>
      <c r="Q194" s="77"/>
      <c r="R194" s="89"/>
      <c r="S194" s="49">
        <v>0</v>
      </c>
      <c r="T194" s="49">
        <v>1</v>
      </c>
      <c r="U194" s="50">
        <v>0</v>
      </c>
      <c r="V194" s="50">
        <v>0.000859</v>
      </c>
      <c r="W194" s="50">
        <v>0</v>
      </c>
      <c r="X194" s="50">
        <v>0.50924</v>
      </c>
      <c r="Y194" s="50">
        <v>0</v>
      </c>
      <c r="Z194" s="50">
        <v>0</v>
      </c>
      <c r="AA194" s="72">
        <v>194</v>
      </c>
      <c r="AB194" s="72"/>
      <c r="AC194" s="73"/>
      <c r="AD194" s="80" t="s">
        <v>1757</v>
      </c>
      <c r="AE194" s="80" t="s">
        <v>2482</v>
      </c>
      <c r="AF194" s="80"/>
      <c r="AG194" s="80"/>
      <c r="AH194" s="80"/>
      <c r="AI194" s="80"/>
      <c r="AJ194" s="87">
        <v>42887.23440972222</v>
      </c>
      <c r="AK194" s="85" t="str">
        <f>HYPERLINK("https://yt3.ggpht.com/hseWZzTC2cE1JLqXU0ySOP0PjZDy-t79xUjp5xW3p1U0gQSscoFm8yvm3B13egX-SAbs9Sby=s88-c-k-c0x00ffffff-no-rj")</f>
        <v>https://yt3.ggpht.com/hseWZzTC2cE1JLqXU0ySOP0PjZDy-t79xUjp5xW3p1U0gQSscoFm8yvm3B13egX-SAbs9Sby=s88-c-k-c0x00ffffff-no-rj</v>
      </c>
      <c r="AL194" s="80">
        <v>2823</v>
      </c>
      <c r="AM194" s="80">
        <v>0</v>
      </c>
      <c r="AN194" s="80">
        <v>15</v>
      </c>
      <c r="AO194" s="80" t="b">
        <v>0</v>
      </c>
      <c r="AP194" s="80">
        <v>3</v>
      </c>
      <c r="AQ194" s="80"/>
      <c r="AR194" s="80"/>
      <c r="AS194" s="80" t="s">
        <v>2664</v>
      </c>
      <c r="AT194" s="85" t="str">
        <f>HYPERLINK("https://www.youtube.com/channel/UCvmQhoFmgW3rsTU4GyQCu1g")</f>
        <v>https://www.youtube.com/channel/UCvmQhoFmgW3rsTU4GyQCu1g</v>
      </c>
      <c r="AU194" s="80" t="str">
        <f>REPLACE(INDEX(GroupVertices[Group],MATCH(Vertices[[#This Row],[Vertex]],GroupVertices[Vertex],0)),1,1,"")</f>
        <v>4</v>
      </c>
      <c r="AV194" s="49">
        <v>0</v>
      </c>
      <c r="AW194" s="50">
        <v>0</v>
      </c>
      <c r="AX194" s="49">
        <v>0</v>
      </c>
      <c r="AY194" s="50">
        <v>0</v>
      </c>
      <c r="AZ194" s="49">
        <v>0</v>
      </c>
      <c r="BA194" s="50">
        <v>0</v>
      </c>
      <c r="BB194" s="49">
        <v>6</v>
      </c>
      <c r="BC194" s="50">
        <v>100</v>
      </c>
      <c r="BD194" s="49">
        <v>6</v>
      </c>
      <c r="BE194" s="49"/>
      <c r="BF194" s="49"/>
      <c r="BG194" s="49"/>
      <c r="BH194" s="49"/>
      <c r="BI194" s="49"/>
      <c r="BJ194" s="49"/>
      <c r="BK194" s="111" t="s">
        <v>3812</v>
      </c>
      <c r="BL194" s="111" t="s">
        <v>3812</v>
      </c>
      <c r="BM194" s="111" t="s">
        <v>4279</v>
      </c>
      <c r="BN194" s="111" t="s">
        <v>4279</v>
      </c>
      <c r="BO194" s="2"/>
      <c r="BP194" s="3"/>
      <c r="BQ194" s="3"/>
      <c r="BR194" s="3"/>
      <c r="BS194" s="3"/>
    </row>
    <row r="195" spans="1:71" ht="15">
      <c r="A195" s="65" t="s">
        <v>399</v>
      </c>
      <c r="B195" s="66"/>
      <c r="C195" s="66"/>
      <c r="D195" s="67">
        <v>150</v>
      </c>
      <c r="E195" s="69"/>
      <c r="F195" s="103" t="str">
        <f>HYPERLINK("https://yt3.ggpht.com/ytc/AAUvwnjbj-ewGEfa9T_y_hLgXZY58cwOvfcAvR8umRHe=s88-c-k-c0x00ffffff-no-rj")</f>
        <v>https://yt3.ggpht.com/ytc/AAUvwnjbj-ewGEfa9T_y_hLgXZY58cwOvfcAvR8umRHe=s88-c-k-c0x00ffffff-no-rj</v>
      </c>
      <c r="G195" s="66"/>
      <c r="H195" s="70" t="s">
        <v>1758</v>
      </c>
      <c r="I195" s="71"/>
      <c r="J195" s="71" t="s">
        <v>159</v>
      </c>
      <c r="K195" s="70" t="s">
        <v>1758</v>
      </c>
      <c r="L195" s="74">
        <v>1</v>
      </c>
      <c r="M195" s="75">
        <v>8741.2021484375</v>
      </c>
      <c r="N195" s="75">
        <v>7760.392578125</v>
      </c>
      <c r="O195" s="76"/>
      <c r="P195" s="77"/>
      <c r="Q195" s="77"/>
      <c r="R195" s="89"/>
      <c r="S195" s="49">
        <v>0</v>
      </c>
      <c r="T195" s="49">
        <v>1</v>
      </c>
      <c r="U195" s="50">
        <v>0</v>
      </c>
      <c r="V195" s="50">
        <v>0.000859</v>
      </c>
      <c r="W195" s="50">
        <v>0</v>
      </c>
      <c r="X195" s="50">
        <v>0.50924</v>
      </c>
      <c r="Y195" s="50">
        <v>0</v>
      </c>
      <c r="Z195" s="50">
        <v>0</v>
      </c>
      <c r="AA195" s="72">
        <v>195</v>
      </c>
      <c r="AB195" s="72"/>
      <c r="AC195" s="73"/>
      <c r="AD195" s="80" t="s">
        <v>1758</v>
      </c>
      <c r="AE195" s="80" t="s">
        <v>2483</v>
      </c>
      <c r="AF195" s="80"/>
      <c r="AG195" s="80"/>
      <c r="AH195" s="80"/>
      <c r="AI195" s="80"/>
      <c r="AJ195" s="87">
        <v>43199.96445601852</v>
      </c>
      <c r="AK195" s="85" t="str">
        <f>HYPERLINK("https://yt3.ggpht.com/ytc/AAUvwnjbj-ewGEfa9T_y_hLgXZY58cwOvfcAvR8umRHe=s88-c-k-c0x00ffffff-no-rj")</f>
        <v>https://yt3.ggpht.com/ytc/AAUvwnjbj-ewGEfa9T_y_hLgXZY58cwOvfcAvR8umRHe=s88-c-k-c0x00ffffff-no-rj</v>
      </c>
      <c r="AL195" s="80">
        <v>0</v>
      </c>
      <c r="AM195" s="80">
        <v>0</v>
      </c>
      <c r="AN195" s="80">
        <v>2</v>
      </c>
      <c r="AO195" s="80" t="b">
        <v>0</v>
      </c>
      <c r="AP195" s="80">
        <v>2</v>
      </c>
      <c r="AQ195" s="80"/>
      <c r="AR195" s="80"/>
      <c r="AS195" s="80" t="s">
        <v>2664</v>
      </c>
      <c r="AT195" s="85" t="str">
        <f>HYPERLINK("https://www.youtube.com/channel/UCTMw1rCPwuwDtqqcvLAteDA")</f>
        <v>https://www.youtube.com/channel/UCTMw1rCPwuwDtqqcvLAteDA</v>
      </c>
      <c r="AU195" s="80" t="str">
        <f>REPLACE(INDEX(GroupVertices[Group],MATCH(Vertices[[#This Row],[Vertex]],GroupVertices[Vertex],0)),1,1,"")</f>
        <v>4</v>
      </c>
      <c r="AV195" s="49">
        <v>0</v>
      </c>
      <c r="AW195" s="50">
        <v>0</v>
      </c>
      <c r="AX195" s="49">
        <v>1</v>
      </c>
      <c r="AY195" s="50">
        <v>4.3478260869565215</v>
      </c>
      <c r="AZ195" s="49">
        <v>0</v>
      </c>
      <c r="BA195" s="50">
        <v>0</v>
      </c>
      <c r="BB195" s="49">
        <v>22</v>
      </c>
      <c r="BC195" s="50">
        <v>95.65217391304348</v>
      </c>
      <c r="BD195" s="49">
        <v>23</v>
      </c>
      <c r="BE195" s="49" t="s">
        <v>3449</v>
      </c>
      <c r="BF195" s="49" t="s">
        <v>3449</v>
      </c>
      <c r="BG195" s="49" t="s">
        <v>2379</v>
      </c>
      <c r="BH195" s="49" t="s">
        <v>2379</v>
      </c>
      <c r="BI195" s="49"/>
      <c r="BJ195" s="49"/>
      <c r="BK195" s="111" t="s">
        <v>3813</v>
      </c>
      <c r="BL195" s="111" t="s">
        <v>3813</v>
      </c>
      <c r="BM195" s="111" t="s">
        <v>4280</v>
      </c>
      <c r="BN195" s="111" t="s">
        <v>4280</v>
      </c>
      <c r="BO195" s="2"/>
      <c r="BP195" s="3"/>
      <c r="BQ195" s="3"/>
      <c r="BR195" s="3"/>
      <c r="BS195" s="3"/>
    </row>
    <row r="196" spans="1:71" ht="15">
      <c r="A196" s="65" t="s">
        <v>400</v>
      </c>
      <c r="B196" s="66"/>
      <c r="C196" s="66"/>
      <c r="D196" s="67">
        <v>150</v>
      </c>
      <c r="E196" s="69"/>
      <c r="F196" s="103" t="str">
        <f>HYPERLINK("https://yt3.ggpht.com/vwc1bATuf8UWljatjjwI0JLstRFY1U13SBzROnrdYjtk63jzECY_7Va8sPNtFevB9qxPQM3MVw=s88-c-k-c0x00ffffff-no-rj")</f>
        <v>https://yt3.ggpht.com/vwc1bATuf8UWljatjjwI0JLstRFY1U13SBzROnrdYjtk63jzECY_7Va8sPNtFevB9qxPQM3MVw=s88-c-k-c0x00ffffff-no-rj</v>
      </c>
      <c r="G196" s="66"/>
      <c r="H196" s="70" t="s">
        <v>1759</v>
      </c>
      <c r="I196" s="71"/>
      <c r="J196" s="71" t="s">
        <v>159</v>
      </c>
      <c r="K196" s="70" t="s">
        <v>1759</v>
      </c>
      <c r="L196" s="74">
        <v>1</v>
      </c>
      <c r="M196" s="75">
        <v>7966.740234375</v>
      </c>
      <c r="N196" s="75">
        <v>7867.8701171875</v>
      </c>
      <c r="O196" s="76"/>
      <c r="P196" s="77"/>
      <c r="Q196" s="77"/>
      <c r="R196" s="89"/>
      <c r="S196" s="49">
        <v>0</v>
      </c>
      <c r="T196" s="49">
        <v>1</v>
      </c>
      <c r="U196" s="50">
        <v>0</v>
      </c>
      <c r="V196" s="50">
        <v>0.000859</v>
      </c>
      <c r="W196" s="50">
        <v>0</v>
      </c>
      <c r="X196" s="50">
        <v>0.50924</v>
      </c>
      <c r="Y196" s="50">
        <v>0</v>
      </c>
      <c r="Z196" s="50">
        <v>0</v>
      </c>
      <c r="AA196" s="72">
        <v>196</v>
      </c>
      <c r="AB196" s="72"/>
      <c r="AC196" s="73"/>
      <c r="AD196" s="80" t="s">
        <v>1759</v>
      </c>
      <c r="AE196" s="80" t="s">
        <v>2484</v>
      </c>
      <c r="AF196" s="80"/>
      <c r="AG196" s="80"/>
      <c r="AH196" s="80"/>
      <c r="AI196" s="80"/>
      <c r="AJ196" s="87">
        <v>41868.036631944444</v>
      </c>
      <c r="AK196" s="85" t="str">
        <f>HYPERLINK("https://yt3.ggpht.com/vwc1bATuf8UWljatjjwI0JLstRFY1U13SBzROnrdYjtk63jzECY_7Va8sPNtFevB9qxPQM3MVw=s88-c-k-c0x00ffffff-no-rj")</f>
        <v>https://yt3.ggpht.com/vwc1bATuf8UWljatjjwI0JLstRFY1U13SBzROnrdYjtk63jzECY_7Va8sPNtFevB9qxPQM3MVw=s88-c-k-c0x00ffffff-no-rj</v>
      </c>
      <c r="AL196" s="80">
        <v>0</v>
      </c>
      <c r="AM196" s="80">
        <v>0</v>
      </c>
      <c r="AN196" s="80">
        <v>27</v>
      </c>
      <c r="AO196" s="80" t="b">
        <v>0</v>
      </c>
      <c r="AP196" s="80">
        <v>0</v>
      </c>
      <c r="AQ196" s="80"/>
      <c r="AR196" s="80"/>
      <c r="AS196" s="80" t="s">
        <v>2664</v>
      </c>
      <c r="AT196" s="85" t="str">
        <f>HYPERLINK("https://www.youtube.com/channel/UC1Fn1d4s9_LnzWLvE46XEHg")</f>
        <v>https://www.youtube.com/channel/UC1Fn1d4s9_LnzWLvE46XEHg</v>
      </c>
      <c r="AU196" s="80" t="str">
        <f>REPLACE(INDEX(GroupVertices[Group],MATCH(Vertices[[#This Row],[Vertex]],GroupVertices[Vertex],0)),1,1,"")</f>
        <v>4</v>
      </c>
      <c r="AV196" s="49">
        <v>0</v>
      </c>
      <c r="AW196" s="50">
        <v>0</v>
      </c>
      <c r="AX196" s="49">
        <v>0</v>
      </c>
      <c r="AY196" s="50">
        <v>0</v>
      </c>
      <c r="AZ196" s="49">
        <v>0</v>
      </c>
      <c r="BA196" s="50">
        <v>0</v>
      </c>
      <c r="BB196" s="49">
        <v>5</v>
      </c>
      <c r="BC196" s="50">
        <v>100</v>
      </c>
      <c r="BD196" s="49">
        <v>5</v>
      </c>
      <c r="BE196" s="49"/>
      <c r="BF196" s="49"/>
      <c r="BG196" s="49"/>
      <c r="BH196" s="49"/>
      <c r="BI196" s="49"/>
      <c r="BJ196" s="49"/>
      <c r="BK196" s="111" t="s">
        <v>3814</v>
      </c>
      <c r="BL196" s="111" t="s">
        <v>3814</v>
      </c>
      <c r="BM196" s="111" t="s">
        <v>4281</v>
      </c>
      <c r="BN196" s="111" t="s">
        <v>4281</v>
      </c>
      <c r="BO196" s="2"/>
      <c r="BP196" s="3"/>
      <c r="BQ196" s="3"/>
      <c r="BR196" s="3"/>
      <c r="BS196" s="3"/>
    </row>
    <row r="197" spans="1:71" ht="15">
      <c r="A197" s="65" t="s">
        <v>401</v>
      </c>
      <c r="B197" s="66"/>
      <c r="C197" s="66"/>
      <c r="D197" s="67">
        <v>150</v>
      </c>
      <c r="E197" s="69"/>
      <c r="F197" s="103" t="str">
        <f>HYPERLINK("https://yt3.ggpht.com/ytc/AAUvwnhLmM2ps3esWoE1JG4Y8afqdgSRL6ug84XD5NRKNQ=s88-c-k-c0x00ffffff-no-rj")</f>
        <v>https://yt3.ggpht.com/ytc/AAUvwnhLmM2ps3esWoE1JG4Y8afqdgSRL6ug84XD5NRKNQ=s88-c-k-c0x00ffffff-no-rj</v>
      </c>
      <c r="G197" s="66"/>
      <c r="H197" s="70" t="s">
        <v>1760</v>
      </c>
      <c r="I197" s="71"/>
      <c r="J197" s="71" t="s">
        <v>159</v>
      </c>
      <c r="K197" s="70" t="s">
        <v>1760</v>
      </c>
      <c r="L197" s="74">
        <v>1</v>
      </c>
      <c r="M197" s="75">
        <v>9136.3203125</v>
      </c>
      <c r="N197" s="75">
        <v>7965.4326171875</v>
      </c>
      <c r="O197" s="76"/>
      <c r="P197" s="77"/>
      <c r="Q197" s="77"/>
      <c r="R197" s="89"/>
      <c r="S197" s="49">
        <v>0</v>
      </c>
      <c r="T197" s="49">
        <v>1</v>
      </c>
      <c r="U197" s="50">
        <v>0</v>
      </c>
      <c r="V197" s="50">
        <v>0.000859</v>
      </c>
      <c r="W197" s="50">
        <v>0</v>
      </c>
      <c r="X197" s="50">
        <v>0.50924</v>
      </c>
      <c r="Y197" s="50">
        <v>0</v>
      </c>
      <c r="Z197" s="50">
        <v>0</v>
      </c>
      <c r="AA197" s="72">
        <v>197</v>
      </c>
      <c r="AB197" s="72"/>
      <c r="AC197" s="73"/>
      <c r="AD197" s="80" t="s">
        <v>1760</v>
      </c>
      <c r="AE197" s="80"/>
      <c r="AF197" s="80"/>
      <c r="AG197" s="80"/>
      <c r="AH197" s="80"/>
      <c r="AI197" s="80"/>
      <c r="AJ197" s="87">
        <v>43813.691770833335</v>
      </c>
      <c r="AK197" s="85" t="str">
        <f>HYPERLINK("https://yt3.ggpht.com/ytc/AAUvwnhLmM2ps3esWoE1JG4Y8afqdgSRL6ug84XD5NRKNQ=s88-c-k-c0x00ffffff-no-rj")</f>
        <v>https://yt3.ggpht.com/ytc/AAUvwnhLmM2ps3esWoE1JG4Y8afqdgSRL6ug84XD5NRKNQ=s88-c-k-c0x00ffffff-no-rj</v>
      </c>
      <c r="AL197" s="80">
        <v>0</v>
      </c>
      <c r="AM197" s="80">
        <v>0</v>
      </c>
      <c r="AN197" s="80">
        <v>0</v>
      </c>
      <c r="AO197" s="80" t="b">
        <v>0</v>
      </c>
      <c r="AP197" s="80">
        <v>0</v>
      </c>
      <c r="AQ197" s="80"/>
      <c r="AR197" s="80"/>
      <c r="AS197" s="80" t="s">
        <v>2664</v>
      </c>
      <c r="AT197" s="85" t="str">
        <f>HYPERLINK("https://www.youtube.com/channel/UCkq2IuGxraDeCE3kqw3djhw")</f>
        <v>https://www.youtube.com/channel/UCkq2IuGxraDeCE3kqw3djhw</v>
      </c>
      <c r="AU197" s="80" t="str">
        <f>REPLACE(INDEX(GroupVertices[Group],MATCH(Vertices[[#This Row],[Vertex]],GroupVertices[Vertex],0)),1,1,"")</f>
        <v>4</v>
      </c>
      <c r="AV197" s="49">
        <v>0</v>
      </c>
      <c r="AW197" s="50">
        <v>0</v>
      </c>
      <c r="AX197" s="49">
        <v>0</v>
      </c>
      <c r="AY197" s="50">
        <v>0</v>
      </c>
      <c r="AZ197" s="49">
        <v>0</v>
      </c>
      <c r="BA197" s="50">
        <v>0</v>
      </c>
      <c r="BB197" s="49">
        <v>11</v>
      </c>
      <c r="BC197" s="50">
        <v>100</v>
      </c>
      <c r="BD197" s="49">
        <v>11</v>
      </c>
      <c r="BE197" s="49"/>
      <c r="BF197" s="49"/>
      <c r="BG197" s="49"/>
      <c r="BH197" s="49"/>
      <c r="BI197" s="49"/>
      <c r="BJ197" s="49"/>
      <c r="BK197" s="111" t="s">
        <v>3815</v>
      </c>
      <c r="BL197" s="111" t="s">
        <v>3815</v>
      </c>
      <c r="BM197" s="111" t="s">
        <v>4282</v>
      </c>
      <c r="BN197" s="111" t="s">
        <v>4282</v>
      </c>
      <c r="BO197" s="2"/>
      <c r="BP197" s="3"/>
      <c r="BQ197" s="3"/>
      <c r="BR197" s="3"/>
      <c r="BS197" s="3"/>
    </row>
    <row r="198" spans="1:71" ht="15">
      <c r="A198" s="65" t="s">
        <v>402</v>
      </c>
      <c r="B198" s="66"/>
      <c r="C198" s="66"/>
      <c r="D198" s="67">
        <v>150</v>
      </c>
      <c r="E198" s="69"/>
      <c r="F198" s="103" t="str">
        <f>HYPERLINK("https://yt3.ggpht.com/ytc/AAUvwnioSSEFK7Uwm4AUvdcAeKZyNQlesjdAEmpb324UsQ=s88-c-k-c0x00ffffff-no-rj")</f>
        <v>https://yt3.ggpht.com/ytc/AAUvwnioSSEFK7Uwm4AUvdcAeKZyNQlesjdAEmpb324UsQ=s88-c-k-c0x00ffffff-no-rj</v>
      </c>
      <c r="G198" s="66"/>
      <c r="H198" s="70" t="s">
        <v>1761</v>
      </c>
      <c r="I198" s="71"/>
      <c r="J198" s="71" t="s">
        <v>159</v>
      </c>
      <c r="K198" s="70" t="s">
        <v>1761</v>
      </c>
      <c r="L198" s="74">
        <v>1</v>
      </c>
      <c r="M198" s="75">
        <v>8126.96826171875</v>
      </c>
      <c r="N198" s="75">
        <v>8622.91015625</v>
      </c>
      <c r="O198" s="76"/>
      <c r="P198" s="77"/>
      <c r="Q198" s="77"/>
      <c r="R198" s="89"/>
      <c r="S198" s="49">
        <v>0</v>
      </c>
      <c r="T198" s="49">
        <v>1</v>
      </c>
      <c r="U198" s="50">
        <v>0</v>
      </c>
      <c r="V198" s="50">
        <v>0.000859</v>
      </c>
      <c r="W198" s="50">
        <v>0</v>
      </c>
      <c r="X198" s="50">
        <v>0.50924</v>
      </c>
      <c r="Y198" s="50">
        <v>0</v>
      </c>
      <c r="Z198" s="50">
        <v>0</v>
      </c>
      <c r="AA198" s="72">
        <v>198</v>
      </c>
      <c r="AB198" s="72"/>
      <c r="AC198" s="73"/>
      <c r="AD198" s="80" t="s">
        <v>1761</v>
      </c>
      <c r="AE198" s="80"/>
      <c r="AF198" s="80"/>
      <c r="AG198" s="80"/>
      <c r="AH198" s="80"/>
      <c r="AI198" s="80"/>
      <c r="AJ198" s="87">
        <v>41242.78355324074</v>
      </c>
      <c r="AK198" s="85" t="str">
        <f>HYPERLINK("https://yt3.ggpht.com/ytc/AAUvwnioSSEFK7Uwm4AUvdcAeKZyNQlesjdAEmpb324UsQ=s88-c-k-c0x00ffffff-no-rj")</f>
        <v>https://yt3.ggpht.com/ytc/AAUvwnioSSEFK7Uwm4AUvdcAeKZyNQlesjdAEmpb324UsQ=s88-c-k-c0x00ffffff-no-rj</v>
      </c>
      <c r="AL198" s="80">
        <v>0</v>
      </c>
      <c r="AM198" s="80">
        <v>0</v>
      </c>
      <c r="AN198" s="80">
        <v>16</v>
      </c>
      <c r="AO198" s="80" t="b">
        <v>0</v>
      </c>
      <c r="AP198" s="80">
        <v>0</v>
      </c>
      <c r="AQ198" s="80"/>
      <c r="AR198" s="80"/>
      <c r="AS198" s="80" t="s">
        <v>2664</v>
      </c>
      <c r="AT198" s="85" t="str">
        <f>HYPERLINK("https://www.youtube.com/channel/UCGw3Q99dPOmo5iKTfOmjOfA")</f>
        <v>https://www.youtube.com/channel/UCGw3Q99dPOmo5iKTfOmjOfA</v>
      </c>
      <c r="AU198" s="80" t="str">
        <f>REPLACE(INDEX(GroupVertices[Group],MATCH(Vertices[[#This Row],[Vertex]],GroupVertices[Vertex],0)),1,1,"")</f>
        <v>4</v>
      </c>
      <c r="AV198" s="49">
        <v>0</v>
      </c>
      <c r="AW198" s="50">
        <v>0</v>
      </c>
      <c r="AX198" s="49">
        <v>0</v>
      </c>
      <c r="AY198" s="50">
        <v>0</v>
      </c>
      <c r="AZ198" s="49">
        <v>0</v>
      </c>
      <c r="BA198" s="50">
        <v>0</v>
      </c>
      <c r="BB198" s="49">
        <v>7</v>
      </c>
      <c r="BC198" s="50">
        <v>100</v>
      </c>
      <c r="BD198" s="49">
        <v>7</v>
      </c>
      <c r="BE198" s="49"/>
      <c r="BF198" s="49"/>
      <c r="BG198" s="49"/>
      <c r="BH198" s="49"/>
      <c r="BI198" s="49"/>
      <c r="BJ198" s="49"/>
      <c r="BK198" s="111" t="s">
        <v>3816</v>
      </c>
      <c r="BL198" s="111" t="s">
        <v>3816</v>
      </c>
      <c r="BM198" s="111" t="s">
        <v>4283</v>
      </c>
      <c r="BN198" s="111" t="s">
        <v>4283</v>
      </c>
      <c r="BO198" s="2"/>
      <c r="BP198" s="3"/>
      <c r="BQ198" s="3"/>
      <c r="BR198" s="3"/>
      <c r="BS198" s="3"/>
    </row>
    <row r="199" spans="1:71" ht="15">
      <c r="A199" s="65" t="s">
        <v>403</v>
      </c>
      <c r="B199" s="66"/>
      <c r="C199" s="66"/>
      <c r="D199" s="67">
        <v>150</v>
      </c>
      <c r="E199" s="69"/>
      <c r="F199" s="103" t="str">
        <f>HYPERLINK("https://yt3.ggpht.com/ytc/AAUvwngA_g23wtJRb-Cr2aEOqd6zFvG3gZzdh8zz2ks8=s88-c-k-c0x00ffffff-no-rj")</f>
        <v>https://yt3.ggpht.com/ytc/AAUvwngA_g23wtJRb-Cr2aEOqd6zFvG3gZzdh8zz2ks8=s88-c-k-c0x00ffffff-no-rj</v>
      </c>
      <c r="G199" s="66"/>
      <c r="H199" s="70" t="s">
        <v>1762</v>
      </c>
      <c r="I199" s="71"/>
      <c r="J199" s="71" t="s">
        <v>159</v>
      </c>
      <c r="K199" s="70" t="s">
        <v>1762</v>
      </c>
      <c r="L199" s="74">
        <v>1</v>
      </c>
      <c r="M199" s="75">
        <v>9104.2333984375</v>
      </c>
      <c r="N199" s="75">
        <v>8518.0859375</v>
      </c>
      <c r="O199" s="76"/>
      <c r="P199" s="77"/>
      <c r="Q199" s="77"/>
      <c r="R199" s="89"/>
      <c r="S199" s="49">
        <v>0</v>
      </c>
      <c r="T199" s="49">
        <v>1</v>
      </c>
      <c r="U199" s="50">
        <v>0</v>
      </c>
      <c r="V199" s="50">
        <v>0.000859</v>
      </c>
      <c r="W199" s="50">
        <v>0</v>
      </c>
      <c r="X199" s="50">
        <v>0.50924</v>
      </c>
      <c r="Y199" s="50">
        <v>0</v>
      </c>
      <c r="Z199" s="50">
        <v>0</v>
      </c>
      <c r="AA199" s="72">
        <v>199</v>
      </c>
      <c r="AB199" s="72"/>
      <c r="AC199" s="73"/>
      <c r="AD199" s="80" t="s">
        <v>1762</v>
      </c>
      <c r="AE199" s="80" t="s">
        <v>2485</v>
      </c>
      <c r="AF199" s="80"/>
      <c r="AG199" s="80"/>
      <c r="AH199" s="80"/>
      <c r="AI199" s="80"/>
      <c r="AJ199" s="87">
        <v>44086.71649305556</v>
      </c>
      <c r="AK199" s="85" t="str">
        <f>HYPERLINK("https://yt3.ggpht.com/ytc/AAUvwngA_g23wtJRb-Cr2aEOqd6zFvG3gZzdh8zz2ks8=s88-c-k-c0x00ffffff-no-rj")</f>
        <v>https://yt3.ggpht.com/ytc/AAUvwngA_g23wtJRb-Cr2aEOqd6zFvG3gZzdh8zz2ks8=s88-c-k-c0x00ffffff-no-rj</v>
      </c>
      <c r="AL199" s="80">
        <v>214</v>
      </c>
      <c r="AM199" s="80">
        <v>0</v>
      </c>
      <c r="AN199" s="80">
        <v>20</v>
      </c>
      <c r="AO199" s="80" t="b">
        <v>0</v>
      </c>
      <c r="AP199" s="80">
        <v>46</v>
      </c>
      <c r="AQ199" s="80"/>
      <c r="AR199" s="80"/>
      <c r="AS199" s="80" t="s">
        <v>2664</v>
      </c>
      <c r="AT199" s="85" t="str">
        <f>HYPERLINK("https://www.youtube.com/channel/UCsiXQ64RiLu_TWdbckHC5fw")</f>
        <v>https://www.youtube.com/channel/UCsiXQ64RiLu_TWdbckHC5fw</v>
      </c>
      <c r="AU199" s="80" t="str">
        <f>REPLACE(INDEX(GroupVertices[Group],MATCH(Vertices[[#This Row],[Vertex]],GroupVertices[Vertex],0)),1,1,"")</f>
        <v>4</v>
      </c>
      <c r="AV199" s="49">
        <v>0</v>
      </c>
      <c r="AW199" s="50">
        <v>0</v>
      </c>
      <c r="AX199" s="49">
        <v>0</v>
      </c>
      <c r="AY199" s="50">
        <v>0</v>
      </c>
      <c r="AZ199" s="49">
        <v>0</v>
      </c>
      <c r="BA199" s="50">
        <v>0</v>
      </c>
      <c r="BB199" s="49">
        <v>9</v>
      </c>
      <c r="BC199" s="50">
        <v>100</v>
      </c>
      <c r="BD199" s="49">
        <v>9</v>
      </c>
      <c r="BE199" s="49"/>
      <c r="BF199" s="49"/>
      <c r="BG199" s="49"/>
      <c r="BH199" s="49"/>
      <c r="BI199" s="49"/>
      <c r="BJ199" s="49"/>
      <c r="BK199" s="111" t="s">
        <v>3817</v>
      </c>
      <c r="BL199" s="111" t="s">
        <v>3817</v>
      </c>
      <c r="BM199" s="111" t="s">
        <v>3557</v>
      </c>
      <c r="BN199" s="111" t="s">
        <v>3557</v>
      </c>
      <c r="BO199" s="2"/>
      <c r="BP199" s="3"/>
      <c r="BQ199" s="3"/>
      <c r="BR199" s="3"/>
      <c r="BS199" s="3"/>
    </row>
    <row r="200" spans="1:71" ht="15">
      <c r="A200" s="65" t="s">
        <v>404</v>
      </c>
      <c r="B200" s="66"/>
      <c r="C200" s="66"/>
      <c r="D200" s="67">
        <v>150</v>
      </c>
      <c r="E200" s="69"/>
      <c r="F200" s="103" t="str">
        <f>HYPERLINK("https://yt3.ggpht.com/ytc/AAUvwnhFgRgKQThZj40pP4Id_NIvWdzIlv5CmP_E3OMa_Q=s88-c-k-c0x00ffffff-no-rj")</f>
        <v>https://yt3.ggpht.com/ytc/AAUvwnhFgRgKQThZj40pP4Id_NIvWdzIlv5CmP_E3OMa_Q=s88-c-k-c0x00ffffff-no-rj</v>
      </c>
      <c r="G200" s="66"/>
      <c r="H200" s="70" t="s">
        <v>1763</v>
      </c>
      <c r="I200" s="71"/>
      <c r="J200" s="71" t="s">
        <v>159</v>
      </c>
      <c r="K200" s="70" t="s">
        <v>1763</v>
      </c>
      <c r="L200" s="74">
        <v>1</v>
      </c>
      <c r="M200" s="75">
        <v>8410.0458984375</v>
      </c>
      <c r="N200" s="75">
        <v>7721.9033203125</v>
      </c>
      <c r="O200" s="76"/>
      <c r="P200" s="77"/>
      <c r="Q200" s="77"/>
      <c r="R200" s="89"/>
      <c r="S200" s="49">
        <v>0</v>
      </c>
      <c r="T200" s="49">
        <v>1</v>
      </c>
      <c r="U200" s="50">
        <v>0</v>
      </c>
      <c r="V200" s="50">
        <v>0.000859</v>
      </c>
      <c r="W200" s="50">
        <v>0</v>
      </c>
      <c r="X200" s="50">
        <v>0.50924</v>
      </c>
      <c r="Y200" s="50">
        <v>0</v>
      </c>
      <c r="Z200" s="50">
        <v>0</v>
      </c>
      <c r="AA200" s="72">
        <v>200</v>
      </c>
      <c r="AB200" s="72"/>
      <c r="AC200" s="73"/>
      <c r="AD200" s="80" t="s">
        <v>1763</v>
      </c>
      <c r="AE200" s="80" t="s">
        <v>2486</v>
      </c>
      <c r="AF200" s="80"/>
      <c r="AG200" s="80"/>
      <c r="AH200" s="80"/>
      <c r="AI200" s="80"/>
      <c r="AJ200" s="87">
        <v>42483.862604166665</v>
      </c>
      <c r="AK200" s="85" t="str">
        <f>HYPERLINK("https://yt3.ggpht.com/ytc/AAUvwnhFgRgKQThZj40pP4Id_NIvWdzIlv5CmP_E3OMa_Q=s88-c-k-c0x00ffffff-no-rj")</f>
        <v>https://yt3.ggpht.com/ytc/AAUvwnhFgRgKQThZj40pP4Id_NIvWdzIlv5CmP_E3OMa_Q=s88-c-k-c0x00ffffff-no-rj</v>
      </c>
      <c r="AL200" s="80">
        <v>0</v>
      </c>
      <c r="AM200" s="80">
        <v>0</v>
      </c>
      <c r="AN200" s="80">
        <v>2</v>
      </c>
      <c r="AO200" s="80" t="b">
        <v>0</v>
      </c>
      <c r="AP200" s="80">
        <v>0</v>
      </c>
      <c r="AQ200" s="80"/>
      <c r="AR200" s="80"/>
      <c r="AS200" s="80" t="s">
        <v>2664</v>
      </c>
      <c r="AT200" s="85" t="str">
        <f>HYPERLINK("https://www.youtube.com/channel/UCMVjhNSQ0xPZhsCnClvDkcA")</f>
        <v>https://www.youtube.com/channel/UCMVjhNSQ0xPZhsCnClvDkcA</v>
      </c>
      <c r="AU200" s="80" t="str">
        <f>REPLACE(INDEX(GroupVertices[Group],MATCH(Vertices[[#This Row],[Vertex]],GroupVertices[Vertex],0)),1,1,"")</f>
        <v>4</v>
      </c>
      <c r="AV200" s="49">
        <v>0</v>
      </c>
      <c r="AW200" s="50">
        <v>0</v>
      </c>
      <c r="AX200" s="49">
        <v>0</v>
      </c>
      <c r="AY200" s="50">
        <v>0</v>
      </c>
      <c r="AZ200" s="49">
        <v>0</v>
      </c>
      <c r="BA200" s="50">
        <v>0</v>
      </c>
      <c r="BB200" s="49">
        <v>8</v>
      </c>
      <c r="BC200" s="50">
        <v>100</v>
      </c>
      <c r="BD200" s="49">
        <v>8</v>
      </c>
      <c r="BE200" s="49"/>
      <c r="BF200" s="49"/>
      <c r="BG200" s="49"/>
      <c r="BH200" s="49"/>
      <c r="BI200" s="49"/>
      <c r="BJ200" s="49"/>
      <c r="BK200" s="111" t="s">
        <v>3818</v>
      </c>
      <c r="BL200" s="111" t="s">
        <v>3818</v>
      </c>
      <c r="BM200" s="111" t="s">
        <v>4284</v>
      </c>
      <c r="BN200" s="111" t="s">
        <v>4284</v>
      </c>
      <c r="BO200" s="2"/>
      <c r="BP200" s="3"/>
      <c r="BQ200" s="3"/>
      <c r="BR200" s="3"/>
      <c r="BS200" s="3"/>
    </row>
    <row r="201" spans="1:71" ht="15">
      <c r="A201" s="65" t="s">
        <v>405</v>
      </c>
      <c r="B201" s="66"/>
      <c r="C201" s="66"/>
      <c r="D201" s="67">
        <v>150</v>
      </c>
      <c r="E201" s="69"/>
      <c r="F201" s="103" t="str">
        <f>HYPERLINK("https://yt3.ggpht.com/ytc/AAUvwnhB7gt7Q_9XR7WLvs9yfILXTyfngDYeEGj1Jg=s88-c-k-c0x00ffffff-no-rj")</f>
        <v>https://yt3.ggpht.com/ytc/AAUvwnhB7gt7Q_9XR7WLvs9yfILXTyfngDYeEGj1Jg=s88-c-k-c0x00ffffff-no-rj</v>
      </c>
      <c r="G201" s="66"/>
      <c r="H201" s="70" t="s">
        <v>1764</v>
      </c>
      <c r="I201" s="71"/>
      <c r="J201" s="71" t="s">
        <v>159</v>
      </c>
      <c r="K201" s="70" t="s">
        <v>1764</v>
      </c>
      <c r="L201" s="74">
        <v>1</v>
      </c>
      <c r="M201" s="75">
        <v>7823.64697265625</v>
      </c>
      <c r="N201" s="75">
        <v>8550.232421875</v>
      </c>
      <c r="O201" s="76"/>
      <c r="P201" s="77"/>
      <c r="Q201" s="77"/>
      <c r="R201" s="89"/>
      <c r="S201" s="49">
        <v>0</v>
      </c>
      <c r="T201" s="49">
        <v>1</v>
      </c>
      <c r="U201" s="50">
        <v>0</v>
      </c>
      <c r="V201" s="50">
        <v>0.000859</v>
      </c>
      <c r="W201" s="50">
        <v>0</v>
      </c>
      <c r="X201" s="50">
        <v>0.50924</v>
      </c>
      <c r="Y201" s="50">
        <v>0</v>
      </c>
      <c r="Z201" s="50">
        <v>0</v>
      </c>
      <c r="AA201" s="72">
        <v>201</v>
      </c>
      <c r="AB201" s="72"/>
      <c r="AC201" s="73"/>
      <c r="AD201" s="80" t="s">
        <v>1764</v>
      </c>
      <c r="AE201" s="80"/>
      <c r="AF201" s="80"/>
      <c r="AG201" s="80"/>
      <c r="AH201" s="80"/>
      <c r="AI201" s="80"/>
      <c r="AJ201" s="87">
        <v>43973.630636574075</v>
      </c>
      <c r="AK201" s="85" t="str">
        <f>HYPERLINK("https://yt3.ggpht.com/ytc/AAUvwnhB7gt7Q_9XR7WLvs9yfILXTyfngDYeEGj1Jg=s88-c-k-c0x00ffffff-no-rj")</f>
        <v>https://yt3.ggpht.com/ytc/AAUvwnhB7gt7Q_9XR7WLvs9yfILXTyfngDYeEGj1Jg=s88-c-k-c0x00ffffff-no-rj</v>
      </c>
      <c r="AL201" s="80">
        <v>0</v>
      </c>
      <c r="AM201" s="80">
        <v>0</v>
      </c>
      <c r="AN201" s="80">
        <v>0</v>
      </c>
      <c r="AO201" s="80" t="b">
        <v>0</v>
      </c>
      <c r="AP201" s="80">
        <v>0</v>
      </c>
      <c r="AQ201" s="80"/>
      <c r="AR201" s="80"/>
      <c r="AS201" s="80" t="s">
        <v>2664</v>
      </c>
      <c r="AT201" s="85" t="str">
        <f>HYPERLINK("https://www.youtube.com/channel/UCgRF6tj16DWwM-ZT_4cKXOw")</f>
        <v>https://www.youtube.com/channel/UCgRF6tj16DWwM-ZT_4cKXOw</v>
      </c>
      <c r="AU201" s="80" t="str">
        <f>REPLACE(INDEX(GroupVertices[Group],MATCH(Vertices[[#This Row],[Vertex]],GroupVertices[Vertex],0)),1,1,"")</f>
        <v>4</v>
      </c>
      <c r="AV201" s="49">
        <v>3</v>
      </c>
      <c r="AW201" s="50">
        <v>7.142857142857143</v>
      </c>
      <c r="AX201" s="49">
        <v>1</v>
      </c>
      <c r="AY201" s="50">
        <v>2.380952380952381</v>
      </c>
      <c r="AZ201" s="49">
        <v>0</v>
      </c>
      <c r="BA201" s="50">
        <v>0</v>
      </c>
      <c r="BB201" s="49">
        <v>38</v>
      </c>
      <c r="BC201" s="50">
        <v>90.47619047619048</v>
      </c>
      <c r="BD201" s="49">
        <v>42</v>
      </c>
      <c r="BE201" s="49" t="s">
        <v>3422</v>
      </c>
      <c r="BF201" s="49" t="s">
        <v>3422</v>
      </c>
      <c r="BG201" s="49" t="s">
        <v>2381</v>
      </c>
      <c r="BH201" s="49" t="s">
        <v>2381</v>
      </c>
      <c r="BI201" s="49"/>
      <c r="BJ201" s="49"/>
      <c r="BK201" s="111" t="s">
        <v>3819</v>
      </c>
      <c r="BL201" s="111" t="s">
        <v>3819</v>
      </c>
      <c r="BM201" s="111" t="s">
        <v>4285</v>
      </c>
      <c r="BN201" s="111" t="s">
        <v>4285</v>
      </c>
      <c r="BO201" s="2"/>
      <c r="BP201" s="3"/>
      <c r="BQ201" s="3"/>
      <c r="BR201" s="3"/>
      <c r="BS201" s="3"/>
    </row>
    <row r="202" spans="1:71" ht="15">
      <c r="A202" s="65" t="s">
        <v>406</v>
      </c>
      <c r="B202" s="66"/>
      <c r="C202" s="66"/>
      <c r="D202" s="67">
        <v>150</v>
      </c>
      <c r="E202" s="69"/>
      <c r="F202" s="103" t="str">
        <f>HYPERLINK("https://yt3.ggpht.com/ytc/AAUvwngmofho12HQb5AnV17rzMxJ3WmkD49LBqcVtK4Rvw=s88-c-k-c0x00ffffff-no-rj")</f>
        <v>https://yt3.ggpht.com/ytc/AAUvwngmofho12HQb5AnV17rzMxJ3WmkD49LBqcVtK4Rvw=s88-c-k-c0x00ffffff-no-rj</v>
      </c>
      <c r="G202" s="66"/>
      <c r="H202" s="70" t="s">
        <v>1765</v>
      </c>
      <c r="I202" s="71"/>
      <c r="J202" s="71" t="s">
        <v>159</v>
      </c>
      <c r="K202" s="70" t="s">
        <v>1765</v>
      </c>
      <c r="L202" s="74">
        <v>1</v>
      </c>
      <c r="M202" s="75">
        <v>7664.55517578125</v>
      </c>
      <c r="N202" s="75">
        <v>8624.044921875</v>
      </c>
      <c r="O202" s="76"/>
      <c r="P202" s="77"/>
      <c r="Q202" s="77"/>
      <c r="R202" s="89"/>
      <c r="S202" s="49">
        <v>0</v>
      </c>
      <c r="T202" s="49">
        <v>1</v>
      </c>
      <c r="U202" s="50">
        <v>0</v>
      </c>
      <c r="V202" s="50">
        <v>0.000859</v>
      </c>
      <c r="W202" s="50">
        <v>0</v>
      </c>
      <c r="X202" s="50">
        <v>0.50924</v>
      </c>
      <c r="Y202" s="50">
        <v>0</v>
      </c>
      <c r="Z202" s="50">
        <v>0</v>
      </c>
      <c r="AA202" s="72">
        <v>202</v>
      </c>
      <c r="AB202" s="72"/>
      <c r="AC202" s="73"/>
      <c r="AD202" s="80" t="s">
        <v>1765</v>
      </c>
      <c r="AE202" s="80" t="s">
        <v>2487</v>
      </c>
      <c r="AF202" s="80"/>
      <c r="AG202" s="80"/>
      <c r="AH202" s="80"/>
      <c r="AI202" s="80"/>
      <c r="AJ202" s="87">
        <v>43709.9587962963</v>
      </c>
      <c r="AK202" s="85" t="str">
        <f>HYPERLINK("https://yt3.ggpht.com/ytc/AAUvwngmofho12HQb5AnV17rzMxJ3WmkD49LBqcVtK4Rvw=s88-c-k-c0x00ffffff-no-rj")</f>
        <v>https://yt3.ggpht.com/ytc/AAUvwngmofho12HQb5AnV17rzMxJ3WmkD49LBqcVtK4Rvw=s88-c-k-c0x00ffffff-no-rj</v>
      </c>
      <c r="AL202" s="80">
        <v>2384</v>
      </c>
      <c r="AM202" s="80">
        <v>0</v>
      </c>
      <c r="AN202" s="80">
        <v>66</v>
      </c>
      <c r="AO202" s="80" t="b">
        <v>0</v>
      </c>
      <c r="AP202" s="80">
        <v>113</v>
      </c>
      <c r="AQ202" s="80"/>
      <c r="AR202" s="80"/>
      <c r="AS202" s="80" t="s">
        <v>2664</v>
      </c>
      <c r="AT202" s="85" t="str">
        <f>HYPERLINK("https://www.youtube.com/channel/UCfpDVjI-jTfsho8N61m84gw")</f>
        <v>https://www.youtube.com/channel/UCfpDVjI-jTfsho8N61m84gw</v>
      </c>
      <c r="AU202" s="80" t="str">
        <f>REPLACE(INDEX(GroupVertices[Group],MATCH(Vertices[[#This Row],[Vertex]],GroupVertices[Vertex],0)),1,1,"")</f>
        <v>4</v>
      </c>
      <c r="AV202" s="49">
        <v>1</v>
      </c>
      <c r="AW202" s="50">
        <v>100</v>
      </c>
      <c r="AX202" s="49">
        <v>0</v>
      </c>
      <c r="AY202" s="50">
        <v>0</v>
      </c>
      <c r="AZ202" s="49">
        <v>0</v>
      </c>
      <c r="BA202" s="50">
        <v>0</v>
      </c>
      <c r="BB202" s="49">
        <v>0</v>
      </c>
      <c r="BC202" s="50">
        <v>0</v>
      </c>
      <c r="BD202" s="49">
        <v>1</v>
      </c>
      <c r="BE202" s="49"/>
      <c r="BF202" s="49"/>
      <c r="BG202" s="49"/>
      <c r="BH202" s="49"/>
      <c r="BI202" s="49"/>
      <c r="BJ202" s="49"/>
      <c r="BK202" s="111" t="s">
        <v>1030</v>
      </c>
      <c r="BL202" s="111" t="s">
        <v>1030</v>
      </c>
      <c r="BM202" s="111" t="s">
        <v>2390</v>
      </c>
      <c r="BN202" s="111" t="s">
        <v>2390</v>
      </c>
      <c r="BO202" s="2"/>
      <c r="BP202" s="3"/>
      <c r="BQ202" s="3"/>
      <c r="BR202" s="3"/>
      <c r="BS202" s="3"/>
    </row>
    <row r="203" spans="1:71" ht="15">
      <c r="A203" s="65" t="s">
        <v>407</v>
      </c>
      <c r="B203" s="66"/>
      <c r="C203" s="66"/>
      <c r="D203" s="67">
        <v>150</v>
      </c>
      <c r="E203" s="69"/>
      <c r="F203" s="103" t="str">
        <f>HYPERLINK("https://yt3.ggpht.com/ytc/AAUvwniCXijI_jrSD4sJ71lLPFvvcfUrBNxaQGB0RYzHtw=s88-c-k-c0x00ffffff-no-rj")</f>
        <v>https://yt3.ggpht.com/ytc/AAUvwniCXijI_jrSD4sJ71lLPFvvcfUrBNxaQGB0RYzHtw=s88-c-k-c0x00ffffff-no-rj</v>
      </c>
      <c r="G203" s="66"/>
      <c r="H203" s="70" t="s">
        <v>1766</v>
      </c>
      <c r="I203" s="71"/>
      <c r="J203" s="71" t="s">
        <v>159</v>
      </c>
      <c r="K203" s="70" t="s">
        <v>1766</v>
      </c>
      <c r="L203" s="74">
        <v>1</v>
      </c>
      <c r="M203" s="75">
        <v>9071.1728515625</v>
      </c>
      <c r="N203" s="75">
        <v>8261.3564453125</v>
      </c>
      <c r="O203" s="76"/>
      <c r="P203" s="77"/>
      <c r="Q203" s="77"/>
      <c r="R203" s="89"/>
      <c r="S203" s="49">
        <v>0</v>
      </c>
      <c r="T203" s="49">
        <v>1</v>
      </c>
      <c r="U203" s="50">
        <v>0</v>
      </c>
      <c r="V203" s="50">
        <v>0.000859</v>
      </c>
      <c r="W203" s="50">
        <v>0</v>
      </c>
      <c r="X203" s="50">
        <v>0.50924</v>
      </c>
      <c r="Y203" s="50">
        <v>0</v>
      </c>
      <c r="Z203" s="50">
        <v>0</v>
      </c>
      <c r="AA203" s="72">
        <v>203</v>
      </c>
      <c r="AB203" s="72"/>
      <c r="AC203" s="73"/>
      <c r="AD203" s="80" t="s">
        <v>1766</v>
      </c>
      <c r="AE203" s="80"/>
      <c r="AF203" s="80"/>
      <c r="AG203" s="80"/>
      <c r="AH203" s="80"/>
      <c r="AI203" s="80"/>
      <c r="AJ203" s="87">
        <v>41818.09179398148</v>
      </c>
      <c r="AK203" s="85" t="str">
        <f>HYPERLINK("https://yt3.ggpht.com/ytc/AAUvwniCXijI_jrSD4sJ71lLPFvvcfUrBNxaQGB0RYzHtw=s88-c-k-c0x00ffffff-no-rj")</f>
        <v>https://yt3.ggpht.com/ytc/AAUvwniCXijI_jrSD4sJ71lLPFvvcfUrBNxaQGB0RYzHtw=s88-c-k-c0x00ffffff-no-rj</v>
      </c>
      <c r="AL203" s="80">
        <v>0</v>
      </c>
      <c r="AM203" s="80">
        <v>0</v>
      </c>
      <c r="AN203" s="80">
        <v>28</v>
      </c>
      <c r="AO203" s="80" t="b">
        <v>0</v>
      </c>
      <c r="AP203" s="80">
        <v>0</v>
      </c>
      <c r="AQ203" s="80"/>
      <c r="AR203" s="80"/>
      <c r="AS203" s="80" t="s">
        <v>2664</v>
      </c>
      <c r="AT203" s="85" t="str">
        <f>HYPERLINK("https://www.youtube.com/channel/UCkly-VZIpn72lNjXcuCWW9w")</f>
        <v>https://www.youtube.com/channel/UCkly-VZIpn72lNjXcuCWW9w</v>
      </c>
      <c r="AU203" s="80" t="str">
        <f>REPLACE(INDEX(GroupVertices[Group],MATCH(Vertices[[#This Row],[Vertex]],GroupVertices[Vertex],0)),1,1,"")</f>
        <v>4</v>
      </c>
      <c r="AV203" s="49">
        <v>0</v>
      </c>
      <c r="AW203" s="50">
        <v>0</v>
      </c>
      <c r="AX203" s="49">
        <v>0</v>
      </c>
      <c r="AY203" s="50">
        <v>0</v>
      </c>
      <c r="AZ203" s="49">
        <v>0</v>
      </c>
      <c r="BA203" s="50">
        <v>0</v>
      </c>
      <c r="BB203" s="49">
        <v>0</v>
      </c>
      <c r="BC203" s="50">
        <v>0</v>
      </c>
      <c r="BD203" s="49">
        <v>0</v>
      </c>
      <c r="BE203" s="49"/>
      <c r="BF203" s="49"/>
      <c r="BG203" s="49"/>
      <c r="BH203" s="49"/>
      <c r="BI203" s="49"/>
      <c r="BJ203" s="49"/>
      <c r="BK203" s="111" t="s">
        <v>2390</v>
      </c>
      <c r="BL203" s="111" t="s">
        <v>2390</v>
      </c>
      <c r="BM203" s="111" t="s">
        <v>2390</v>
      </c>
      <c r="BN203" s="111" t="s">
        <v>2390</v>
      </c>
      <c r="BO203" s="2"/>
      <c r="BP203" s="3"/>
      <c r="BQ203" s="3"/>
      <c r="BR203" s="3"/>
      <c r="BS203" s="3"/>
    </row>
    <row r="204" spans="1:71" ht="15">
      <c r="A204" s="65" t="s">
        <v>408</v>
      </c>
      <c r="B204" s="66"/>
      <c r="C204" s="66"/>
      <c r="D204" s="67">
        <v>150</v>
      </c>
      <c r="E204" s="69"/>
      <c r="F204" s="103" t="str">
        <f>HYPERLINK("https://yt3.ggpht.com/ytc/AAUvwnhp1au5mQu8La--67tIpcQk-eLQBn3wGzW1E9tNDw=s88-c-k-c0x00ffffff-no-rj")</f>
        <v>https://yt3.ggpht.com/ytc/AAUvwnhp1au5mQu8La--67tIpcQk-eLQBn3wGzW1E9tNDw=s88-c-k-c0x00ffffff-no-rj</v>
      </c>
      <c r="G204" s="66"/>
      <c r="H204" s="70" t="s">
        <v>1767</v>
      </c>
      <c r="I204" s="71"/>
      <c r="J204" s="71" t="s">
        <v>159</v>
      </c>
      <c r="K204" s="70" t="s">
        <v>1767</v>
      </c>
      <c r="L204" s="74">
        <v>1</v>
      </c>
      <c r="M204" s="75">
        <v>8003.25146484375</v>
      </c>
      <c r="N204" s="75">
        <v>8158.482421875</v>
      </c>
      <c r="O204" s="76"/>
      <c r="P204" s="77"/>
      <c r="Q204" s="77"/>
      <c r="R204" s="89"/>
      <c r="S204" s="49">
        <v>0</v>
      </c>
      <c r="T204" s="49">
        <v>1</v>
      </c>
      <c r="U204" s="50">
        <v>0</v>
      </c>
      <c r="V204" s="50">
        <v>0.000859</v>
      </c>
      <c r="W204" s="50">
        <v>0</v>
      </c>
      <c r="X204" s="50">
        <v>0.50924</v>
      </c>
      <c r="Y204" s="50">
        <v>0</v>
      </c>
      <c r="Z204" s="50">
        <v>0</v>
      </c>
      <c r="AA204" s="72">
        <v>204</v>
      </c>
      <c r="AB204" s="72"/>
      <c r="AC204" s="73"/>
      <c r="AD204" s="80" t="s">
        <v>1767</v>
      </c>
      <c r="AE204" s="80"/>
      <c r="AF204" s="80"/>
      <c r="AG204" s="80"/>
      <c r="AH204" s="80"/>
      <c r="AI204" s="80"/>
      <c r="AJ204" s="87">
        <v>42387.632106481484</v>
      </c>
      <c r="AK204" s="85" t="str">
        <f>HYPERLINK("https://yt3.ggpht.com/ytc/AAUvwnhp1au5mQu8La--67tIpcQk-eLQBn3wGzW1E9tNDw=s88-c-k-c0x00ffffff-no-rj")</f>
        <v>https://yt3.ggpht.com/ytc/AAUvwnhp1au5mQu8La--67tIpcQk-eLQBn3wGzW1E9tNDw=s88-c-k-c0x00ffffff-no-rj</v>
      </c>
      <c r="AL204" s="80">
        <v>56</v>
      </c>
      <c r="AM204" s="80">
        <v>0</v>
      </c>
      <c r="AN204" s="80">
        <v>8</v>
      </c>
      <c r="AO204" s="80" t="b">
        <v>0</v>
      </c>
      <c r="AP204" s="80">
        <v>7</v>
      </c>
      <c r="AQ204" s="80"/>
      <c r="AR204" s="80"/>
      <c r="AS204" s="80" t="s">
        <v>2664</v>
      </c>
      <c r="AT204" s="85" t="str">
        <f>HYPERLINK("https://www.youtube.com/channel/UCSRWGg0boBMbHebODEMU54Q")</f>
        <v>https://www.youtube.com/channel/UCSRWGg0boBMbHebODEMU54Q</v>
      </c>
      <c r="AU204" s="80" t="str">
        <f>REPLACE(INDEX(GroupVertices[Group],MATCH(Vertices[[#This Row],[Vertex]],GroupVertices[Vertex],0)),1,1,"")</f>
        <v>4</v>
      </c>
      <c r="AV204" s="49">
        <v>2</v>
      </c>
      <c r="AW204" s="50">
        <v>7.6923076923076925</v>
      </c>
      <c r="AX204" s="49">
        <v>0</v>
      </c>
      <c r="AY204" s="50">
        <v>0</v>
      </c>
      <c r="AZ204" s="49">
        <v>0</v>
      </c>
      <c r="BA204" s="50">
        <v>0</v>
      </c>
      <c r="BB204" s="49">
        <v>24</v>
      </c>
      <c r="BC204" s="50">
        <v>92.3076923076923</v>
      </c>
      <c r="BD204" s="49">
        <v>26</v>
      </c>
      <c r="BE204" s="49" t="s">
        <v>3452</v>
      </c>
      <c r="BF204" s="49" t="s">
        <v>3452</v>
      </c>
      <c r="BG204" s="49" t="s">
        <v>2379</v>
      </c>
      <c r="BH204" s="49" t="s">
        <v>2379</v>
      </c>
      <c r="BI204" s="49"/>
      <c r="BJ204" s="49"/>
      <c r="BK204" s="111" t="s">
        <v>3820</v>
      </c>
      <c r="BL204" s="111" t="s">
        <v>3820</v>
      </c>
      <c r="BM204" s="111" t="s">
        <v>4286</v>
      </c>
      <c r="BN204" s="111" t="s">
        <v>4286</v>
      </c>
      <c r="BO204" s="2"/>
      <c r="BP204" s="3"/>
      <c r="BQ204" s="3"/>
      <c r="BR204" s="3"/>
      <c r="BS204" s="3"/>
    </row>
    <row r="205" spans="1:71" ht="15">
      <c r="A205" s="65" t="s">
        <v>409</v>
      </c>
      <c r="B205" s="66"/>
      <c r="C205" s="66"/>
      <c r="D205" s="67">
        <v>150</v>
      </c>
      <c r="E205" s="69"/>
      <c r="F205" s="103" t="str">
        <f>HYPERLINK("https://yt3.ggpht.com/ytc/AAUvwnitmyNdoFdIJBCzWiNfaTDM9rmmU8OIVPxiOVvmUw=s88-c-k-c0x00ffffff-no-rj")</f>
        <v>https://yt3.ggpht.com/ytc/AAUvwnitmyNdoFdIJBCzWiNfaTDM9rmmU8OIVPxiOVvmUw=s88-c-k-c0x00ffffff-no-rj</v>
      </c>
      <c r="G205" s="66"/>
      <c r="H205" s="70" t="s">
        <v>1768</v>
      </c>
      <c r="I205" s="71"/>
      <c r="J205" s="71" t="s">
        <v>159</v>
      </c>
      <c r="K205" s="70" t="s">
        <v>1768</v>
      </c>
      <c r="L205" s="74">
        <v>1</v>
      </c>
      <c r="M205" s="75">
        <v>8795.740234375</v>
      </c>
      <c r="N205" s="75">
        <v>8191.9423828125</v>
      </c>
      <c r="O205" s="76"/>
      <c r="P205" s="77"/>
      <c r="Q205" s="77"/>
      <c r="R205" s="89"/>
      <c r="S205" s="49">
        <v>0</v>
      </c>
      <c r="T205" s="49">
        <v>1</v>
      </c>
      <c r="U205" s="50">
        <v>0</v>
      </c>
      <c r="V205" s="50">
        <v>0.000859</v>
      </c>
      <c r="W205" s="50">
        <v>0</v>
      </c>
      <c r="X205" s="50">
        <v>0.50924</v>
      </c>
      <c r="Y205" s="50">
        <v>0</v>
      </c>
      <c r="Z205" s="50">
        <v>0</v>
      </c>
      <c r="AA205" s="72">
        <v>205</v>
      </c>
      <c r="AB205" s="72"/>
      <c r="AC205" s="73"/>
      <c r="AD205" s="80" t="s">
        <v>1768</v>
      </c>
      <c r="AE205" s="80" t="s">
        <v>2488</v>
      </c>
      <c r="AF205" s="80"/>
      <c r="AG205" s="80"/>
      <c r="AH205" s="80"/>
      <c r="AI205" s="80"/>
      <c r="AJ205" s="87">
        <v>42669.85251157408</v>
      </c>
      <c r="AK205" s="85" t="str">
        <f>HYPERLINK("https://yt3.ggpht.com/ytc/AAUvwnitmyNdoFdIJBCzWiNfaTDM9rmmU8OIVPxiOVvmUw=s88-c-k-c0x00ffffff-no-rj")</f>
        <v>https://yt3.ggpht.com/ytc/AAUvwnitmyNdoFdIJBCzWiNfaTDM9rmmU8OIVPxiOVvmUw=s88-c-k-c0x00ffffff-no-rj</v>
      </c>
      <c r="AL205" s="80">
        <v>870</v>
      </c>
      <c r="AM205" s="80">
        <v>0</v>
      </c>
      <c r="AN205" s="80">
        <v>245</v>
      </c>
      <c r="AO205" s="80" t="b">
        <v>0</v>
      </c>
      <c r="AP205" s="80">
        <v>14</v>
      </c>
      <c r="AQ205" s="80"/>
      <c r="AR205" s="80"/>
      <c r="AS205" s="80" t="s">
        <v>2664</v>
      </c>
      <c r="AT205" s="85" t="str">
        <f>HYPERLINK("https://www.youtube.com/channel/UCNMtMMfBNi2ltGUrzpCSg9w")</f>
        <v>https://www.youtube.com/channel/UCNMtMMfBNi2ltGUrzpCSg9w</v>
      </c>
      <c r="AU205" s="80" t="str">
        <f>REPLACE(INDEX(GroupVertices[Group],MATCH(Vertices[[#This Row],[Vertex]],GroupVertices[Vertex],0)),1,1,"")</f>
        <v>4</v>
      </c>
      <c r="AV205" s="49">
        <v>0</v>
      </c>
      <c r="AW205" s="50">
        <v>0</v>
      </c>
      <c r="AX205" s="49">
        <v>0</v>
      </c>
      <c r="AY205" s="50">
        <v>0</v>
      </c>
      <c r="AZ205" s="49">
        <v>0</v>
      </c>
      <c r="BA205" s="50">
        <v>0</v>
      </c>
      <c r="BB205" s="49">
        <v>2</v>
      </c>
      <c r="BC205" s="50">
        <v>100</v>
      </c>
      <c r="BD205" s="49">
        <v>2</v>
      </c>
      <c r="BE205" s="49"/>
      <c r="BF205" s="49"/>
      <c r="BG205" s="49"/>
      <c r="BH205" s="49"/>
      <c r="BI205" s="49"/>
      <c r="BJ205" s="49"/>
      <c r="BK205" s="111" t="s">
        <v>3814</v>
      </c>
      <c r="BL205" s="111" t="s">
        <v>3814</v>
      </c>
      <c r="BM205" s="111" t="s">
        <v>4281</v>
      </c>
      <c r="BN205" s="111" t="s">
        <v>4281</v>
      </c>
      <c r="BO205" s="2"/>
      <c r="BP205" s="3"/>
      <c r="BQ205" s="3"/>
      <c r="BR205" s="3"/>
      <c r="BS205" s="3"/>
    </row>
    <row r="206" spans="1:71" ht="15">
      <c r="A206" s="65" t="s">
        <v>410</v>
      </c>
      <c r="B206" s="66"/>
      <c r="C206" s="66"/>
      <c r="D206" s="67">
        <v>150</v>
      </c>
      <c r="E206" s="69"/>
      <c r="F206" s="103" t="str">
        <f>HYPERLINK("https://yt3.ggpht.com/ytc/AAUvwniKH7oqzkj5pKLxwBPfIeDNzfHCYfEKSJfH82B57A=s88-c-k-c0x00ffffff-no-rj")</f>
        <v>https://yt3.ggpht.com/ytc/AAUvwniKH7oqzkj5pKLxwBPfIeDNzfHCYfEKSJfH82B57A=s88-c-k-c0x00ffffff-no-rj</v>
      </c>
      <c r="G206" s="66"/>
      <c r="H206" s="70" t="s">
        <v>1769</v>
      </c>
      <c r="I206" s="71"/>
      <c r="J206" s="71" t="s">
        <v>159</v>
      </c>
      <c r="K206" s="70" t="s">
        <v>1769</v>
      </c>
      <c r="L206" s="74">
        <v>1</v>
      </c>
      <c r="M206" s="75">
        <v>8017.5693359375</v>
      </c>
      <c r="N206" s="75">
        <v>7457.42041015625</v>
      </c>
      <c r="O206" s="76"/>
      <c r="P206" s="77"/>
      <c r="Q206" s="77"/>
      <c r="R206" s="89"/>
      <c r="S206" s="49">
        <v>0</v>
      </c>
      <c r="T206" s="49">
        <v>1</v>
      </c>
      <c r="U206" s="50">
        <v>0</v>
      </c>
      <c r="V206" s="50">
        <v>0.000859</v>
      </c>
      <c r="W206" s="50">
        <v>0</v>
      </c>
      <c r="X206" s="50">
        <v>0.50924</v>
      </c>
      <c r="Y206" s="50">
        <v>0</v>
      </c>
      <c r="Z206" s="50">
        <v>0</v>
      </c>
      <c r="AA206" s="72">
        <v>206</v>
      </c>
      <c r="AB206" s="72"/>
      <c r="AC206" s="73"/>
      <c r="AD206" s="80" t="s">
        <v>1769</v>
      </c>
      <c r="AE206" s="80"/>
      <c r="AF206" s="80"/>
      <c r="AG206" s="80"/>
      <c r="AH206" s="80"/>
      <c r="AI206" s="80"/>
      <c r="AJ206" s="87">
        <v>42401.19393518518</v>
      </c>
      <c r="AK206" s="85" t="str">
        <f>HYPERLINK("https://yt3.ggpht.com/ytc/AAUvwniKH7oqzkj5pKLxwBPfIeDNzfHCYfEKSJfH82B57A=s88-c-k-c0x00ffffff-no-rj")</f>
        <v>https://yt3.ggpht.com/ytc/AAUvwniKH7oqzkj5pKLxwBPfIeDNzfHCYfEKSJfH82B57A=s88-c-k-c0x00ffffff-no-rj</v>
      </c>
      <c r="AL206" s="80">
        <v>0</v>
      </c>
      <c r="AM206" s="80">
        <v>0</v>
      </c>
      <c r="AN206" s="80">
        <v>7</v>
      </c>
      <c r="AO206" s="80" t="b">
        <v>0</v>
      </c>
      <c r="AP206" s="80">
        <v>0</v>
      </c>
      <c r="AQ206" s="80"/>
      <c r="AR206" s="80"/>
      <c r="AS206" s="80" t="s">
        <v>2664</v>
      </c>
      <c r="AT206" s="85" t="str">
        <f>HYPERLINK("https://www.youtube.com/channel/UCeqN6aYZ3_2yOtxMYSAIR5A")</f>
        <v>https://www.youtube.com/channel/UCeqN6aYZ3_2yOtxMYSAIR5A</v>
      </c>
      <c r="AU206" s="80" t="str">
        <f>REPLACE(INDEX(GroupVertices[Group],MATCH(Vertices[[#This Row],[Vertex]],GroupVertices[Vertex],0)),1,1,"")</f>
        <v>4</v>
      </c>
      <c r="AV206" s="49">
        <v>0</v>
      </c>
      <c r="AW206" s="50">
        <v>0</v>
      </c>
      <c r="AX206" s="49">
        <v>0</v>
      </c>
      <c r="AY206" s="50">
        <v>0</v>
      </c>
      <c r="AZ206" s="49">
        <v>0</v>
      </c>
      <c r="BA206" s="50">
        <v>0</v>
      </c>
      <c r="BB206" s="49">
        <v>20</v>
      </c>
      <c r="BC206" s="50">
        <v>100</v>
      </c>
      <c r="BD206" s="49">
        <v>20</v>
      </c>
      <c r="BE206" s="49"/>
      <c r="BF206" s="49"/>
      <c r="BG206" s="49"/>
      <c r="BH206" s="49"/>
      <c r="BI206" s="49"/>
      <c r="BJ206" s="49"/>
      <c r="BK206" s="111" t="s">
        <v>3821</v>
      </c>
      <c r="BL206" s="111" t="s">
        <v>3821</v>
      </c>
      <c r="BM206" s="111" t="s">
        <v>4287</v>
      </c>
      <c r="BN206" s="111" t="s">
        <v>4287</v>
      </c>
      <c r="BO206" s="2"/>
      <c r="BP206" s="3"/>
      <c r="BQ206" s="3"/>
      <c r="BR206" s="3"/>
      <c r="BS206" s="3"/>
    </row>
    <row r="207" spans="1:71" ht="15">
      <c r="A207" s="65" t="s">
        <v>411</v>
      </c>
      <c r="B207" s="66"/>
      <c r="C207" s="66"/>
      <c r="D207" s="67">
        <v>150</v>
      </c>
      <c r="E207" s="69"/>
      <c r="F207" s="103" t="str">
        <f>HYPERLINK("https://yt3.ggpht.com/ytc/AAUvwnjKdPVE9JLdaZuOaVCOynHC3nHBnxYk5h-t98P-xg=s88-c-k-c0x00ffffff-no-rj")</f>
        <v>https://yt3.ggpht.com/ytc/AAUvwnjKdPVE9JLdaZuOaVCOynHC3nHBnxYk5h-t98P-xg=s88-c-k-c0x00ffffff-no-rj</v>
      </c>
      <c r="G207" s="66"/>
      <c r="H207" s="70" t="s">
        <v>1770</v>
      </c>
      <c r="I207" s="71"/>
      <c r="J207" s="71" t="s">
        <v>159</v>
      </c>
      <c r="K207" s="70" t="s">
        <v>1770</v>
      </c>
      <c r="L207" s="74">
        <v>1</v>
      </c>
      <c r="M207" s="75">
        <v>8538.0771484375</v>
      </c>
      <c r="N207" s="75">
        <v>7285.23974609375</v>
      </c>
      <c r="O207" s="76"/>
      <c r="P207" s="77"/>
      <c r="Q207" s="77"/>
      <c r="R207" s="89"/>
      <c r="S207" s="49">
        <v>0</v>
      </c>
      <c r="T207" s="49">
        <v>1</v>
      </c>
      <c r="U207" s="50">
        <v>0</v>
      </c>
      <c r="V207" s="50">
        <v>0.000859</v>
      </c>
      <c r="W207" s="50">
        <v>0</v>
      </c>
      <c r="X207" s="50">
        <v>0.50924</v>
      </c>
      <c r="Y207" s="50">
        <v>0</v>
      </c>
      <c r="Z207" s="50">
        <v>0</v>
      </c>
      <c r="AA207" s="72">
        <v>207</v>
      </c>
      <c r="AB207" s="72"/>
      <c r="AC207" s="73"/>
      <c r="AD207" s="80" t="s">
        <v>1770</v>
      </c>
      <c r="AE207" s="80"/>
      <c r="AF207" s="80"/>
      <c r="AG207" s="80"/>
      <c r="AH207" s="80"/>
      <c r="AI207" s="80"/>
      <c r="AJ207" s="87">
        <v>42381.15809027778</v>
      </c>
      <c r="AK207" s="85" t="str">
        <f>HYPERLINK("https://yt3.ggpht.com/ytc/AAUvwnjKdPVE9JLdaZuOaVCOynHC3nHBnxYk5h-t98P-xg=s88-c-k-c0x00ffffff-no-rj")</f>
        <v>https://yt3.ggpht.com/ytc/AAUvwnjKdPVE9JLdaZuOaVCOynHC3nHBnxYk5h-t98P-xg=s88-c-k-c0x00ffffff-no-rj</v>
      </c>
      <c r="AL207" s="80">
        <v>0</v>
      </c>
      <c r="AM207" s="80">
        <v>0</v>
      </c>
      <c r="AN207" s="80">
        <v>1</v>
      </c>
      <c r="AO207" s="80" t="b">
        <v>0</v>
      </c>
      <c r="AP207" s="80">
        <v>0</v>
      </c>
      <c r="AQ207" s="80"/>
      <c r="AR207" s="80"/>
      <c r="AS207" s="80" t="s">
        <v>2664</v>
      </c>
      <c r="AT207" s="85" t="str">
        <f>HYPERLINK("https://www.youtube.com/channel/UCq4Xqp4npGleWuOEfWLOsLw")</f>
        <v>https://www.youtube.com/channel/UCq4Xqp4npGleWuOEfWLOsLw</v>
      </c>
      <c r="AU207" s="80" t="str">
        <f>REPLACE(INDEX(GroupVertices[Group],MATCH(Vertices[[#This Row],[Vertex]],GroupVertices[Vertex],0)),1,1,"")</f>
        <v>4</v>
      </c>
      <c r="AV207" s="49">
        <v>2</v>
      </c>
      <c r="AW207" s="50">
        <v>8.695652173913043</v>
      </c>
      <c r="AX207" s="49">
        <v>0</v>
      </c>
      <c r="AY207" s="50">
        <v>0</v>
      </c>
      <c r="AZ207" s="49">
        <v>0</v>
      </c>
      <c r="BA207" s="50">
        <v>0</v>
      </c>
      <c r="BB207" s="49">
        <v>21</v>
      </c>
      <c r="BC207" s="50">
        <v>91.30434782608695</v>
      </c>
      <c r="BD207" s="49">
        <v>23</v>
      </c>
      <c r="BE207" s="49" t="s">
        <v>3451</v>
      </c>
      <c r="BF207" s="49" t="s">
        <v>3451</v>
      </c>
      <c r="BG207" s="49" t="s">
        <v>2379</v>
      </c>
      <c r="BH207" s="49" t="s">
        <v>2379</v>
      </c>
      <c r="BI207" s="49"/>
      <c r="BJ207" s="49"/>
      <c r="BK207" s="111" t="s">
        <v>3822</v>
      </c>
      <c r="BL207" s="111" t="s">
        <v>3822</v>
      </c>
      <c r="BM207" s="111" t="s">
        <v>4288</v>
      </c>
      <c r="BN207" s="111" t="s">
        <v>4288</v>
      </c>
      <c r="BO207" s="2"/>
      <c r="BP207" s="3"/>
      <c r="BQ207" s="3"/>
      <c r="BR207" s="3"/>
      <c r="BS207" s="3"/>
    </row>
    <row r="208" spans="1:71" ht="15">
      <c r="A208" s="65" t="s">
        <v>412</v>
      </c>
      <c r="B208" s="66"/>
      <c r="C208" s="66"/>
      <c r="D208" s="67">
        <v>150</v>
      </c>
      <c r="E208" s="69"/>
      <c r="F208" s="103" t="str">
        <f>HYPERLINK("https://yt3.ggpht.com/ytc/AAUvwnib09dxMMMxw_nxRiTfx4rblh9ae6TbwJ2FzOYtnw=s88-c-k-c0x00ffffff-no-rj")</f>
        <v>https://yt3.ggpht.com/ytc/AAUvwnib09dxMMMxw_nxRiTfx4rblh9ae6TbwJ2FzOYtnw=s88-c-k-c0x00ffffff-no-rj</v>
      </c>
      <c r="G208" s="66"/>
      <c r="H208" s="70" t="s">
        <v>1771</v>
      </c>
      <c r="I208" s="71"/>
      <c r="J208" s="71" t="s">
        <v>159</v>
      </c>
      <c r="K208" s="70" t="s">
        <v>1771</v>
      </c>
      <c r="L208" s="74">
        <v>1</v>
      </c>
      <c r="M208" s="75">
        <v>8586.3896484375</v>
      </c>
      <c r="N208" s="75">
        <v>8363.5087890625</v>
      </c>
      <c r="O208" s="76"/>
      <c r="P208" s="77"/>
      <c r="Q208" s="77"/>
      <c r="R208" s="89"/>
      <c r="S208" s="49">
        <v>0</v>
      </c>
      <c r="T208" s="49">
        <v>1</v>
      </c>
      <c r="U208" s="50">
        <v>0</v>
      </c>
      <c r="V208" s="50">
        <v>0.000859</v>
      </c>
      <c r="W208" s="50">
        <v>0</v>
      </c>
      <c r="X208" s="50">
        <v>0.50924</v>
      </c>
      <c r="Y208" s="50">
        <v>0</v>
      </c>
      <c r="Z208" s="50">
        <v>0</v>
      </c>
      <c r="AA208" s="72">
        <v>208</v>
      </c>
      <c r="AB208" s="72"/>
      <c r="AC208" s="73"/>
      <c r="AD208" s="80" t="s">
        <v>1771</v>
      </c>
      <c r="AE208" s="80"/>
      <c r="AF208" s="80"/>
      <c r="AG208" s="80"/>
      <c r="AH208" s="80"/>
      <c r="AI208" s="80"/>
      <c r="AJ208" s="87">
        <v>42778.11299768519</v>
      </c>
      <c r="AK208" s="85" t="str">
        <f>HYPERLINK("https://yt3.ggpht.com/ytc/AAUvwnib09dxMMMxw_nxRiTfx4rblh9ae6TbwJ2FzOYtnw=s88-c-k-c0x00ffffff-no-rj")</f>
        <v>https://yt3.ggpht.com/ytc/AAUvwnib09dxMMMxw_nxRiTfx4rblh9ae6TbwJ2FzOYtnw=s88-c-k-c0x00ffffff-no-rj</v>
      </c>
      <c r="AL208" s="80">
        <v>197</v>
      </c>
      <c r="AM208" s="80">
        <v>0</v>
      </c>
      <c r="AN208" s="80">
        <v>7</v>
      </c>
      <c r="AO208" s="80" t="b">
        <v>0</v>
      </c>
      <c r="AP208" s="80">
        <v>8</v>
      </c>
      <c r="AQ208" s="80"/>
      <c r="AR208" s="80"/>
      <c r="AS208" s="80" t="s">
        <v>2664</v>
      </c>
      <c r="AT208" s="85" t="str">
        <f>HYPERLINK("https://www.youtube.com/channel/UCbpHmbOD5MTu7DzhZXZdzPg")</f>
        <v>https://www.youtube.com/channel/UCbpHmbOD5MTu7DzhZXZdzPg</v>
      </c>
      <c r="AU208" s="80" t="str">
        <f>REPLACE(INDEX(GroupVertices[Group],MATCH(Vertices[[#This Row],[Vertex]],GroupVertices[Vertex],0)),1,1,"")</f>
        <v>4</v>
      </c>
      <c r="AV208" s="49">
        <v>0</v>
      </c>
      <c r="AW208" s="50">
        <v>0</v>
      </c>
      <c r="AX208" s="49">
        <v>0</v>
      </c>
      <c r="AY208" s="50">
        <v>0</v>
      </c>
      <c r="AZ208" s="49">
        <v>0</v>
      </c>
      <c r="BA208" s="50">
        <v>0</v>
      </c>
      <c r="BB208" s="49">
        <v>2</v>
      </c>
      <c r="BC208" s="50">
        <v>100</v>
      </c>
      <c r="BD208" s="49">
        <v>2</v>
      </c>
      <c r="BE208" s="49"/>
      <c r="BF208" s="49"/>
      <c r="BG208" s="49"/>
      <c r="BH208" s="49"/>
      <c r="BI208" s="49"/>
      <c r="BJ208" s="49"/>
      <c r="BK208" s="111" t="s">
        <v>3823</v>
      </c>
      <c r="BL208" s="111" t="s">
        <v>3823</v>
      </c>
      <c r="BM208" s="111" t="s">
        <v>4289</v>
      </c>
      <c r="BN208" s="111" t="s">
        <v>4289</v>
      </c>
      <c r="BO208" s="2"/>
      <c r="BP208" s="3"/>
      <c r="BQ208" s="3"/>
      <c r="BR208" s="3"/>
      <c r="BS208" s="3"/>
    </row>
    <row r="209" spans="1:71" ht="15">
      <c r="A209" s="65" t="s">
        <v>413</v>
      </c>
      <c r="B209" s="66"/>
      <c r="C209" s="66"/>
      <c r="D209" s="67">
        <v>150</v>
      </c>
      <c r="E209" s="69"/>
      <c r="F209" s="103" t="str">
        <f>HYPERLINK("https://yt3.ggpht.com/ytc/AAUvwnjRX-KDQP1CZOCaV1QkrUyhc_L0BjO0L-PoGQWe=s88-c-k-c0x00ffffff-no-rj")</f>
        <v>https://yt3.ggpht.com/ytc/AAUvwnjRX-KDQP1CZOCaV1QkrUyhc_L0BjO0L-PoGQWe=s88-c-k-c0x00ffffff-no-rj</v>
      </c>
      <c r="G209" s="66"/>
      <c r="H209" s="70" t="s">
        <v>1772</v>
      </c>
      <c r="I209" s="71"/>
      <c r="J209" s="71" t="s">
        <v>159</v>
      </c>
      <c r="K209" s="70" t="s">
        <v>1772</v>
      </c>
      <c r="L209" s="74">
        <v>1</v>
      </c>
      <c r="M209" s="75">
        <v>9188.560546875</v>
      </c>
      <c r="N209" s="75">
        <v>8142.9912109375</v>
      </c>
      <c r="O209" s="76"/>
      <c r="P209" s="77"/>
      <c r="Q209" s="77"/>
      <c r="R209" s="89"/>
      <c r="S209" s="49">
        <v>0</v>
      </c>
      <c r="T209" s="49">
        <v>1</v>
      </c>
      <c r="U209" s="50">
        <v>0</v>
      </c>
      <c r="V209" s="50">
        <v>0.000859</v>
      </c>
      <c r="W209" s="50">
        <v>0</v>
      </c>
      <c r="X209" s="50">
        <v>0.50924</v>
      </c>
      <c r="Y209" s="50">
        <v>0</v>
      </c>
      <c r="Z209" s="50">
        <v>0</v>
      </c>
      <c r="AA209" s="72">
        <v>209</v>
      </c>
      <c r="AB209" s="72"/>
      <c r="AC209" s="73"/>
      <c r="AD209" s="80" t="s">
        <v>1772</v>
      </c>
      <c r="AE209" s="80"/>
      <c r="AF209" s="80"/>
      <c r="AG209" s="80"/>
      <c r="AH209" s="80"/>
      <c r="AI209" s="80"/>
      <c r="AJ209" s="87">
        <v>38771.40759259259</v>
      </c>
      <c r="AK209" s="85" t="str">
        <f>HYPERLINK("https://yt3.ggpht.com/ytc/AAUvwnjRX-KDQP1CZOCaV1QkrUyhc_L0BjO0L-PoGQWe=s88-c-k-c0x00ffffff-no-rj")</f>
        <v>https://yt3.ggpht.com/ytc/AAUvwnjRX-KDQP1CZOCaV1QkrUyhc_L0BjO0L-PoGQWe=s88-c-k-c0x00ffffff-no-rj</v>
      </c>
      <c r="AL209" s="80">
        <v>485</v>
      </c>
      <c r="AM209" s="80">
        <v>0</v>
      </c>
      <c r="AN209" s="80">
        <v>2</v>
      </c>
      <c r="AO209" s="80" t="b">
        <v>0</v>
      </c>
      <c r="AP209" s="80">
        <v>7</v>
      </c>
      <c r="AQ209" s="80"/>
      <c r="AR209" s="80"/>
      <c r="AS209" s="80" t="s">
        <v>2664</v>
      </c>
      <c r="AT209" s="85" t="str">
        <f>HYPERLINK("https://www.youtube.com/channel/UC3Qsj1mJvYnpN9eT3sN1buw")</f>
        <v>https://www.youtube.com/channel/UC3Qsj1mJvYnpN9eT3sN1buw</v>
      </c>
      <c r="AU209" s="80" t="str">
        <f>REPLACE(INDEX(GroupVertices[Group],MATCH(Vertices[[#This Row],[Vertex]],GroupVertices[Vertex],0)),1,1,"")</f>
        <v>4</v>
      </c>
      <c r="AV209" s="49">
        <v>0</v>
      </c>
      <c r="AW209" s="50">
        <v>0</v>
      </c>
      <c r="AX209" s="49">
        <v>0</v>
      </c>
      <c r="AY209" s="50">
        <v>0</v>
      </c>
      <c r="AZ209" s="49">
        <v>0</v>
      </c>
      <c r="BA209" s="50">
        <v>0</v>
      </c>
      <c r="BB209" s="49">
        <v>10</v>
      </c>
      <c r="BC209" s="50">
        <v>100</v>
      </c>
      <c r="BD209" s="49">
        <v>10</v>
      </c>
      <c r="BE209" s="49"/>
      <c r="BF209" s="49"/>
      <c r="BG209" s="49"/>
      <c r="BH209" s="49"/>
      <c r="BI209" s="49"/>
      <c r="BJ209" s="49"/>
      <c r="BK209" s="111" t="s">
        <v>3824</v>
      </c>
      <c r="BL209" s="111" t="s">
        <v>3824</v>
      </c>
      <c r="BM209" s="111" t="s">
        <v>4290</v>
      </c>
      <c r="BN209" s="111" t="s">
        <v>4290</v>
      </c>
      <c r="BO209" s="2"/>
      <c r="BP209" s="3"/>
      <c r="BQ209" s="3"/>
      <c r="BR209" s="3"/>
      <c r="BS209" s="3"/>
    </row>
    <row r="210" spans="1:71" ht="15">
      <c r="A210" s="65" t="s">
        <v>414</v>
      </c>
      <c r="B210" s="66"/>
      <c r="C210" s="66"/>
      <c r="D210" s="67">
        <v>150</v>
      </c>
      <c r="E210" s="69"/>
      <c r="F210" s="103" t="str">
        <f>HYPERLINK("https://yt3.ggpht.com/ytc/AAUvwnjbdAyl4Ow2GsaDh7zwJkdWUeeAKCLP5QIfSL65_w=s88-c-k-c0x00ffffff-no-rj")</f>
        <v>https://yt3.ggpht.com/ytc/AAUvwnjbdAyl4Ow2GsaDh7zwJkdWUeeAKCLP5QIfSL65_w=s88-c-k-c0x00ffffff-no-rj</v>
      </c>
      <c r="G210" s="66"/>
      <c r="H210" s="70" t="s">
        <v>1773</v>
      </c>
      <c r="I210" s="71"/>
      <c r="J210" s="71" t="s">
        <v>159</v>
      </c>
      <c r="K210" s="70" t="s">
        <v>1773</v>
      </c>
      <c r="L210" s="74">
        <v>1</v>
      </c>
      <c r="M210" s="75">
        <v>8223.099609375</v>
      </c>
      <c r="N210" s="75">
        <v>7909.76318359375</v>
      </c>
      <c r="O210" s="76"/>
      <c r="P210" s="77"/>
      <c r="Q210" s="77"/>
      <c r="R210" s="89"/>
      <c r="S210" s="49">
        <v>0</v>
      </c>
      <c r="T210" s="49">
        <v>2</v>
      </c>
      <c r="U210" s="50">
        <v>0</v>
      </c>
      <c r="V210" s="50">
        <v>0.00086</v>
      </c>
      <c r="W210" s="50">
        <v>0</v>
      </c>
      <c r="X210" s="50">
        <v>0.885634</v>
      </c>
      <c r="Y210" s="50">
        <v>0.5</v>
      </c>
      <c r="Z210" s="50">
        <v>0</v>
      </c>
      <c r="AA210" s="72">
        <v>210</v>
      </c>
      <c r="AB210" s="72"/>
      <c r="AC210" s="73"/>
      <c r="AD210" s="80" t="s">
        <v>1773</v>
      </c>
      <c r="AE210" s="80"/>
      <c r="AF210" s="80"/>
      <c r="AG210" s="80"/>
      <c r="AH210" s="80"/>
      <c r="AI210" s="80"/>
      <c r="AJ210" s="87">
        <v>43996.24804398148</v>
      </c>
      <c r="AK210" s="85" t="str">
        <f>HYPERLINK("https://yt3.ggpht.com/ytc/AAUvwnjbdAyl4Ow2GsaDh7zwJkdWUeeAKCLP5QIfSL65_w=s88-c-k-c0x00ffffff-no-rj")</f>
        <v>https://yt3.ggpht.com/ytc/AAUvwnjbdAyl4Ow2GsaDh7zwJkdWUeeAKCLP5QIfSL65_w=s88-c-k-c0x00ffffff-no-rj</v>
      </c>
      <c r="AL210" s="80">
        <v>191</v>
      </c>
      <c r="AM210" s="80">
        <v>0</v>
      </c>
      <c r="AN210" s="80">
        <v>15</v>
      </c>
      <c r="AO210" s="80" t="b">
        <v>0</v>
      </c>
      <c r="AP210" s="80">
        <v>13</v>
      </c>
      <c r="AQ210" s="80"/>
      <c r="AR210" s="80"/>
      <c r="AS210" s="80" t="s">
        <v>2664</v>
      </c>
      <c r="AT210" s="85" t="str">
        <f>HYPERLINK("https://www.youtube.com/channel/UCGo0zwvmGTyrPhIfxqzfV6A")</f>
        <v>https://www.youtube.com/channel/UCGo0zwvmGTyrPhIfxqzfV6A</v>
      </c>
      <c r="AU210" s="80" t="str">
        <f>REPLACE(INDEX(GroupVertices[Group],MATCH(Vertices[[#This Row],[Vertex]],GroupVertices[Vertex],0)),1,1,"")</f>
        <v>4</v>
      </c>
      <c r="AV210" s="49">
        <v>0</v>
      </c>
      <c r="AW210" s="50">
        <v>0</v>
      </c>
      <c r="AX210" s="49">
        <v>0</v>
      </c>
      <c r="AY210" s="50">
        <v>0</v>
      </c>
      <c r="AZ210" s="49">
        <v>0</v>
      </c>
      <c r="BA210" s="50">
        <v>0</v>
      </c>
      <c r="BB210" s="49">
        <v>18</v>
      </c>
      <c r="BC210" s="50">
        <v>100</v>
      </c>
      <c r="BD210" s="49">
        <v>18</v>
      </c>
      <c r="BE210" s="49"/>
      <c r="BF210" s="49"/>
      <c r="BG210" s="49"/>
      <c r="BH210" s="49"/>
      <c r="BI210" s="49"/>
      <c r="BJ210" s="49"/>
      <c r="BK210" s="111" t="s">
        <v>3825</v>
      </c>
      <c r="BL210" s="111" t="s">
        <v>3825</v>
      </c>
      <c r="BM210" s="111" t="s">
        <v>4291</v>
      </c>
      <c r="BN210" s="111" t="s">
        <v>4291</v>
      </c>
      <c r="BO210" s="2"/>
      <c r="BP210" s="3"/>
      <c r="BQ210" s="3"/>
      <c r="BR210" s="3"/>
      <c r="BS210" s="3"/>
    </row>
    <row r="211" spans="1:71" ht="15">
      <c r="A211" s="65" t="s">
        <v>415</v>
      </c>
      <c r="B211" s="66"/>
      <c r="C211" s="66"/>
      <c r="D211" s="67">
        <v>291.66666666666663</v>
      </c>
      <c r="E211" s="69"/>
      <c r="F211" s="103" t="str">
        <f>HYPERLINK("https://yt3.ggpht.com/ytc/AAUvwniOD4AZhxR7L7Jb0wvuAp66PiAd9PxSoJa58wk__g=s88-c-k-c0x00ffffff-no-rj")</f>
        <v>https://yt3.ggpht.com/ytc/AAUvwniOD4AZhxR7L7Jb0wvuAp66PiAd9PxSoJa58wk__g=s88-c-k-c0x00ffffff-no-rj</v>
      </c>
      <c r="G211" s="66"/>
      <c r="H211" s="70" t="s">
        <v>1774</v>
      </c>
      <c r="I211" s="71"/>
      <c r="J211" s="71" t="s">
        <v>159</v>
      </c>
      <c r="K211" s="70" t="s">
        <v>1774</v>
      </c>
      <c r="L211" s="74">
        <v>96.21904761904761</v>
      </c>
      <c r="M211" s="75">
        <v>8271.5029296875</v>
      </c>
      <c r="N211" s="75">
        <v>8303.2763671875</v>
      </c>
      <c r="O211" s="76"/>
      <c r="P211" s="77"/>
      <c r="Q211" s="77"/>
      <c r="R211" s="89"/>
      <c r="S211" s="49">
        <v>1</v>
      </c>
      <c r="T211" s="49">
        <v>1</v>
      </c>
      <c r="U211" s="50">
        <v>0</v>
      </c>
      <c r="V211" s="50">
        <v>0.00086</v>
      </c>
      <c r="W211" s="50">
        <v>0</v>
      </c>
      <c r="X211" s="50">
        <v>0.885634</v>
      </c>
      <c r="Y211" s="50">
        <v>0.5</v>
      </c>
      <c r="Z211" s="50">
        <v>0</v>
      </c>
      <c r="AA211" s="72">
        <v>211</v>
      </c>
      <c r="AB211" s="72"/>
      <c r="AC211" s="73"/>
      <c r="AD211" s="80" t="s">
        <v>1774</v>
      </c>
      <c r="AE211" s="80" t="s">
        <v>2489</v>
      </c>
      <c r="AF211" s="80"/>
      <c r="AG211" s="80"/>
      <c r="AH211" s="80"/>
      <c r="AI211" s="80"/>
      <c r="AJ211" s="87">
        <v>43983.798125</v>
      </c>
      <c r="AK211" s="85" t="str">
        <f>HYPERLINK("https://yt3.ggpht.com/ytc/AAUvwniOD4AZhxR7L7Jb0wvuAp66PiAd9PxSoJa58wk__g=s88-c-k-c0x00ffffff-no-rj")</f>
        <v>https://yt3.ggpht.com/ytc/AAUvwniOD4AZhxR7L7Jb0wvuAp66PiAd9PxSoJa58wk__g=s88-c-k-c0x00ffffff-no-rj</v>
      </c>
      <c r="AL211" s="80">
        <v>0</v>
      </c>
      <c r="AM211" s="80">
        <v>0</v>
      </c>
      <c r="AN211" s="80">
        <v>428</v>
      </c>
      <c r="AO211" s="80" t="b">
        <v>0</v>
      </c>
      <c r="AP211" s="80">
        <v>0</v>
      </c>
      <c r="AQ211" s="80"/>
      <c r="AR211" s="80"/>
      <c r="AS211" s="80" t="s">
        <v>2664</v>
      </c>
      <c r="AT211" s="85" t="str">
        <f>HYPERLINK("https://www.youtube.com/channel/UClVpvZXsBpevMFsvyo126Sg")</f>
        <v>https://www.youtube.com/channel/UClVpvZXsBpevMFsvyo126Sg</v>
      </c>
      <c r="AU211" s="80" t="str">
        <f>REPLACE(INDEX(GroupVertices[Group],MATCH(Vertices[[#This Row],[Vertex]],GroupVertices[Vertex],0)),1,1,"")</f>
        <v>4</v>
      </c>
      <c r="AV211" s="49">
        <v>0</v>
      </c>
      <c r="AW211" s="50">
        <v>0</v>
      </c>
      <c r="AX211" s="49">
        <v>0</v>
      </c>
      <c r="AY211" s="50">
        <v>0</v>
      </c>
      <c r="AZ211" s="49">
        <v>0</v>
      </c>
      <c r="BA211" s="50">
        <v>0</v>
      </c>
      <c r="BB211" s="49">
        <v>6</v>
      </c>
      <c r="BC211" s="50">
        <v>100</v>
      </c>
      <c r="BD211" s="49">
        <v>6</v>
      </c>
      <c r="BE211" s="49"/>
      <c r="BF211" s="49"/>
      <c r="BG211" s="49"/>
      <c r="BH211" s="49"/>
      <c r="BI211" s="49"/>
      <c r="BJ211" s="49"/>
      <c r="BK211" s="111" t="s">
        <v>3826</v>
      </c>
      <c r="BL211" s="111" t="s">
        <v>3826</v>
      </c>
      <c r="BM211" s="111" t="s">
        <v>3574</v>
      </c>
      <c r="BN211" s="111" t="s">
        <v>3574</v>
      </c>
      <c r="BO211" s="2"/>
      <c r="BP211" s="3"/>
      <c r="BQ211" s="3"/>
      <c r="BR211" s="3"/>
      <c r="BS211" s="3"/>
    </row>
    <row r="212" spans="1:71" ht="15">
      <c r="A212" s="65" t="s">
        <v>416</v>
      </c>
      <c r="B212" s="66"/>
      <c r="C212" s="66"/>
      <c r="D212" s="67">
        <v>150</v>
      </c>
      <c r="E212" s="69"/>
      <c r="F212" s="103" t="str">
        <f>HYPERLINK("https://yt3.ggpht.com/ytc/AAUvwniUZQLQIgZmCRCtKl5IOu6wMiUqBzXrN7STFvG9=s88-c-k-c0x00ffffff-no-rj")</f>
        <v>https://yt3.ggpht.com/ytc/AAUvwniUZQLQIgZmCRCtKl5IOu6wMiUqBzXrN7STFvG9=s88-c-k-c0x00ffffff-no-rj</v>
      </c>
      <c r="G212" s="66"/>
      <c r="H212" s="70" t="s">
        <v>1775</v>
      </c>
      <c r="I212" s="71"/>
      <c r="J212" s="71" t="s">
        <v>159</v>
      </c>
      <c r="K212" s="70" t="s">
        <v>1775</v>
      </c>
      <c r="L212" s="74">
        <v>1</v>
      </c>
      <c r="M212" s="75">
        <v>8752.4287109375</v>
      </c>
      <c r="N212" s="75">
        <v>8799.390625</v>
      </c>
      <c r="O212" s="76"/>
      <c r="P212" s="77"/>
      <c r="Q212" s="77"/>
      <c r="R212" s="89"/>
      <c r="S212" s="49">
        <v>0</v>
      </c>
      <c r="T212" s="49">
        <v>1</v>
      </c>
      <c r="U212" s="50">
        <v>0</v>
      </c>
      <c r="V212" s="50">
        <v>0.000859</v>
      </c>
      <c r="W212" s="50">
        <v>0</v>
      </c>
      <c r="X212" s="50">
        <v>0.50924</v>
      </c>
      <c r="Y212" s="50">
        <v>0</v>
      </c>
      <c r="Z212" s="50">
        <v>0</v>
      </c>
      <c r="AA212" s="72">
        <v>212</v>
      </c>
      <c r="AB212" s="72"/>
      <c r="AC212" s="73"/>
      <c r="AD212" s="80" t="s">
        <v>1775</v>
      </c>
      <c r="AE212" s="80"/>
      <c r="AF212" s="80"/>
      <c r="AG212" s="80"/>
      <c r="AH212" s="80"/>
      <c r="AI212" s="80"/>
      <c r="AJ212" s="87">
        <v>43251.1490625</v>
      </c>
      <c r="AK212" s="85" t="str">
        <f>HYPERLINK("https://yt3.ggpht.com/ytc/AAUvwniUZQLQIgZmCRCtKl5IOu6wMiUqBzXrN7STFvG9=s88-c-k-c0x00ffffff-no-rj")</f>
        <v>https://yt3.ggpht.com/ytc/AAUvwniUZQLQIgZmCRCtKl5IOu6wMiUqBzXrN7STFvG9=s88-c-k-c0x00ffffff-no-rj</v>
      </c>
      <c r="AL212" s="80">
        <v>862</v>
      </c>
      <c r="AM212" s="80">
        <v>0</v>
      </c>
      <c r="AN212" s="80">
        <v>25</v>
      </c>
      <c r="AO212" s="80" t="b">
        <v>0</v>
      </c>
      <c r="AP212" s="80">
        <v>8</v>
      </c>
      <c r="AQ212" s="80"/>
      <c r="AR212" s="80"/>
      <c r="AS212" s="80" t="s">
        <v>2664</v>
      </c>
      <c r="AT212" s="85" t="str">
        <f>HYPERLINK("https://www.youtube.com/channel/UCNtS0FKXhokuCLCIRHUhpuQ")</f>
        <v>https://www.youtube.com/channel/UCNtS0FKXhokuCLCIRHUhpuQ</v>
      </c>
      <c r="AU212" s="80" t="str">
        <f>REPLACE(INDEX(GroupVertices[Group],MATCH(Vertices[[#This Row],[Vertex]],GroupVertices[Vertex],0)),1,1,"")</f>
        <v>4</v>
      </c>
      <c r="AV212" s="49">
        <v>0</v>
      </c>
      <c r="AW212" s="50">
        <v>0</v>
      </c>
      <c r="AX212" s="49">
        <v>0</v>
      </c>
      <c r="AY212" s="50">
        <v>0</v>
      </c>
      <c r="AZ212" s="49">
        <v>0</v>
      </c>
      <c r="BA212" s="50">
        <v>0</v>
      </c>
      <c r="BB212" s="49">
        <v>1</v>
      </c>
      <c r="BC212" s="50">
        <v>100</v>
      </c>
      <c r="BD212" s="49">
        <v>1</v>
      </c>
      <c r="BE212" s="49"/>
      <c r="BF212" s="49"/>
      <c r="BG212" s="49"/>
      <c r="BH212" s="49"/>
      <c r="BI212" s="49"/>
      <c r="BJ212" s="49"/>
      <c r="BK212" s="111" t="s">
        <v>3827</v>
      </c>
      <c r="BL212" s="111" t="s">
        <v>3827</v>
      </c>
      <c r="BM212" s="111" t="s">
        <v>2390</v>
      </c>
      <c r="BN212" s="111" t="s">
        <v>2390</v>
      </c>
      <c r="BO212" s="2"/>
      <c r="BP212" s="3"/>
      <c r="BQ212" s="3"/>
      <c r="BR212" s="3"/>
      <c r="BS212" s="3"/>
    </row>
    <row r="213" spans="1:71" ht="15">
      <c r="A213" s="65" t="s">
        <v>417</v>
      </c>
      <c r="B213" s="66"/>
      <c r="C213" s="66"/>
      <c r="D213" s="67">
        <v>150</v>
      </c>
      <c r="E213" s="69"/>
      <c r="F213" s="103" t="str">
        <f>HYPERLINK("https://yt3.ggpht.com/ytc/AAUvwnh1Lf8Ih9IIL8VE_LCbsCATVnXSpIMUIZ2tQ8QlTQ=s88-c-k-c0x00ffffff-no-rj")</f>
        <v>https://yt3.ggpht.com/ytc/AAUvwnh1Lf8Ih9IIL8VE_LCbsCATVnXSpIMUIZ2tQ8QlTQ=s88-c-k-c0x00ffffff-no-rj</v>
      </c>
      <c r="G213" s="66"/>
      <c r="H213" s="70" t="s">
        <v>1776</v>
      </c>
      <c r="I213" s="71"/>
      <c r="J213" s="71" t="s">
        <v>159</v>
      </c>
      <c r="K213" s="70" t="s">
        <v>1776</v>
      </c>
      <c r="L213" s="74">
        <v>1</v>
      </c>
      <c r="M213" s="75">
        <v>8453.1904296875</v>
      </c>
      <c r="N213" s="75">
        <v>7430.77294921875</v>
      </c>
      <c r="O213" s="76"/>
      <c r="P213" s="77"/>
      <c r="Q213" s="77"/>
      <c r="R213" s="89"/>
      <c r="S213" s="49">
        <v>0</v>
      </c>
      <c r="T213" s="49">
        <v>1</v>
      </c>
      <c r="U213" s="50">
        <v>0</v>
      </c>
      <c r="V213" s="50">
        <v>0.000859</v>
      </c>
      <c r="W213" s="50">
        <v>0</v>
      </c>
      <c r="X213" s="50">
        <v>0.50924</v>
      </c>
      <c r="Y213" s="50">
        <v>0</v>
      </c>
      <c r="Z213" s="50">
        <v>0</v>
      </c>
      <c r="AA213" s="72">
        <v>213</v>
      </c>
      <c r="AB213" s="72"/>
      <c r="AC213" s="73"/>
      <c r="AD213" s="80" t="s">
        <v>1776</v>
      </c>
      <c r="AE213" s="80" t="s">
        <v>2490</v>
      </c>
      <c r="AF213" s="80"/>
      <c r="AG213" s="80"/>
      <c r="AH213" s="80"/>
      <c r="AI213" s="80"/>
      <c r="AJ213" s="87">
        <v>43451.96858796296</v>
      </c>
      <c r="AK213" s="85" t="str">
        <f>HYPERLINK("https://yt3.ggpht.com/ytc/AAUvwnh1Lf8Ih9IIL8VE_LCbsCATVnXSpIMUIZ2tQ8QlTQ=s88-c-k-c0x00ffffff-no-rj")</f>
        <v>https://yt3.ggpht.com/ytc/AAUvwnh1Lf8Ih9IIL8VE_LCbsCATVnXSpIMUIZ2tQ8QlTQ=s88-c-k-c0x00ffffff-no-rj</v>
      </c>
      <c r="AL213" s="80">
        <v>5897</v>
      </c>
      <c r="AM213" s="80">
        <v>0</v>
      </c>
      <c r="AN213" s="80">
        <v>53</v>
      </c>
      <c r="AO213" s="80" t="b">
        <v>0</v>
      </c>
      <c r="AP213" s="80">
        <v>73</v>
      </c>
      <c r="AQ213" s="80"/>
      <c r="AR213" s="80"/>
      <c r="AS213" s="80" t="s">
        <v>2664</v>
      </c>
      <c r="AT213" s="85" t="str">
        <f>HYPERLINK("https://www.youtube.com/channel/UCKV1NkUh1xjX8Nm3j5nP-rQ")</f>
        <v>https://www.youtube.com/channel/UCKV1NkUh1xjX8Nm3j5nP-rQ</v>
      </c>
      <c r="AU213" s="80" t="str">
        <f>REPLACE(INDEX(GroupVertices[Group],MATCH(Vertices[[#This Row],[Vertex]],GroupVertices[Vertex],0)),1,1,"")</f>
        <v>4</v>
      </c>
      <c r="AV213" s="49">
        <v>0</v>
      </c>
      <c r="AW213" s="50">
        <v>0</v>
      </c>
      <c r="AX213" s="49">
        <v>0</v>
      </c>
      <c r="AY213" s="50">
        <v>0</v>
      </c>
      <c r="AZ213" s="49">
        <v>0</v>
      </c>
      <c r="BA213" s="50">
        <v>0</v>
      </c>
      <c r="BB213" s="49">
        <v>11</v>
      </c>
      <c r="BC213" s="50">
        <v>100</v>
      </c>
      <c r="BD213" s="49">
        <v>11</v>
      </c>
      <c r="BE213" s="49" t="s">
        <v>3448</v>
      </c>
      <c r="BF213" s="49" t="s">
        <v>3448</v>
      </c>
      <c r="BG213" s="49" t="s">
        <v>3488</v>
      </c>
      <c r="BH213" s="49" t="s">
        <v>3488</v>
      </c>
      <c r="BI213" s="49"/>
      <c r="BJ213" s="49"/>
      <c r="BK213" s="111" t="s">
        <v>3305</v>
      </c>
      <c r="BL213" s="111" t="s">
        <v>3305</v>
      </c>
      <c r="BM213" s="111" t="s">
        <v>4292</v>
      </c>
      <c r="BN213" s="111" t="s">
        <v>4292</v>
      </c>
      <c r="BO213" s="2"/>
      <c r="BP213" s="3"/>
      <c r="BQ213" s="3"/>
      <c r="BR213" s="3"/>
      <c r="BS213" s="3"/>
    </row>
    <row r="214" spans="1:71" ht="15">
      <c r="A214" s="65" t="s">
        <v>418</v>
      </c>
      <c r="B214" s="66"/>
      <c r="C214" s="66"/>
      <c r="D214" s="67">
        <v>150</v>
      </c>
      <c r="E214" s="69"/>
      <c r="F214" s="103" t="str">
        <f>HYPERLINK("https://yt3.ggpht.com/ytc/AAUvwniTW1M62Fbg9jW_gQQDMGfmWAGuLqrmMd24Zin3Gw=s88-c-k-c0x00ffffff-no-rj")</f>
        <v>https://yt3.ggpht.com/ytc/AAUvwniTW1M62Fbg9jW_gQQDMGfmWAGuLqrmMd24Zin3Gw=s88-c-k-c0x00ffffff-no-rj</v>
      </c>
      <c r="G214" s="66"/>
      <c r="H214" s="70" t="s">
        <v>1777</v>
      </c>
      <c r="I214" s="71"/>
      <c r="J214" s="71" t="s">
        <v>159</v>
      </c>
      <c r="K214" s="70" t="s">
        <v>1777</v>
      </c>
      <c r="L214" s="74">
        <v>1</v>
      </c>
      <c r="M214" s="75">
        <v>8419.3525390625</v>
      </c>
      <c r="N214" s="75">
        <v>9854.505859375</v>
      </c>
      <c r="O214" s="76"/>
      <c r="P214" s="77"/>
      <c r="Q214" s="77"/>
      <c r="R214" s="89"/>
      <c r="S214" s="49">
        <v>0</v>
      </c>
      <c r="T214" s="49">
        <v>1</v>
      </c>
      <c r="U214" s="50">
        <v>0</v>
      </c>
      <c r="V214" s="50">
        <v>0.000701</v>
      </c>
      <c r="W214" s="50">
        <v>0</v>
      </c>
      <c r="X214" s="50">
        <v>0.573662</v>
      </c>
      <c r="Y214" s="50">
        <v>0</v>
      </c>
      <c r="Z214" s="50">
        <v>0</v>
      </c>
      <c r="AA214" s="72">
        <v>214</v>
      </c>
      <c r="AB214" s="72"/>
      <c r="AC214" s="73"/>
      <c r="AD214" s="80" t="s">
        <v>1777</v>
      </c>
      <c r="AE214" s="80" t="s">
        <v>2491</v>
      </c>
      <c r="AF214" s="80"/>
      <c r="AG214" s="80"/>
      <c r="AH214" s="80"/>
      <c r="AI214" s="80"/>
      <c r="AJ214" s="87">
        <v>43335.720821759256</v>
      </c>
      <c r="AK214" s="85" t="str">
        <f>HYPERLINK("https://yt3.ggpht.com/ytc/AAUvwniTW1M62Fbg9jW_gQQDMGfmWAGuLqrmMd24Zin3Gw=s88-c-k-c0x00ffffff-no-rj")</f>
        <v>https://yt3.ggpht.com/ytc/AAUvwniTW1M62Fbg9jW_gQQDMGfmWAGuLqrmMd24Zin3Gw=s88-c-k-c0x00ffffff-no-rj</v>
      </c>
      <c r="AL214" s="80">
        <v>0</v>
      </c>
      <c r="AM214" s="80">
        <v>0</v>
      </c>
      <c r="AN214" s="80">
        <v>12</v>
      </c>
      <c r="AO214" s="80" t="b">
        <v>0</v>
      </c>
      <c r="AP214" s="80">
        <v>0</v>
      </c>
      <c r="AQ214" s="80"/>
      <c r="AR214" s="80"/>
      <c r="AS214" s="80" t="s">
        <v>2664</v>
      </c>
      <c r="AT214" s="85" t="str">
        <f>HYPERLINK("https://www.youtube.com/channel/UC3OdxrcUKm7hxEjt_05vNAg")</f>
        <v>https://www.youtube.com/channel/UC3OdxrcUKm7hxEjt_05vNAg</v>
      </c>
      <c r="AU214" s="80" t="str">
        <f>REPLACE(INDEX(GroupVertices[Group],MATCH(Vertices[[#This Row],[Vertex]],GroupVertices[Vertex],0)),1,1,"")</f>
        <v>4</v>
      </c>
      <c r="AV214" s="49">
        <v>1</v>
      </c>
      <c r="AW214" s="50">
        <v>16.666666666666668</v>
      </c>
      <c r="AX214" s="49">
        <v>0</v>
      </c>
      <c r="AY214" s="50">
        <v>0</v>
      </c>
      <c r="AZ214" s="49">
        <v>0</v>
      </c>
      <c r="BA214" s="50">
        <v>0</v>
      </c>
      <c r="BB214" s="49">
        <v>5</v>
      </c>
      <c r="BC214" s="50">
        <v>83.33333333333333</v>
      </c>
      <c r="BD214" s="49">
        <v>6</v>
      </c>
      <c r="BE214" s="49"/>
      <c r="BF214" s="49"/>
      <c r="BG214" s="49"/>
      <c r="BH214" s="49"/>
      <c r="BI214" s="49"/>
      <c r="BJ214" s="49"/>
      <c r="BK214" s="111" t="s">
        <v>3828</v>
      </c>
      <c r="BL214" s="111" t="s">
        <v>3828</v>
      </c>
      <c r="BM214" s="111" t="s">
        <v>4293</v>
      </c>
      <c r="BN214" s="111" t="s">
        <v>4293</v>
      </c>
      <c r="BO214" s="2"/>
      <c r="BP214" s="3"/>
      <c r="BQ214" s="3"/>
      <c r="BR214" s="3"/>
      <c r="BS214" s="3"/>
    </row>
    <row r="215" spans="1:71" ht="15">
      <c r="A215" s="65" t="s">
        <v>419</v>
      </c>
      <c r="B215" s="66"/>
      <c r="C215" s="66"/>
      <c r="D215" s="67">
        <v>291.66666666666663</v>
      </c>
      <c r="E215" s="69"/>
      <c r="F215" s="103" t="str">
        <f>HYPERLINK("https://yt3.ggpht.com/jl_xe4FTLRCVxYYU4jBVaJS5QriH_GbYc-4teA3tLKaxlDIdnjgDWgpduqmtc358nlFIofbGzA=s88-c-k-c0x00ffffff-no-rj")</f>
        <v>https://yt3.ggpht.com/jl_xe4FTLRCVxYYU4jBVaJS5QriH_GbYc-4teA3tLKaxlDIdnjgDWgpduqmtc358nlFIofbGzA=s88-c-k-c0x00ffffff-no-rj</v>
      </c>
      <c r="G215" s="66"/>
      <c r="H215" s="70" t="s">
        <v>1778</v>
      </c>
      <c r="I215" s="71"/>
      <c r="J215" s="71" t="s">
        <v>159</v>
      </c>
      <c r="K215" s="70" t="s">
        <v>1778</v>
      </c>
      <c r="L215" s="74">
        <v>96.21904761904761</v>
      </c>
      <c r="M215" s="75">
        <v>8251.115234375</v>
      </c>
      <c r="N215" s="75">
        <v>9062.7939453125</v>
      </c>
      <c r="O215" s="76"/>
      <c r="P215" s="77"/>
      <c r="Q215" s="77"/>
      <c r="R215" s="89"/>
      <c r="S215" s="49">
        <v>1</v>
      </c>
      <c r="T215" s="49">
        <v>1</v>
      </c>
      <c r="U215" s="50">
        <v>530</v>
      </c>
      <c r="V215" s="50">
        <v>0.000861</v>
      </c>
      <c r="W215" s="50">
        <v>0</v>
      </c>
      <c r="X215" s="50">
        <v>0.996853</v>
      </c>
      <c r="Y215" s="50">
        <v>0</v>
      </c>
      <c r="Z215" s="50">
        <v>0</v>
      </c>
      <c r="AA215" s="72">
        <v>215</v>
      </c>
      <c r="AB215" s="72"/>
      <c r="AC215" s="73"/>
      <c r="AD215" s="80" t="s">
        <v>1778</v>
      </c>
      <c r="AE215" s="80" t="s">
        <v>2492</v>
      </c>
      <c r="AF215" s="80"/>
      <c r="AG215" s="80"/>
      <c r="AH215" s="80"/>
      <c r="AI215" s="80"/>
      <c r="AJ215" s="87">
        <v>43115.676828703705</v>
      </c>
      <c r="AK215" s="85" t="str">
        <f>HYPERLINK("https://yt3.ggpht.com/jl_xe4FTLRCVxYYU4jBVaJS5QriH_GbYc-4teA3tLKaxlDIdnjgDWgpduqmtc358nlFIofbGzA=s88-c-k-c0x00ffffff-no-rj")</f>
        <v>https://yt3.ggpht.com/jl_xe4FTLRCVxYYU4jBVaJS5QriH_GbYc-4teA3tLKaxlDIdnjgDWgpduqmtc358nlFIofbGzA=s88-c-k-c0x00ffffff-no-rj</v>
      </c>
      <c r="AL215" s="80">
        <v>138026</v>
      </c>
      <c r="AM215" s="80">
        <v>0</v>
      </c>
      <c r="AN215" s="80">
        <v>760</v>
      </c>
      <c r="AO215" s="80" t="b">
        <v>0</v>
      </c>
      <c r="AP215" s="80">
        <v>32</v>
      </c>
      <c r="AQ215" s="80"/>
      <c r="AR215" s="80"/>
      <c r="AS215" s="80" t="s">
        <v>2664</v>
      </c>
      <c r="AT215" s="85" t="str">
        <f>HYPERLINK("https://www.youtube.com/channel/UCYPdADqT4AVkx1fZS9sIbpQ")</f>
        <v>https://www.youtube.com/channel/UCYPdADqT4AVkx1fZS9sIbpQ</v>
      </c>
      <c r="AU215" s="80" t="str">
        <f>REPLACE(INDEX(GroupVertices[Group],MATCH(Vertices[[#This Row],[Vertex]],GroupVertices[Vertex],0)),1,1,"")</f>
        <v>4</v>
      </c>
      <c r="AV215" s="49">
        <v>0</v>
      </c>
      <c r="AW215" s="50">
        <v>0</v>
      </c>
      <c r="AX215" s="49">
        <v>0</v>
      </c>
      <c r="AY215" s="50">
        <v>0</v>
      </c>
      <c r="AZ215" s="49">
        <v>0</v>
      </c>
      <c r="BA215" s="50">
        <v>0</v>
      </c>
      <c r="BB215" s="49">
        <v>9</v>
      </c>
      <c r="BC215" s="50">
        <v>100</v>
      </c>
      <c r="BD215" s="49">
        <v>9</v>
      </c>
      <c r="BE215" s="49"/>
      <c r="BF215" s="49"/>
      <c r="BG215" s="49"/>
      <c r="BH215" s="49"/>
      <c r="BI215" s="49"/>
      <c r="BJ215" s="49"/>
      <c r="BK215" s="111" t="s">
        <v>3829</v>
      </c>
      <c r="BL215" s="111" t="s">
        <v>3829</v>
      </c>
      <c r="BM215" s="111" t="s">
        <v>4294</v>
      </c>
      <c r="BN215" s="111" t="s">
        <v>4294</v>
      </c>
      <c r="BO215" s="2"/>
      <c r="BP215" s="3"/>
      <c r="BQ215" s="3"/>
      <c r="BR215" s="3"/>
      <c r="BS215" s="3"/>
    </row>
    <row r="216" spans="1:71" ht="15">
      <c r="A216" s="65" t="s">
        <v>420</v>
      </c>
      <c r="B216" s="66"/>
      <c r="C216" s="66"/>
      <c r="D216" s="67">
        <v>150</v>
      </c>
      <c r="E216" s="69"/>
      <c r="F216" s="103" t="str">
        <f>HYPERLINK("https://yt3.ggpht.com/RpKCv4Di32fP7sCsIVDBzOz-X6gBvSwn7bPmtOHAKsFkpBn_dW0It4o8NTOMw0mj9QF9clki9A=s88-c-k-c0x00ffffff-no-rj")</f>
        <v>https://yt3.ggpht.com/RpKCv4Di32fP7sCsIVDBzOz-X6gBvSwn7bPmtOHAKsFkpBn_dW0It4o8NTOMw0mj9QF9clki9A=s88-c-k-c0x00ffffff-no-rj</v>
      </c>
      <c r="G216" s="66"/>
      <c r="H216" s="70" t="s">
        <v>1779</v>
      </c>
      <c r="I216" s="71"/>
      <c r="J216" s="71" t="s">
        <v>159</v>
      </c>
      <c r="K216" s="70" t="s">
        <v>1779</v>
      </c>
      <c r="L216" s="74">
        <v>1</v>
      </c>
      <c r="M216" s="75">
        <v>8367.533203125</v>
      </c>
      <c r="N216" s="75">
        <v>7220.49951171875</v>
      </c>
      <c r="O216" s="76"/>
      <c r="P216" s="77"/>
      <c r="Q216" s="77"/>
      <c r="R216" s="89"/>
      <c r="S216" s="49">
        <v>0</v>
      </c>
      <c r="T216" s="49">
        <v>1</v>
      </c>
      <c r="U216" s="50">
        <v>0</v>
      </c>
      <c r="V216" s="50">
        <v>0.000859</v>
      </c>
      <c r="W216" s="50">
        <v>0</v>
      </c>
      <c r="X216" s="50">
        <v>0.50924</v>
      </c>
      <c r="Y216" s="50">
        <v>0</v>
      </c>
      <c r="Z216" s="50">
        <v>0</v>
      </c>
      <c r="AA216" s="72">
        <v>216</v>
      </c>
      <c r="AB216" s="72"/>
      <c r="AC216" s="73"/>
      <c r="AD216" s="80" t="s">
        <v>1779</v>
      </c>
      <c r="AE216" s="80" t="s">
        <v>2493</v>
      </c>
      <c r="AF216" s="80"/>
      <c r="AG216" s="80"/>
      <c r="AH216" s="80"/>
      <c r="AI216" s="80"/>
      <c r="AJ216" s="87">
        <v>44150.53570601852</v>
      </c>
      <c r="AK216" s="85" t="str">
        <f>HYPERLINK("https://yt3.ggpht.com/RpKCv4Di32fP7sCsIVDBzOz-X6gBvSwn7bPmtOHAKsFkpBn_dW0It4o8NTOMw0mj9QF9clki9A=s88-c-k-c0x00ffffff-no-rj")</f>
        <v>https://yt3.ggpht.com/RpKCv4Di32fP7sCsIVDBzOz-X6gBvSwn7bPmtOHAKsFkpBn_dW0It4o8NTOMw0mj9QF9clki9A=s88-c-k-c0x00ffffff-no-rj</v>
      </c>
      <c r="AL216" s="80">
        <v>0</v>
      </c>
      <c r="AM216" s="80">
        <v>0</v>
      </c>
      <c r="AN216" s="80">
        <v>2</v>
      </c>
      <c r="AO216" s="80" t="b">
        <v>0</v>
      </c>
      <c r="AP216" s="80">
        <v>0</v>
      </c>
      <c r="AQ216" s="80"/>
      <c r="AR216" s="80"/>
      <c r="AS216" s="80" t="s">
        <v>2664</v>
      </c>
      <c r="AT216" s="85" t="str">
        <f>HYPERLINK("https://www.youtube.com/channel/UC_gk4RP_wHVZdqkFrZ8SMZQ")</f>
        <v>https://www.youtube.com/channel/UC_gk4RP_wHVZdqkFrZ8SMZQ</v>
      </c>
      <c r="AU216" s="80" t="str">
        <f>REPLACE(INDEX(GroupVertices[Group],MATCH(Vertices[[#This Row],[Vertex]],GroupVertices[Vertex],0)),1,1,"")</f>
        <v>4</v>
      </c>
      <c r="AV216" s="49">
        <v>1</v>
      </c>
      <c r="AW216" s="50">
        <v>10</v>
      </c>
      <c r="AX216" s="49">
        <v>1</v>
      </c>
      <c r="AY216" s="50">
        <v>10</v>
      </c>
      <c r="AZ216" s="49">
        <v>0</v>
      </c>
      <c r="BA216" s="50">
        <v>0</v>
      </c>
      <c r="BB216" s="49">
        <v>8</v>
      </c>
      <c r="BC216" s="50">
        <v>80</v>
      </c>
      <c r="BD216" s="49">
        <v>10</v>
      </c>
      <c r="BE216" s="49"/>
      <c r="BF216" s="49"/>
      <c r="BG216" s="49"/>
      <c r="BH216" s="49"/>
      <c r="BI216" s="49"/>
      <c r="BJ216" s="49"/>
      <c r="BK216" s="111" t="s">
        <v>3830</v>
      </c>
      <c r="BL216" s="111" t="s">
        <v>3830</v>
      </c>
      <c r="BM216" s="111" t="s">
        <v>4295</v>
      </c>
      <c r="BN216" s="111" t="s">
        <v>4295</v>
      </c>
      <c r="BO216" s="2"/>
      <c r="BP216" s="3"/>
      <c r="BQ216" s="3"/>
      <c r="BR216" s="3"/>
      <c r="BS216" s="3"/>
    </row>
    <row r="217" spans="1:71" ht="15">
      <c r="A217" s="65" t="s">
        <v>421</v>
      </c>
      <c r="B217" s="66"/>
      <c r="C217" s="66"/>
      <c r="D217" s="67">
        <v>150</v>
      </c>
      <c r="E217" s="69"/>
      <c r="F217" s="103" t="str">
        <f>HYPERLINK("https://yt3.ggpht.com/ytc/AAUvwnjSQWJQfvZ0RNG_wIqqtaNMQkR5RjCfsXAk5Q=s88-c-k-c0x00ffffff-no-rj")</f>
        <v>https://yt3.ggpht.com/ytc/AAUvwnjSQWJQfvZ0RNG_wIqqtaNMQkR5RjCfsXAk5Q=s88-c-k-c0x00ffffff-no-rj</v>
      </c>
      <c r="G217" s="66"/>
      <c r="H217" s="70" t="s">
        <v>1780</v>
      </c>
      <c r="I217" s="71"/>
      <c r="J217" s="71" t="s">
        <v>159</v>
      </c>
      <c r="K217" s="70" t="s">
        <v>1780</v>
      </c>
      <c r="L217" s="74">
        <v>1</v>
      </c>
      <c r="M217" s="75">
        <v>7739.2783203125</v>
      </c>
      <c r="N217" s="75">
        <v>7969.46337890625</v>
      </c>
      <c r="O217" s="76"/>
      <c r="P217" s="77"/>
      <c r="Q217" s="77"/>
      <c r="R217" s="89"/>
      <c r="S217" s="49">
        <v>0</v>
      </c>
      <c r="T217" s="49">
        <v>1</v>
      </c>
      <c r="U217" s="50">
        <v>0</v>
      </c>
      <c r="V217" s="50">
        <v>0.000859</v>
      </c>
      <c r="W217" s="50">
        <v>0</v>
      </c>
      <c r="X217" s="50">
        <v>0.50924</v>
      </c>
      <c r="Y217" s="50">
        <v>0</v>
      </c>
      <c r="Z217" s="50">
        <v>0</v>
      </c>
      <c r="AA217" s="72">
        <v>217</v>
      </c>
      <c r="AB217" s="72"/>
      <c r="AC217" s="73"/>
      <c r="AD217" s="80" t="s">
        <v>1780</v>
      </c>
      <c r="AE217" s="80"/>
      <c r="AF217" s="80"/>
      <c r="AG217" s="80"/>
      <c r="AH217" s="80"/>
      <c r="AI217" s="80"/>
      <c r="AJ217" s="87">
        <v>44276.32548611111</v>
      </c>
      <c r="AK217" s="85" t="str">
        <f>HYPERLINK("https://yt3.ggpht.com/ytc/AAUvwnjSQWJQfvZ0RNG_wIqqtaNMQkR5RjCfsXAk5Q=s88-c-k-c0x00ffffff-no-rj")</f>
        <v>https://yt3.ggpht.com/ytc/AAUvwnjSQWJQfvZ0RNG_wIqqtaNMQkR5RjCfsXAk5Q=s88-c-k-c0x00ffffff-no-rj</v>
      </c>
      <c r="AL217" s="80">
        <v>0</v>
      </c>
      <c r="AM217" s="80">
        <v>0</v>
      </c>
      <c r="AN217" s="80">
        <v>0</v>
      </c>
      <c r="AO217" s="80" t="b">
        <v>0</v>
      </c>
      <c r="AP217" s="80">
        <v>0</v>
      </c>
      <c r="AQ217" s="80"/>
      <c r="AR217" s="80"/>
      <c r="AS217" s="80" t="s">
        <v>2664</v>
      </c>
      <c r="AT217" s="85" t="str">
        <f>HYPERLINK("https://www.youtube.com/channel/UCL83fivuM6bm_DNu_caNzcA")</f>
        <v>https://www.youtube.com/channel/UCL83fivuM6bm_DNu_caNzcA</v>
      </c>
      <c r="AU217" s="80" t="str">
        <f>REPLACE(INDEX(GroupVertices[Group],MATCH(Vertices[[#This Row],[Vertex]],GroupVertices[Vertex],0)),1,1,"")</f>
        <v>4</v>
      </c>
      <c r="AV217" s="49">
        <v>0</v>
      </c>
      <c r="AW217" s="50">
        <v>0</v>
      </c>
      <c r="AX217" s="49">
        <v>0</v>
      </c>
      <c r="AY217" s="50">
        <v>0</v>
      </c>
      <c r="AZ217" s="49">
        <v>0</v>
      </c>
      <c r="BA217" s="50">
        <v>0</v>
      </c>
      <c r="BB217" s="49">
        <v>7</v>
      </c>
      <c r="BC217" s="50">
        <v>100</v>
      </c>
      <c r="BD217" s="49">
        <v>7</v>
      </c>
      <c r="BE217" s="49"/>
      <c r="BF217" s="49"/>
      <c r="BG217" s="49"/>
      <c r="BH217" s="49"/>
      <c r="BI217" s="49"/>
      <c r="BJ217" s="49"/>
      <c r="BK217" s="111" t="s">
        <v>3831</v>
      </c>
      <c r="BL217" s="111" t="s">
        <v>3831</v>
      </c>
      <c r="BM217" s="111" t="s">
        <v>4296</v>
      </c>
      <c r="BN217" s="111" t="s">
        <v>4296</v>
      </c>
      <c r="BO217" s="2"/>
      <c r="BP217" s="3"/>
      <c r="BQ217" s="3"/>
      <c r="BR217" s="3"/>
      <c r="BS217" s="3"/>
    </row>
    <row r="218" spans="1:71" ht="15">
      <c r="A218" s="65" t="s">
        <v>422</v>
      </c>
      <c r="B218" s="66"/>
      <c r="C218" s="66"/>
      <c r="D218" s="67">
        <v>150</v>
      </c>
      <c r="E218" s="69"/>
      <c r="F218" s="103" t="str">
        <f>HYPERLINK("https://yt3.ggpht.com/maY_dfWAv1Dmm4g4I5m8XCogbL-bgWPNiZDAmdfK_SJfdiDeSQ6KMr-Ji_-skDi9gXz72PGBWms=s88-c-k-c0x00ffffff-no-rj")</f>
        <v>https://yt3.ggpht.com/maY_dfWAv1Dmm4g4I5m8XCogbL-bgWPNiZDAmdfK_SJfdiDeSQ6KMr-Ji_-skDi9gXz72PGBWms=s88-c-k-c0x00ffffff-no-rj</v>
      </c>
      <c r="G218" s="66"/>
      <c r="H218" s="70" t="s">
        <v>1781</v>
      </c>
      <c r="I218" s="71"/>
      <c r="J218" s="71" t="s">
        <v>159</v>
      </c>
      <c r="K218" s="70" t="s">
        <v>1781</v>
      </c>
      <c r="L218" s="74">
        <v>1</v>
      </c>
      <c r="M218" s="75">
        <v>7730.5634765625</v>
      </c>
      <c r="N218" s="75">
        <v>7625.50146484375</v>
      </c>
      <c r="O218" s="76"/>
      <c r="P218" s="77"/>
      <c r="Q218" s="77"/>
      <c r="R218" s="89"/>
      <c r="S218" s="49">
        <v>0</v>
      </c>
      <c r="T218" s="49">
        <v>1</v>
      </c>
      <c r="U218" s="50">
        <v>0</v>
      </c>
      <c r="V218" s="50">
        <v>0.000859</v>
      </c>
      <c r="W218" s="50">
        <v>0</v>
      </c>
      <c r="X218" s="50">
        <v>0.50924</v>
      </c>
      <c r="Y218" s="50">
        <v>0</v>
      </c>
      <c r="Z218" s="50">
        <v>0</v>
      </c>
      <c r="AA218" s="72">
        <v>218</v>
      </c>
      <c r="AB218" s="72"/>
      <c r="AC218" s="73"/>
      <c r="AD218" s="80" t="s">
        <v>1781</v>
      </c>
      <c r="AE218" s="80" t="s">
        <v>2494</v>
      </c>
      <c r="AF218" s="80"/>
      <c r="AG218" s="80"/>
      <c r="AH218" s="80"/>
      <c r="AI218" s="80"/>
      <c r="AJ218" s="87">
        <v>42763.833958333336</v>
      </c>
      <c r="AK218" s="85" t="str">
        <f>HYPERLINK("https://yt3.ggpht.com/maY_dfWAv1Dmm4g4I5m8XCogbL-bgWPNiZDAmdfK_SJfdiDeSQ6KMr-Ji_-skDi9gXz72PGBWms=s88-c-k-c0x00ffffff-no-rj")</f>
        <v>https://yt3.ggpht.com/maY_dfWAv1Dmm4g4I5m8XCogbL-bgWPNiZDAmdfK_SJfdiDeSQ6KMr-Ji_-skDi9gXz72PGBWms=s88-c-k-c0x00ffffff-no-rj</v>
      </c>
      <c r="AL218" s="80">
        <v>3150</v>
      </c>
      <c r="AM218" s="80">
        <v>0</v>
      </c>
      <c r="AN218" s="80">
        <v>82</v>
      </c>
      <c r="AO218" s="80" t="b">
        <v>0</v>
      </c>
      <c r="AP218" s="80">
        <v>5</v>
      </c>
      <c r="AQ218" s="80"/>
      <c r="AR218" s="80"/>
      <c r="AS218" s="80" t="s">
        <v>2664</v>
      </c>
      <c r="AT218" s="85" t="str">
        <f>HYPERLINK("https://www.youtube.com/channel/UCs6LqhJ9r0BHGS04Bv85x-Q")</f>
        <v>https://www.youtube.com/channel/UCs6LqhJ9r0BHGS04Bv85x-Q</v>
      </c>
      <c r="AU218" s="80" t="str">
        <f>REPLACE(INDEX(GroupVertices[Group],MATCH(Vertices[[#This Row],[Vertex]],GroupVertices[Vertex],0)),1,1,"")</f>
        <v>4</v>
      </c>
      <c r="AV218" s="49">
        <v>0</v>
      </c>
      <c r="AW218" s="50">
        <v>0</v>
      </c>
      <c r="AX218" s="49">
        <v>0</v>
      </c>
      <c r="AY218" s="50">
        <v>0</v>
      </c>
      <c r="AZ218" s="49">
        <v>0</v>
      </c>
      <c r="BA218" s="50">
        <v>0</v>
      </c>
      <c r="BB218" s="49">
        <v>9</v>
      </c>
      <c r="BC218" s="50">
        <v>100</v>
      </c>
      <c r="BD218" s="49">
        <v>9</v>
      </c>
      <c r="BE218" s="49"/>
      <c r="BF218" s="49"/>
      <c r="BG218" s="49"/>
      <c r="BH218" s="49"/>
      <c r="BI218" s="49"/>
      <c r="BJ218" s="49"/>
      <c r="BK218" s="111" t="s">
        <v>3817</v>
      </c>
      <c r="BL218" s="111" t="s">
        <v>3817</v>
      </c>
      <c r="BM218" s="111" t="s">
        <v>3557</v>
      </c>
      <c r="BN218" s="111" t="s">
        <v>3557</v>
      </c>
      <c r="BO218" s="2"/>
      <c r="BP218" s="3"/>
      <c r="BQ218" s="3"/>
      <c r="BR218" s="3"/>
      <c r="BS218" s="3"/>
    </row>
    <row r="219" spans="1:71" ht="15">
      <c r="A219" s="65" t="s">
        <v>423</v>
      </c>
      <c r="B219" s="66"/>
      <c r="C219" s="66"/>
      <c r="D219" s="67">
        <v>150</v>
      </c>
      <c r="E219" s="69"/>
      <c r="F219" s="103" t="str">
        <f>HYPERLINK("https://yt3.ggpht.com/ytc/AAUvwnibVX3Mwx-ky2VtsIX1zH1IYe6NH4wtA8ywij9P=s88-c-k-c0x00ffffff-no-rj")</f>
        <v>https://yt3.ggpht.com/ytc/AAUvwnibVX3Mwx-ky2VtsIX1zH1IYe6NH4wtA8ywij9P=s88-c-k-c0x00ffffff-no-rj</v>
      </c>
      <c r="G219" s="66"/>
      <c r="H219" s="70" t="s">
        <v>1782</v>
      </c>
      <c r="I219" s="71"/>
      <c r="J219" s="71" t="s">
        <v>159</v>
      </c>
      <c r="K219" s="70" t="s">
        <v>1782</v>
      </c>
      <c r="L219" s="74">
        <v>1</v>
      </c>
      <c r="M219" s="75">
        <v>8225.0927734375</v>
      </c>
      <c r="N219" s="75">
        <v>7226.13720703125</v>
      </c>
      <c r="O219" s="76"/>
      <c r="P219" s="77"/>
      <c r="Q219" s="77"/>
      <c r="R219" s="89"/>
      <c r="S219" s="49">
        <v>0</v>
      </c>
      <c r="T219" s="49">
        <v>1</v>
      </c>
      <c r="U219" s="50">
        <v>0</v>
      </c>
      <c r="V219" s="50">
        <v>0.000859</v>
      </c>
      <c r="W219" s="50">
        <v>0</v>
      </c>
      <c r="X219" s="50">
        <v>0.50924</v>
      </c>
      <c r="Y219" s="50">
        <v>0</v>
      </c>
      <c r="Z219" s="50">
        <v>0</v>
      </c>
      <c r="AA219" s="72">
        <v>219</v>
      </c>
      <c r="AB219" s="72"/>
      <c r="AC219" s="73"/>
      <c r="AD219" s="80" t="s">
        <v>1782</v>
      </c>
      <c r="AE219" s="80"/>
      <c r="AF219" s="80"/>
      <c r="AG219" s="80"/>
      <c r="AH219" s="80"/>
      <c r="AI219" s="80"/>
      <c r="AJ219" s="87">
        <v>41522.94293981481</v>
      </c>
      <c r="AK219" s="85" t="str">
        <f>HYPERLINK("https://yt3.ggpht.com/ytc/AAUvwnibVX3Mwx-ky2VtsIX1zH1IYe6NH4wtA8ywij9P=s88-c-k-c0x00ffffff-no-rj")</f>
        <v>https://yt3.ggpht.com/ytc/AAUvwnibVX3Mwx-ky2VtsIX1zH1IYe6NH4wtA8ywij9P=s88-c-k-c0x00ffffff-no-rj</v>
      </c>
      <c r="AL219" s="80">
        <v>0</v>
      </c>
      <c r="AM219" s="80">
        <v>0</v>
      </c>
      <c r="AN219" s="80">
        <v>12</v>
      </c>
      <c r="AO219" s="80" t="b">
        <v>0</v>
      </c>
      <c r="AP219" s="80">
        <v>0</v>
      </c>
      <c r="AQ219" s="80"/>
      <c r="AR219" s="80"/>
      <c r="AS219" s="80" t="s">
        <v>2664</v>
      </c>
      <c r="AT219" s="85" t="str">
        <f>HYPERLINK("https://www.youtube.com/channel/UCLNTQyP2KodLEA0QHEDSWnA")</f>
        <v>https://www.youtube.com/channel/UCLNTQyP2KodLEA0QHEDSWnA</v>
      </c>
      <c r="AU219" s="80" t="str">
        <f>REPLACE(INDEX(GroupVertices[Group],MATCH(Vertices[[#This Row],[Vertex]],GroupVertices[Vertex],0)),1,1,"")</f>
        <v>4</v>
      </c>
      <c r="AV219" s="49">
        <v>0</v>
      </c>
      <c r="AW219" s="50">
        <v>0</v>
      </c>
      <c r="AX219" s="49">
        <v>0</v>
      </c>
      <c r="AY219" s="50">
        <v>0</v>
      </c>
      <c r="AZ219" s="49">
        <v>0</v>
      </c>
      <c r="BA219" s="50">
        <v>0</v>
      </c>
      <c r="BB219" s="49">
        <v>11</v>
      </c>
      <c r="BC219" s="50">
        <v>100</v>
      </c>
      <c r="BD219" s="49">
        <v>11</v>
      </c>
      <c r="BE219" s="49"/>
      <c r="BF219" s="49"/>
      <c r="BG219" s="49"/>
      <c r="BH219" s="49"/>
      <c r="BI219" s="49"/>
      <c r="BJ219" s="49"/>
      <c r="BK219" s="111" t="s">
        <v>3832</v>
      </c>
      <c r="BL219" s="111" t="s">
        <v>3832</v>
      </c>
      <c r="BM219" s="111" t="s">
        <v>4297</v>
      </c>
      <c r="BN219" s="111" t="s">
        <v>4297</v>
      </c>
      <c r="BO219" s="2"/>
      <c r="BP219" s="3"/>
      <c r="BQ219" s="3"/>
      <c r="BR219" s="3"/>
      <c r="BS219" s="3"/>
    </row>
    <row r="220" spans="1:71" ht="15">
      <c r="A220" s="65" t="s">
        <v>424</v>
      </c>
      <c r="B220" s="66"/>
      <c r="C220" s="66"/>
      <c r="D220" s="67">
        <v>150</v>
      </c>
      <c r="E220" s="69"/>
      <c r="F220" s="103" t="str">
        <f>HYPERLINK("https://yt3.ggpht.com/ytc/AAUvwnh0JAOWX8qV9leX2UUWDpmS_oFB3n0ZDoqmgVTAMw=s88-c-k-c0x00ffffff-no-rj")</f>
        <v>https://yt3.ggpht.com/ytc/AAUvwnh0JAOWX8qV9leX2UUWDpmS_oFB3n0ZDoqmgVTAMw=s88-c-k-c0x00ffffff-no-rj</v>
      </c>
      <c r="G220" s="66"/>
      <c r="H220" s="70" t="s">
        <v>1783</v>
      </c>
      <c r="I220" s="71"/>
      <c r="J220" s="71" t="s">
        <v>159</v>
      </c>
      <c r="K220" s="70" t="s">
        <v>1783</v>
      </c>
      <c r="L220" s="74">
        <v>1</v>
      </c>
      <c r="M220" s="75">
        <v>7793.96337890625</v>
      </c>
      <c r="N220" s="75">
        <v>7448.47705078125</v>
      </c>
      <c r="O220" s="76"/>
      <c r="P220" s="77"/>
      <c r="Q220" s="77"/>
      <c r="R220" s="89"/>
      <c r="S220" s="49">
        <v>0</v>
      </c>
      <c r="T220" s="49">
        <v>1</v>
      </c>
      <c r="U220" s="50">
        <v>0</v>
      </c>
      <c r="V220" s="50">
        <v>0.000859</v>
      </c>
      <c r="W220" s="50">
        <v>0</v>
      </c>
      <c r="X220" s="50">
        <v>0.50924</v>
      </c>
      <c r="Y220" s="50">
        <v>0</v>
      </c>
      <c r="Z220" s="50">
        <v>0</v>
      </c>
      <c r="AA220" s="72">
        <v>220</v>
      </c>
      <c r="AB220" s="72"/>
      <c r="AC220" s="73"/>
      <c r="AD220" s="80" t="s">
        <v>1783</v>
      </c>
      <c r="AE220" s="80" t="s">
        <v>2495</v>
      </c>
      <c r="AF220" s="80"/>
      <c r="AG220" s="80"/>
      <c r="AH220" s="80"/>
      <c r="AI220" s="80"/>
      <c r="AJ220" s="87">
        <v>43038.99721064815</v>
      </c>
      <c r="AK220" s="85" t="str">
        <f>HYPERLINK("https://yt3.ggpht.com/ytc/AAUvwnh0JAOWX8qV9leX2UUWDpmS_oFB3n0ZDoqmgVTAMw=s88-c-k-c0x00ffffff-no-rj")</f>
        <v>https://yt3.ggpht.com/ytc/AAUvwnh0JAOWX8qV9leX2UUWDpmS_oFB3n0ZDoqmgVTAMw=s88-c-k-c0x00ffffff-no-rj</v>
      </c>
      <c r="AL220" s="80">
        <v>26</v>
      </c>
      <c r="AM220" s="80">
        <v>0</v>
      </c>
      <c r="AN220" s="80">
        <v>82</v>
      </c>
      <c r="AO220" s="80" t="b">
        <v>0</v>
      </c>
      <c r="AP220" s="80">
        <v>1</v>
      </c>
      <c r="AQ220" s="80"/>
      <c r="AR220" s="80"/>
      <c r="AS220" s="80" t="s">
        <v>2664</v>
      </c>
      <c r="AT220" s="85" t="str">
        <f>HYPERLINK("https://www.youtube.com/channel/UCaiwUmql4DEAqsN-FWUgoLQ")</f>
        <v>https://www.youtube.com/channel/UCaiwUmql4DEAqsN-FWUgoLQ</v>
      </c>
      <c r="AU220" s="80" t="str">
        <f>REPLACE(INDEX(GroupVertices[Group],MATCH(Vertices[[#This Row],[Vertex]],GroupVertices[Vertex],0)),1,1,"")</f>
        <v>4</v>
      </c>
      <c r="AV220" s="49">
        <v>0</v>
      </c>
      <c r="AW220" s="50">
        <v>0</v>
      </c>
      <c r="AX220" s="49">
        <v>0</v>
      </c>
      <c r="AY220" s="50">
        <v>0</v>
      </c>
      <c r="AZ220" s="49">
        <v>0</v>
      </c>
      <c r="BA220" s="50">
        <v>0</v>
      </c>
      <c r="BB220" s="49">
        <v>20</v>
      </c>
      <c r="BC220" s="50">
        <v>100</v>
      </c>
      <c r="BD220" s="49">
        <v>20</v>
      </c>
      <c r="BE220" s="49" t="s">
        <v>3450</v>
      </c>
      <c r="BF220" s="49" t="s">
        <v>3450</v>
      </c>
      <c r="BG220" s="49" t="s">
        <v>2379</v>
      </c>
      <c r="BH220" s="49" t="s">
        <v>2379</v>
      </c>
      <c r="BI220" s="49"/>
      <c r="BJ220" s="49"/>
      <c r="BK220" s="111" t="s">
        <v>3833</v>
      </c>
      <c r="BL220" s="111" t="s">
        <v>3833</v>
      </c>
      <c r="BM220" s="111" t="s">
        <v>4298</v>
      </c>
      <c r="BN220" s="111" t="s">
        <v>4298</v>
      </c>
      <c r="BO220" s="2"/>
      <c r="BP220" s="3"/>
      <c r="BQ220" s="3"/>
      <c r="BR220" s="3"/>
      <c r="BS220" s="3"/>
    </row>
    <row r="221" spans="1:71" ht="15">
      <c r="A221" s="65" t="s">
        <v>425</v>
      </c>
      <c r="B221" s="66"/>
      <c r="C221" s="66"/>
      <c r="D221" s="67">
        <v>150</v>
      </c>
      <c r="E221" s="69"/>
      <c r="F221" s="103" t="str">
        <f>HYPERLINK("https://yt3.ggpht.com/ytc/AAUvwnjoE4wVp1N7Ue1bZKV5M4GXzgnH8P8lwuvtv4yY=s88-c-k-c0x00ffffff-no-rj")</f>
        <v>https://yt3.ggpht.com/ytc/AAUvwnjoE4wVp1N7Ue1bZKV5M4GXzgnH8P8lwuvtv4yY=s88-c-k-c0x00ffffff-no-rj</v>
      </c>
      <c r="G221" s="66"/>
      <c r="H221" s="70" t="s">
        <v>1784</v>
      </c>
      <c r="I221" s="71"/>
      <c r="J221" s="71" t="s">
        <v>159</v>
      </c>
      <c r="K221" s="70" t="s">
        <v>1784</v>
      </c>
      <c r="L221" s="74">
        <v>1</v>
      </c>
      <c r="M221" s="75">
        <v>4484.2421875</v>
      </c>
      <c r="N221" s="75">
        <v>4881.96337890625</v>
      </c>
      <c r="O221" s="76"/>
      <c r="P221" s="77"/>
      <c r="Q221" s="77"/>
      <c r="R221" s="89"/>
      <c r="S221" s="49">
        <v>0</v>
      </c>
      <c r="T221" s="49">
        <v>1</v>
      </c>
      <c r="U221" s="50">
        <v>0</v>
      </c>
      <c r="V221" s="50">
        <v>0.011236</v>
      </c>
      <c r="W221" s="50">
        <v>0</v>
      </c>
      <c r="X221" s="50">
        <v>0.502584</v>
      </c>
      <c r="Y221" s="50">
        <v>0</v>
      </c>
      <c r="Z221" s="50">
        <v>0</v>
      </c>
      <c r="AA221" s="72">
        <v>221</v>
      </c>
      <c r="AB221" s="72"/>
      <c r="AC221" s="73"/>
      <c r="AD221" s="80" t="s">
        <v>1784</v>
      </c>
      <c r="AE221" s="80" t="s">
        <v>2496</v>
      </c>
      <c r="AF221" s="80"/>
      <c r="AG221" s="80"/>
      <c r="AH221" s="80"/>
      <c r="AI221" s="80"/>
      <c r="AJ221" s="87">
        <v>44305.83329861111</v>
      </c>
      <c r="AK221" s="85" t="str">
        <f>HYPERLINK("https://yt3.ggpht.com/ytc/AAUvwnjoE4wVp1N7Ue1bZKV5M4GXzgnH8P8lwuvtv4yY=s88-c-k-c0x00ffffff-no-rj")</f>
        <v>https://yt3.ggpht.com/ytc/AAUvwnjoE4wVp1N7Ue1bZKV5M4GXzgnH8P8lwuvtv4yY=s88-c-k-c0x00ffffff-no-rj</v>
      </c>
      <c r="AL221" s="80">
        <v>9</v>
      </c>
      <c r="AM221" s="80">
        <v>0</v>
      </c>
      <c r="AN221" s="80">
        <v>0</v>
      </c>
      <c r="AO221" s="80" t="b">
        <v>0</v>
      </c>
      <c r="AP221" s="80">
        <v>3</v>
      </c>
      <c r="AQ221" s="80"/>
      <c r="AR221" s="80"/>
      <c r="AS221" s="80" t="s">
        <v>2664</v>
      </c>
      <c r="AT221" s="85" t="str">
        <f>HYPERLINK("https://www.youtube.com/channel/UCmkfwnFpXrrsHSxXmdgmCLg")</f>
        <v>https://www.youtube.com/channel/UCmkfwnFpXrrsHSxXmdgmCLg</v>
      </c>
      <c r="AU221" s="80" t="str">
        <f>REPLACE(INDEX(GroupVertices[Group],MATCH(Vertices[[#This Row],[Vertex]],GroupVertices[Vertex],0)),1,1,"")</f>
        <v>5</v>
      </c>
      <c r="AV221" s="49">
        <v>2</v>
      </c>
      <c r="AW221" s="50">
        <v>3.3333333333333335</v>
      </c>
      <c r="AX221" s="49">
        <v>3</v>
      </c>
      <c r="AY221" s="50">
        <v>5</v>
      </c>
      <c r="AZ221" s="49">
        <v>0</v>
      </c>
      <c r="BA221" s="50">
        <v>0</v>
      </c>
      <c r="BB221" s="49">
        <v>55</v>
      </c>
      <c r="BC221" s="50">
        <v>91.66666666666667</v>
      </c>
      <c r="BD221" s="49">
        <v>60</v>
      </c>
      <c r="BE221" s="49"/>
      <c r="BF221" s="49"/>
      <c r="BG221" s="49"/>
      <c r="BH221" s="49"/>
      <c r="BI221" s="49"/>
      <c r="BJ221" s="49"/>
      <c r="BK221" s="111" t="s">
        <v>3834</v>
      </c>
      <c r="BL221" s="111" t="s">
        <v>3834</v>
      </c>
      <c r="BM221" s="111" t="s">
        <v>4299</v>
      </c>
      <c r="BN221" s="111" t="s">
        <v>4299</v>
      </c>
      <c r="BO221" s="2"/>
      <c r="BP221" s="3"/>
      <c r="BQ221" s="3"/>
      <c r="BR221" s="3"/>
      <c r="BS221" s="3"/>
    </row>
    <row r="222" spans="1:71" ht="15">
      <c r="A222" s="65" t="s">
        <v>841</v>
      </c>
      <c r="B222" s="66"/>
      <c r="C222" s="66"/>
      <c r="D222" s="67">
        <v>1000</v>
      </c>
      <c r="E222" s="69"/>
      <c r="F222" s="103" t="str">
        <f>HYPERLINK("https://yt3.ggpht.com/ytc/AAUvwnh1J3YmbofB6Ft63iBCJsPMhbnsTbCEVyG0BXKw0g=s88-c-k-c0x00ffffff-no-rj")</f>
        <v>https://yt3.ggpht.com/ytc/AAUvwnh1J3YmbofB6Ft63iBCJsPMhbnsTbCEVyG0BXKw0g=s88-c-k-c0x00ffffff-no-rj</v>
      </c>
      <c r="G222" s="66"/>
      <c r="H222" s="70" t="s">
        <v>2408</v>
      </c>
      <c r="I222" s="71"/>
      <c r="J222" s="71" t="s">
        <v>75</v>
      </c>
      <c r="K222" s="70" t="s">
        <v>2408</v>
      </c>
      <c r="L222" s="74">
        <v>3524.1047619047617</v>
      </c>
      <c r="M222" s="75">
        <v>4354.759765625</v>
      </c>
      <c r="N222" s="75">
        <v>4564.0048828125</v>
      </c>
      <c r="O222" s="76"/>
      <c r="P222" s="77"/>
      <c r="Q222" s="77"/>
      <c r="R222" s="89"/>
      <c r="S222" s="49">
        <v>37</v>
      </c>
      <c r="T222" s="49">
        <v>1</v>
      </c>
      <c r="U222" s="50">
        <v>1695</v>
      </c>
      <c r="V222" s="50">
        <v>0.020833</v>
      </c>
      <c r="W222" s="50">
        <v>0</v>
      </c>
      <c r="X222" s="50">
        <v>15.347766</v>
      </c>
      <c r="Y222" s="50">
        <v>0.0031746031746031746</v>
      </c>
      <c r="Z222" s="50">
        <v>0</v>
      </c>
      <c r="AA222" s="72">
        <v>222</v>
      </c>
      <c r="AB222" s="72"/>
      <c r="AC222" s="73"/>
      <c r="AD222" s="80" t="s">
        <v>2408</v>
      </c>
      <c r="AE222" s="80" t="s">
        <v>2497</v>
      </c>
      <c r="AF222" s="80"/>
      <c r="AG222" s="80"/>
      <c r="AH222" s="80"/>
      <c r="AI222" s="80" t="s">
        <v>2636</v>
      </c>
      <c r="AJ222" s="87">
        <v>38650.63481481482</v>
      </c>
      <c r="AK222" s="85" t="str">
        <f>HYPERLINK("https://yt3.ggpht.com/ytc/AAUvwnh1J3YmbofB6Ft63iBCJsPMhbnsTbCEVyG0BXKw0g=s88-c-k-c0x00ffffff-no-rj")</f>
        <v>https://yt3.ggpht.com/ytc/AAUvwnh1J3YmbofB6Ft63iBCJsPMhbnsTbCEVyG0BXKw0g=s88-c-k-c0x00ffffff-no-rj</v>
      </c>
      <c r="AL222" s="80">
        <v>66599768</v>
      </c>
      <c r="AM222" s="80">
        <v>0</v>
      </c>
      <c r="AN222" s="80">
        <v>706000</v>
      </c>
      <c r="AO222" s="80" t="b">
        <v>0</v>
      </c>
      <c r="AP222" s="80">
        <v>2171</v>
      </c>
      <c r="AQ222" s="80"/>
      <c r="AR222" s="80"/>
      <c r="AS222" s="80" t="s">
        <v>2664</v>
      </c>
      <c r="AT222" s="85" t="str">
        <f>HYPERLINK("https://www.youtube.com/channel/UC07-dOwgza1IguKA86jqxNA")</f>
        <v>https://www.youtube.com/channel/UC07-dOwgza1IguKA86jqxNA</v>
      </c>
      <c r="AU222" s="80" t="str">
        <f>REPLACE(INDEX(GroupVertices[Group],MATCH(Vertices[[#This Row],[Vertex]],GroupVertices[Vertex],0)),1,1,"")</f>
        <v>5</v>
      </c>
      <c r="AV222" s="49"/>
      <c r="AW222" s="50"/>
      <c r="AX222" s="49"/>
      <c r="AY222" s="50"/>
      <c r="AZ222" s="49"/>
      <c r="BA222" s="50"/>
      <c r="BB222" s="49"/>
      <c r="BC222" s="50"/>
      <c r="BD222" s="49"/>
      <c r="BE222" s="49"/>
      <c r="BF222" s="49"/>
      <c r="BG222" s="49"/>
      <c r="BH222" s="49"/>
      <c r="BI222" s="49"/>
      <c r="BJ222" s="49"/>
      <c r="BK222" s="111" t="s">
        <v>2390</v>
      </c>
      <c r="BL222" s="111" t="s">
        <v>2390</v>
      </c>
      <c r="BM222" s="111" t="s">
        <v>2390</v>
      </c>
      <c r="BN222" s="111" t="s">
        <v>2390</v>
      </c>
      <c r="BO222" s="2"/>
      <c r="BP222" s="3"/>
      <c r="BQ222" s="3"/>
      <c r="BR222" s="3"/>
      <c r="BS222" s="3"/>
    </row>
    <row r="223" spans="1:71" ht="15">
      <c r="A223" s="65" t="s">
        <v>426</v>
      </c>
      <c r="B223" s="66"/>
      <c r="C223" s="66"/>
      <c r="D223" s="67">
        <v>150</v>
      </c>
      <c r="E223" s="69"/>
      <c r="F223" s="103" t="str">
        <f>HYPERLINK("https://yt3.ggpht.com/ytc/AAUvwnjZvzGgJfwfaXTvUIewFFVN2XgMtAK1L-NRgMYd=s88-c-k-c0x00ffffff-no-rj")</f>
        <v>https://yt3.ggpht.com/ytc/AAUvwnjZvzGgJfwfaXTvUIewFFVN2XgMtAK1L-NRgMYd=s88-c-k-c0x00ffffff-no-rj</v>
      </c>
      <c r="G223" s="66"/>
      <c r="H223" s="70" t="s">
        <v>1785</v>
      </c>
      <c r="I223" s="71"/>
      <c r="J223" s="71" t="s">
        <v>159</v>
      </c>
      <c r="K223" s="70" t="s">
        <v>1785</v>
      </c>
      <c r="L223" s="74">
        <v>1</v>
      </c>
      <c r="M223" s="75">
        <v>4284.55615234375</v>
      </c>
      <c r="N223" s="75">
        <v>5419.55908203125</v>
      </c>
      <c r="O223" s="76"/>
      <c r="P223" s="77"/>
      <c r="Q223" s="77"/>
      <c r="R223" s="89"/>
      <c r="S223" s="49">
        <v>0</v>
      </c>
      <c r="T223" s="49">
        <v>1</v>
      </c>
      <c r="U223" s="50">
        <v>0</v>
      </c>
      <c r="V223" s="50">
        <v>0.011236</v>
      </c>
      <c r="W223" s="50">
        <v>0</v>
      </c>
      <c r="X223" s="50">
        <v>0.502584</v>
      </c>
      <c r="Y223" s="50">
        <v>0</v>
      </c>
      <c r="Z223" s="50">
        <v>0</v>
      </c>
      <c r="AA223" s="72">
        <v>223</v>
      </c>
      <c r="AB223" s="72"/>
      <c r="AC223" s="73"/>
      <c r="AD223" s="80" t="s">
        <v>1785</v>
      </c>
      <c r="AE223" s="80"/>
      <c r="AF223" s="80"/>
      <c r="AG223" s="80"/>
      <c r="AH223" s="80"/>
      <c r="AI223" s="80"/>
      <c r="AJ223" s="87">
        <v>44308.10748842593</v>
      </c>
      <c r="AK223" s="85" t="str">
        <f>HYPERLINK("https://yt3.ggpht.com/ytc/AAUvwnjZvzGgJfwfaXTvUIewFFVN2XgMtAK1L-NRgMYd=s88-c-k-c0x00ffffff-no-rj")</f>
        <v>https://yt3.ggpht.com/ytc/AAUvwnjZvzGgJfwfaXTvUIewFFVN2XgMtAK1L-NRgMYd=s88-c-k-c0x00ffffff-no-rj</v>
      </c>
      <c r="AL223" s="80">
        <v>0</v>
      </c>
      <c r="AM223" s="80">
        <v>0</v>
      </c>
      <c r="AN223" s="80">
        <v>0</v>
      </c>
      <c r="AO223" s="80" t="b">
        <v>0</v>
      </c>
      <c r="AP223" s="80">
        <v>0</v>
      </c>
      <c r="AQ223" s="80"/>
      <c r="AR223" s="80"/>
      <c r="AS223" s="80" t="s">
        <v>2664</v>
      </c>
      <c r="AT223" s="85" t="str">
        <f>HYPERLINK("https://www.youtube.com/channel/UCfqvjDtJ56SzG8sWiIG4Txw")</f>
        <v>https://www.youtube.com/channel/UCfqvjDtJ56SzG8sWiIG4Txw</v>
      </c>
      <c r="AU223" s="80" t="str">
        <f>REPLACE(INDEX(GroupVertices[Group],MATCH(Vertices[[#This Row],[Vertex]],GroupVertices[Vertex],0)),1,1,"")</f>
        <v>5</v>
      </c>
      <c r="AV223" s="49">
        <v>1</v>
      </c>
      <c r="AW223" s="50">
        <v>3.225806451612903</v>
      </c>
      <c r="AX223" s="49">
        <v>0</v>
      </c>
      <c r="AY223" s="50">
        <v>0</v>
      </c>
      <c r="AZ223" s="49">
        <v>0</v>
      </c>
      <c r="BA223" s="50">
        <v>0</v>
      </c>
      <c r="BB223" s="49">
        <v>30</v>
      </c>
      <c r="BC223" s="50">
        <v>96.7741935483871</v>
      </c>
      <c r="BD223" s="49">
        <v>31</v>
      </c>
      <c r="BE223" s="49"/>
      <c r="BF223" s="49"/>
      <c r="BG223" s="49"/>
      <c r="BH223" s="49"/>
      <c r="BI223" s="49"/>
      <c r="BJ223" s="49"/>
      <c r="BK223" s="111" t="s">
        <v>3835</v>
      </c>
      <c r="BL223" s="111" t="s">
        <v>3835</v>
      </c>
      <c r="BM223" s="111" t="s">
        <v>4300</v>
      </c>
      <c r="BN223" s="111" t="s">
        <v>4300</v>
      </c>
      <c r="BO223" s="2"/>
      <c r="BP223" s="3"/>
      <c r="BQ223" s="3"/>
      <c r="BR223" s="3"/>
      <c r="BS223" s="3"/>
    </row>
    <row r="224" spans="1:71" ht="15">
      <c r="A224" s="65" t="s">
        <v>427</v>
      </c>
      <c r="B224" s="66"/>
      <c r="C224" s="66"/>
      <c r="D224" s="67">
        <v>150</v>
      </c>
      <c r="E224" s="69"/>
      <c r="F224" s="103" t="str">
        <f>HYPERLINK("https://yt3.ggpht.com/ytc/AAUvwnhEhbIQPpM4G9Eo8abqIXTELXAV4ch5r_GZj6RHyg=s88-c-k-c0x00ffffff-no-rj")</f>
        <v>https://yt3.ggpht.com/ytc/AAUvwnhEhbIQPpM4G9Eo8abqIXTELXAV4ch5r_GZj6RHyg=s88-c-k-c0x00ffffff-no-rj</v>
      </c>
      <c r="G224" s="66"/>
      <c r="H224" s="70" t="s">
        <v>1786</v>
      </c>
      <c r="I224" s="71"/>
      <c r="J224" s="71" t="s">
        <v>159</v>
      </c>
      <c r="K224" s="70" t="s">
        <v>1786</v>
      </c>
      <c r="L224" s="74">
        <v>1</v>
      </c>
      <c r="M224" s="75">
        <v>4585.01123046875</v>
      </c>
      <c r="N224" s="75">
        <v>4209.82275390625</v>
      </c>
      <c r="O224" s="76"/>
      <c r="P224" s="77"/>
      <c r="Q224" s="77"/>
      <c r="R224" s="89"/>
      <c r="S224" s="49">
        <v>0</v>
      </c>
      <c r="T224" s="49">
        <v>1</v>
      </c>
      <c r="U224" s="50">
        <v>0</v>
      </c>
      <c r="V224" s="50">
        <v>0.011236</v>
      </c>
      <c r="W224" s="50">
        <v>0</v>
      </c>
      <c r="X224" s="50">
        <v>0.502584</v>
      </c>
      <c r="Y224" s="50">
        <v>0</v>
      </c>
      <c r="Z224" s="50">
        <v>0</v>
      </c>
      <c r="AA224" s="72">
        <v>224</v>
      </c>
      <c r="AB224" s="72"/>
      <c r="AC224" s="73"/>
      <c r="AD224" s="80" t="s">
        <v>1786</v>
      </c>
      <c r="AE224" s="80"/>
      <c r="AF224" s="80"/>
      <c r="AG224" s="80"/>
      <c r="AH224" s="80"/>
      <c r="AI224" s="80"/>
      <c r="AJ224" s="87">
        <v>40317.78219907408</v>
      </c>
      <c r="AK224" s="85" t="str">
        <f>HYPERLINK("https://yt3.ggpht.com/ytc/AAUvwnhEhbIQPpM4G9Eo8abqIXTELXAV4ch5r_GZj6RHyg=s88-c-k-c0x00ffffff-no-rj")</f>
        <v>https://yt3.ggpht.com/ytc/AAUvwnhEhbIQPpM4G9Eo8abqIXTELXAV4ch5r_GZj6RHyg=s88-c-k-c0x00ffffff-no-rj</v>
      </c>
      <c r="AL224" s="80">
        <v>0</v>
      </c>
      <c r="AM224" s="80">
        <v>0</v>
      </c>
      <c r="AN224" s="80">
        <v>48</v>
      </c>
      <c r="AO224" s="80" t="b">
        <v>0</v>
      </c>
      <c r="AP224" s="80">
        <v>0</v>
      </c>
      <c r="AQ224" s="80"/>
      <c r="AR224" s="80"/>
      <c r="AS224" s="80" t="s">
        <v>2664</v>
      </c>
      <c r="AT224" s="85" t="str">
        <f>HYPERLINK("https://www.youtube.com/channel/UCq1q117t2Vk1Unor5hn5X7A")</f>
        <v>https://www.youtube.com/channel/UCq1q117t2Vk1Unor5hn5X7A</v>
      </c>
      <c r="AU224" s="80" t="str">
        <f>REPLACE(INDEX(GroupVertices[Group],MATCH(Vertices[[#This Row],[Vertex]],GroupVertices[Vertex],0)),1,1,"")</f>
        <v>5</v>
      </c>
      <c r="AV224" s="49">
        <v>0</v>
      </c>
      <c r="AW224" s="50">
        <v>0</v>
      </c>
      <c r="AX224" s="49">
        <v>0</v>
      </c>
      <c r="AY224" s="50">
        <v>0</v>
      </c>
      <c r="AZ224" s="49">
        <v>0</v>
      </c>
      <c r="BA224" s="50">
        <v>0</v>
      </c>
      <c r="BB224" s="49">
        <v>16</v>
      </c>
      <c r="BC224" s="50">
        <v>100</v>
      </c>
      <c r="BD224" s="49">
        <v>16</v>
      </c>
      <c r="BE224" s="49"/>
      <c r="BF224" s="49"/>
      <c r="BG224" s="49"/>
      <c r="BH224" s="49"/>
      <c r="BI224" s="49"/>
      <c r="BJ224" s="49"/>
      <c r="BK224" s="111" t="s">
        <v>3836</v>
      </c>
      <c r="BL224" s="111" t="s">
        <v>3836</v>
      </c>
      <c r="BM224" s="111" t="s">
        <v>4301</v>
      </c>
      <c r="BN224" s="111" t="s">
        <v>4301</v>
      </c>
      <c r="BO224" s="2"/>
      <c r="BP224" s="3"/>
      <c r="BQ224" s="3"/>
      <c r="BR224" s="3"/>
      <c r="BS224" s="3"/>
    </row>
    <row r="225" spans="1:71" ht="15">
      <c r="A225" s="65" t="s">
        <v>428</v>
      </c>
      <c r="B225" s="66"/>
      <c r="C225" s="66"/>
      <c r="D225" s="67">
        <v>150</v>
      </c>
      <c r="E225" s="69"/>
      <c r="F225" s="103" t="str">
        <f>HYPERLINK("https://yt3.ggpht.com/ytc/AAUvwngqIRnv-susYxzMTpcy260AZ9X-89yZt4GD4B8gRg=s88-c-k-c0x00ffffff-no-rj")</f>
        <v>https://yt3.ggpht.com/ytc/AAUvwngqIRnv-susYxzMTpcy260AZ9X-89yZt4GD4B8gRg=s88-c-k-c0x00ffffff-no-rj</v>
      </c>
      <c r="G225" s="66"/>
      <c r="H225" s="70" t="s">
        <v>1787</v>
      </c>
      <c r="I225" s="71"/>
      <c r="J225" s="71" t="s">
        <v>159</v>
      </c>
      <c r="K225" s="70" t="s">
        <v>1787</v>
      </c>
      <c r="L225" s="74">
        <v>1</v>
      </c>
      <c r="M225" s="75">
        <v>4183.9990234375</v>
      </c>
      <c r="N225" s="75">
        <v>4560.875</v>
      </c>
      <c r="O225" s="76"/>
      <c r="P225" s="77"/>
      <c r="Q225" s="77"/>
      <c r="R225" s="89"/>
      <c r="S225" s="49">
        <v>0</v>
      </c>
      <c r="T225" s="49">
        <v>1</v>
      </c>
      <c r="U225" s="50">
        <v>0</v>
      </c>
      <c r="V225" s="50">
        <v>0.011236</v>
      </c>
      <c r="W225" s="50">
        <v>0</v>
      </c>
      <c r="X225" s="50">
        <v>0.502584</v>
      </c>
      <c r="Y225" s="50">
        <v>0</v>
      </c>
      <c r="Z225" s="50">
        <v>0</v>
      </c>
      <c r="AA225" s="72">
        <v>225</v>
      </c>
      <c r="AB225" s="72"/>
      <c r="AC225" s="73"/>
      <c r="AD225" s="80" t="s">
        <v>1787</v>
      </c>
      <c r="AE225" s="80"/>
      <c r="AF225" s="80"/>
      <c r="AG225" s="80"/>
      <c r="AH225" s="80"/>
      <c r="AI225" s="80"/>
      <c r="AJ225" s="87">
        <v>42055.27888888889</v>
      </c>
      <c r="AK225" s="85" t="str">
        <f>HYPERLINK("https://yt3.ggpht.com/ytc/AAUvwngqIRnv-susYxzMTpcy260AZ9X-89yZt4GD4B8gRg=s88-c-k-c0x00ffffff-no-rj")</f>
        <v>https://yt3.ggpht.com/ytc/AAUvwngqIRnv-susYxzMTpcy260AZ9X-89yZt4GD4B8gRg=s88-c-k-c0x00ffffff-no-rj</v>
      </c>
      <c r="AL225" s="80">
        <v>7</v>
      </c>
      <c r="AM225" s="80">
        <v>0</v>
      </c>
      <c r="AN225" s="80">
        <v>0</v>
      </c>
      <c r="AO225" s="80" t="b">
        <v>0</v>
      </c>
      <c r="AP225" s="80">
        <v>4</v>
      </c>
      <c r="AQ225" s="80"/>
      <c r="AR225" s="80"/>
      <c r="AS225" s="80" t="s">
        <v>2664</v>
      </c>
      <c r="AT225" s="85" t="str">
        <f>HYPERLINK("https://www.youtube.com/channel/UClqII0Yg_DO1VekNPD9hY6w")</f>
        <v>https://www.youtube.com/channel/UClqII0Yg_DO1VekNPD9hY6w</v>
      </c>
      <c r="AU225" s="80" t="str">
        <f>REPLACE(INDEX(GroupVertices[Group],MATCH(Vertices[[#This Row],[Vertex]],GroupVertices[Vertex],0)),1,1,"")</f>
        <v>5</v>
      </c>
      <c r="AV225" s="49">
        <v>1</v>
      </c>
      <c r="AW225" s="50">
        <v>9.090909090909092</v>
      </c>
      <c r="AX225" s="49">
        <v>0</v>
      </c>
      <c r="AY225" s="50">
        <v>0</v>
      </c>
      <c r="AZ225" s="49">
        <v>0</v>
      </c>
      <c r="BA225" s="50">
        <v>0</v>
      </c>
      <c r="BB225" s="49">
        <v>10</v>
      </c>
      <c r="BC225" s="50">
        <v>90.9090909090909</v>
      </c>
      <c r="BD225" s="49">
        <v>11</v>
      </c>
      <c r="BE225" s="49"/>
      <c r="BF225" s="49"/>
      <c r="BG225" s="49"/>
      <c r="BH225" s="49"/>
      <c r="BI225" s="49"/>
      <c r="BJ225" s="49"/>
      <c r="BK225" s="111" t="s">
        <v>3837</v>
      </c>
      <c r="BL225" s="111" t="s">
        <v>3837</v>
      </c>
      <c r="BM225" s="111" t="s">
        <v>4302</v>
      </c>
      <c r="BN225" s="111" t="s">
        <v>4302</v>
      </c>
      <c r="BO225" s="2"/>
      <c r="BP225" s="3"/>
      <c r="BQ225" s="3"/>
      <c r="BR225" s="3"/>
      <c r="BS225" s="3"/>
    </row>
    <row r="226" spans="1:71" ht="15">
      <c r="A226" s="65" t="s">
        <v>429</v>
      </c>
      <c r="B226" s="66"/>
      <c r="C226" s="66"/>
      <c r="D226" s="67">
        <v>150</v>
      </c>
      <c r="E226" s="69"/>
      <c r="F226" s="103" t="str">
        <f>HYPERLINK("https://yt3.ggpht.com/ytc/AAUvwnj98vyvZhnqZpSO9-IRBGuJADDB72hX5H8QoftliQ=s88-c-k-c0x00ffffff-no-rj")</f>
        <v>https://yt3.ggpht.com/ytc/AAUvwnj98vyvZhnqZpSO9-IRBGuJADDB72hX5H8QoftliQ=s88-c-k-c0x00ffffff-no-rj</v>
      </c>
      <c r="G226" s="66"/>
      <c r="H226" s="70" t="s">
        <v>1788</v>
      </c>
      <c r="I226" s="71"/>
      <c r="J226" s="71" t="s">
        <v>159</v>
      </c>
      <c r="K226" s="70" t="s">
        <v>1788</v>
      </c>
      <c r="L226" s="74">
        <v>1</v>
      </c>
      <c r="M226" s="75">
        <v>4709.54931640625</v>
      </c>
      <c r="N226" s="75">
        <v>4968.45556640625</v>
      </c>
      <c r="O226" s="76"/>
      <c r="P226" s="77"/>
      <c r="Q226" s="77"/>
      <c r="R226" s="89"/>
      <c r="S226" s="49">
        <v>0</v>
      </c>
      <c r="T226" s="49">
        <v>1</v>
      </c>
      <c r="U226" s="50">
        <v>0</v>
      </c>
      <c r="V226" s="50">
        <v>0.011236</v>
      </c>
      <c r="W226" s="50">
        <v>0</v>
      </c>
      <c r="X226" s="50">
        <v>0.502584</v>
      </c>
      <c r="Y226" s="50">
        <v>0</v>
      </c>
      <c r="Z226" s="50">
        <v>0</v>
      </c>
      <c r="AA226" s="72">
        <v>226</v>
      </c>
      <c r="AB226" s="72"/>
      <c r="AC226" s="73"/>
      <c r="AD226" s="80" t="s">
        <v>1788</v>
      </c>
      <c r="AE226" s="80"/>
      <c r="AF226" s="80"/>
      <c r="AG226" s="80"/>
      <c r="AH226" s="80"/>
      <c r="AI226" s="80"/>
      <c r="AJ226" s="87">
        <v>42554.550405092596</v>
      </c>
      <c r="AK226" s="85" t="str">
        <f>HYPERLINK("https://yt3.ggpht.com/ytc/AAUvwnj98vyvZhnqZpSO9-IRBGuJADDB72hX5H8QoftliQ=s88-c-k-c0x00ffffff-no-rj")</f>
        <v>https://yt3.ggpht.com/ytc/AAUvwnj98vyvZhnqZpSO9-IRBGuJADDB72hX5H8QoftliQ=s88-c-k-c0x00ffffff-no-rj</v>
      </c>
      <c r="AL226" s="80">
        <v>132</v>
      </c>
      <c r="AM226" s="80">
        <v>0</v>
      </c>
      <c r="AN226" s="80">
        <v>40</v>
      </c>
      <c r="AO226" s="80" t="b">
        <v>0</v>
      </c>
      <c r="AP226" s="80">
        <v>2</v>
      </c>
      <c r="AQ226" s="80"/>
      <c r="AR226" s="80"/>
      <c r="AS226" s="80" t="s">
        <v>2664</v>
      </c>
      <c r="AT226" s="85" t="str">
        <f>HYPERLINK("https://www.youtube.com/channel/UCMsjtkQjBJQTAHgen-aDNBA")</f>
        <v>https://www.youtube.com/channel/UCMsjtkQjBJQTAHgen-aDNBA</v>
      </c>
      <c r="AU226" s="80" t="str">
        <f>REPLACE(INDEX(GroupVertices[Group],MATCH(Vertices[[#This Row],[Vertex]],GroupVertices[Vertex],0)),1,1,"")</f>
        <v>5</v>
      </c>
      <c r="AV226" s="49">
        <v>0</v>
      </c>
      <c r="AW226" s="50">
        <v>0</v>
      </c>
      <c r="AX226" s="49">
        <v>0</v>
      </c>
      <c r="AY226" s="50">
        <v>0</v>
      </c>
      <c r="AZ226" s="49">
        <v>0</v>
      </c>
      <c r="BA226" s="50">
        <v>0</v>
      </c>
      <c r="BB226" s="49">
        <v>9</v>
      </c>
      <c r="BC226" s="50">
        <v>100</v>
      </c>
      <c r="BD226" s="49">
        <v>9</v>
      </c>
      <c r="BE226" s="49"/>
      <c r="BF226" s="49"/>
      <c r="BG226" s="49"/>
      <c r="BH226" s="49"/>
      <c r="BI226" s="49"/>
      <c r="BJ226" s="49"/>
      <c r="BK226" s="111" t="s">
        <v>3838</v>
      </c>
      <c r="BL226" s="111" t="s">
        <v>3838</v>
      </c>
      <c r="BM226" s="111" t="s">
        <v>4303</v>
      </c>
      <c r="BN226" s="111" t="s">
        <v>4303</v>
      </c>
      <c r="BO226" s="2"/>
      <c r="BP226" s="3"/>
      <c r="BQ226" s="3"/>
      <c r="BR226" s="3"/>
      <c r="BS226" s="3"/>
    </row>
    <row r="227" spans="1:71" ht="15">
      <c r="A227" s="65" t="s">
        <v>430</v>
      </c>
      <c r="B227" s="66"/>
      <c r="C227" s="66"/>
      <c r="D227" s="67">
        <v>150</v>
      </c>
      <c r="E227" s="69"/>
      <c r="F227" s="103" t="str">
        <f>HYPERLINK("https://yt3.ggpht.com/ytc/AAUvwni7oEvyPrUsmMH11wF3Z5cKzc-R0OzOxN9Zn2e0QQ=s88-c-k-c0x00ffffff-no-rj")</f>
        <v>https://yt3.ggpht.com/ytc/AAUvwni7oEvyPrUsmMH11wF3Z5cKzc-R0OzOxN9Zn2e0QQ=s88-c-k-c0x00ffffff-no-rj</v>
      </c>
      <c r="G227" s="66"/>
      <c r="H227" s="70" t="s">
        <v>1789</v>
      </c>
      <c r="I227" s="71"/>
      <c r="J227" s="71" t="s">
        <v>159</v>
      </c>
      <c r="K227" s="70" t="s">
        <v>1789</v>
      </c>
      <c r="L227" s="74">
        <v>1</v>
      </c>
      <c r="M227" s="75">
        <v>4431.88232421875</v>
      </c>
      <c r="N227" s="75">
        <v>4129.47021484375</v>
      </c>
      <c r="O227" s="76"/>
      <c r="P227" s="77"/>
      <c r="Q227" s="77"/>
      <c r="R227" s="89"/>
      <c r="S227" s="49">
        <v>0</v>
      </c>
      <c r="T227" s="49">
        <v>1</v>
      </c>
      <c r="U227" s="50">
        <v>0</v>
      </c>
      <c r="V227" s="50">
        <v>0.011236</v>
      </c>
      <c r="W227" s="50">
        <v>0</v>
      </c>
      <c r="X227" s="50">
        <v>0.502584</v>
      </c>
      <c r="Y227" s="50">
        <v>0</v>
      </c>
      <c r="Z227" s="50">
        <v>0</v>
      </c>
      <c r="AA227" s="72">
        <v>227</v>
      </c>
      <c r="AB227" s="72"/>
      <c r="AC227" s="73"/>
      <c r="AD227" s="80" t="s">
        <v>1789</v>
      </c>
      <c r="AE227" s="80" t="s">
        <v>2498</v>
      </c>
      <c r="AF227" s="80"/>
      <c r="AG227" s="80"/>
      <c r="AH227" s="80"/>
      <c r="AI227" s="80"/>
      <c r="AJ227" s="87">
        <v>42660.465902777774</v>
      </c>
      <c r="AK227" s="85" t="str">
        <f>HYPERLINK("https://yt3.ggpht.com/ytc/AAUvwni7oEvyPrUsmMH11wF3Z5cKzc-R0OzOxN9Zn2e0QQ=s88-c-k-c0x00ffffff-no-rj")</f>
        <v>https://yt3.ggpht.com/ytc/AAUvwni7oEvyPrUsmMH11wF3Z5cKzc-R0OzOxN9Zn2e0QQ=s88-c-k-c0x00ffffff-no-rj</v>
      </c>
      <c r="AL227" s="80">
        <v>0</v>
      </c>
      <c r="AM227" s="80">
        <v>0</v>
      </c>
      <c r="AN227" s="80">
        <v>10</v>
      </c>
      <c r="AO227" s="80" t="b">
        <v>0</v>
      </c>
      <c r="AP227" s="80">
        <v>0</v>
      </c>
      <c r="AQ227" s="80"/>
      <c r="AR227" s="80"/>
      <c r="AS227" s="80" t="s">
        <v>2664</v>
      </c>
      <c r="AT227" s="85" t="str">
        <f>HYPERLINK("https://www.youtube.com/channel/UCiamsAfM2zYhgpZAV_X7H2g")</f>
        <v>https://www.youtube.com/channel/UCiamsAfM2zYhgpZAV_X7H2g</v>
      </c>
      <c r="AU227" s="80" t="str">
        <f>REPLACE(INDEX(GroupVertices[Group],MATCH(Vertices[[#This Row],[Vertex]],GroupVertices[Vertex],0)),1,1,"")</f>
        <v>5</v>
      </c>
      <c r="AV227" s="49">
        <v>1</v>
      </c>
      <c r="AW227" s="50">
        <v>1.5873015873015872</v>
      </c>
      <c r="AX227" s="49">
        <v>11</v>
      </c>
      <c r="AY227" s="50">
        <v>17.46031746031746</v>
      </c>
      <c r="AZ227" s="49">
        <v>0</v>
      </c>
      <c r="BA227" s="50">
        <v>0</v>
      </c>
      <c r="BB227" s="49">
        <v>51</v>
      </c>
      <c r="BC227" s="50">
        <v>80.95238095238095</v>
      </c>
      <c r="BD227" s="49">
        <v>63</v>
      </c>
      <c r="BE227" s="49"/>
      <c r="BF227" s="49"/>
      <c r="BG227" s="49"/>
      <c r="BH227" s="49"/>
      <c r="BI227" s="49"/>
      <c r="BJ227" s="49"/>
      <c r="BK227" s="111" t="s">
        <v>3839</v>
      </c>
      <c r="BL227" s="111" t="s">
        <v>3839</v>
      </c>
      <c r="BM227" s="111" t="s">
        <v>4304</v>
      </c>
      <c r="BN227" s="111" t="s">
        <v>4304</v>
      </c>
      <c r="BO227" s="2"/>
      <c r="BP227" s="3"/>
      <c r="BQ227" s="3"/>
      <c r="BR227" s="3"/>
      <c r="BS227" s="3"/>
    </row>
    <row r="228" spans="1:71" ht="15">
      <c r="A228" s="65" t="s">
        <v>431</v>
      </c>
      <c r="B228" s="66"/>
      <c r="C228" s="66"/>
      <c r="D228" s="67">
        <v>150</v>
      </c>
      <c r="E228" s="69"/>
      <c r="F228" s="103" t="str">
        <f>HYPERLINK("https://yt3.ggpht.com/a/default-user=s88")</f>
        <v>https://yt3.ggpht.com/a/default-user=s88</v>
      </c>
      <c r="G228" s="66"/>
      <c r="H228" s="70" t="s">
        <v>1790</v>
      </c>
      <c r="I228" s="71"/>
      <c r="J228" s="71" t="s">
        <v>159</v>
      </c>
      <c r="K228" s="70" t="s">
        <v>1790</v>
      </c>
      <c r="L228" s="74">
        <v>1</v>
      </c>
      <c r="M228" s="75">
        <v>4172.51904296875</v>
      </c>
      <c r="N228" s="75">
        <v>5411.55078125</v>
      </c>
      <c r="O228" s="76"/>
      <c r="P228" s="77"/>
      <c r="Q228" s="77"/>
      <c r="R228" s="89"/>
      <c r="S228" s="49">
        <v>0</v>
      </c>
      <c r="T228" s="49">
        <v>1</v>
      </c>
      <c r="U228" s="50">
        <v>0</v>
      </c>
      <c r="V228" s="50">
        <v>0.011236</v>
      </c>
      <c r="W228" s="50">
        <v>0</v>
      </c>
      <c r="X228" s="50">
        <v>0.502584</v>
      </c>
      <c r="Y228" s="50">
        <v>0</v>
      </c>
      <c r="Z228" s="50">
        <v>0</v>
      </c>
      <c r="AA228" s="72">
        <v>228</v>
      </c>
      <c r="AB228" s="72"/>
      <c r="AC228" s="73"/>
      <c r="AD228" s="80" t="s">
        <v>1790</v>
      </c>
      <c r="AE228" s="80"/>
      <c r="AF228" s="80"/>
      <c r="AG228" s="80"/>
      <c r="AH228" s="80"/>
      <c r="AI228" s="80"/>
      <c r="AJ228" s="87">
        <v>44326.56625</v>
      </c>
      <c r="AK228" s="85" t="str">
        <f>HYPERLINK("https://yt3.ggpht.com/a/default-user=s88")</f>
        <v>https://yt3.ggpht.com/a/default-user=s88</v>
      </c>
      <c r="AL228" s="80">
        <v>0</v>
      </c>
      <c r="AM228" s="80">
        <v>0</v>
      </c>
      <c r="AN228" s="80">
        <v>0</v>
      </c>
      <c r="AO228" s="80" t="b">
        <v>0</v>
      </c>
      <c r="AP228" s="80">
        <v>0</v>
      </c>
      <c r="AQ228" s="80"/>
      <c r="AR228" s="80"/>
      <c r="AS228" s="80" t="s">
        <v>2664</v>
      </c>
      <c r="AT228" s="85" t="str">
        <f>HYPERLINK("https://www.youtube.com/channel/UCh86aG9eDxMiQaISQdtv9zA")</f>
        <v>https://www.youtube.com/channel/UCh86aG9eDxMiQaISQdtv9zA</v>
      </c>
      <c r="AU228" s="80" t="str">
        <f>REPLACE(INDEX(GroupVertices[Group],MATCH(Vertices[[#This Row],[Vertex]],GroupVertices[Vertex],0)),1,1,"")</f>
        <v>5</v>
      </c>
      <c r="AV228" s="49">
        <v>0</v>
      </c>
      <c r="AW228" s="50">
        <v>0</v>
      </c>
      <c r="AX228" s="49">
        <v>0</v>
      </c>
      <c r="AY228" s="50">
        <v>0</v>
      </c>
      <c r="AZ228" s="49">
        <v>0</v>
      </c>
      <c r="BA228" s="50">
        <v>0</v>
      </c>
      <c r="BB228" s="49">
        <v>11</v>
      </c>
      <c r="BC228" s="50">
        <v>100</v>
      </c>
      <c r="BD228" s="49">
        <v>11</v>
      </c>
      <c r="BE228" s="49"/>
      <c r="BF228" s="49"/>
      <c r="BG228" s="49"/>
      <c r="BH228" s="49"/>
      <c r="BI228" s="49"/>
      <c r="BJ228" s="49"/>
      <c r="BK228" s="111" t="s">
        <v>3840</v>
      </c>
      <c r="BL228" s="111" t="s">
        <v>3840</v>
      </c>
      <c r="BM228" s="111" t="s">
        <v>4305</v>
      </c>
      <c r="BN228" s="111" t="s">
        <v>4305</v>
      </c>
      <c r="BO228" s="2"/>
      <c r="BP228" s="3"/>
      <c r="BQ228" s="3"/>
      <c r="BR228" s="3"/>
      <c r="BS228" s="3"/>
    </row>
    <row r="229" spans="1:71" ht="15">
      <c r="A229" s="65" t="s">
        <v>432</v>
      </c>
      <c r="B229" s="66"/>
      <c r="C229" s="66"/>
      <c r="D229" s="67">
        <v>150</v>
      </c>
      <c r="E229" s="69"/>
      <c r="F229" s="103" t="str">
        <f>HYPERLINK("https://yt3.ggpht.com/ytc/AAUvwnjYu3uE5BIN-WpPpOARFFEt-T8j2wbk1XVhSLk2=s88-c-k-c0x00ffffff-no-rj")</f>
        <v>https://yt3.ggpht.com/ytc/AAUvwnjYu3uE5BIN-WpPpOARFFEt-T8j2wbk1XVhSLk2=s88-c-k-c0x00ffffff-no-rj</v>
      </c>
      <c r="G229" s="66"/>
      <c r="H229" s="70" t="s">
        <v>1791</v>
      </c>
      <c r="I229" s="71"/>
      <c r="J229" s="71" t="s">
        <v>159</v>
      </c>
      <c r="K229" s="70" t="s">
        <v>1791</v>
      </c>
      <c r="L229" s="74">
        <v>1</v>
      </c>
      <c r="M229" s="75">
        <v>4256.1982421875</v>
      </c>
      <c r="N229" s="75">
        <v>4170.18310546875</v>
      </c>
      <c r="O229" s="76"/>
      <c r="P229" s="77"/>
      <c r="Q229" s="77"/>
      <c r="R229" s="89"/>
      <c r="S229" s="49">
        <v>0</v>
      </c>
      <c r="T229" s="49">
        <v>1</v>
      </c>
      <c r="U229" s="50">
        <v>0</v>
      </c>
      <c r="V229" s="50">
        <v>0.011236</v>
      </c>
      <c r="W229" s="50">
        <v>0</v>
      </c>
      <c r="X229" s="50">
        <v>0.502584</v>
      </c>
      <c r="Y229" s="50">
        <v>0</v>
      </c>
      <c r="Z229" s="50">
        <v>0</v>
      </c>
      <c r="AA229" s="72">
        <v>229</v>
      </c>
      <c r="AB229" s="72"/>
      <c r="AC229" s="73"/>
      <c r="AD229" s="80" t="s">
        <v>1791</v>
      </c>
      <c r="AE229" s="80"/>
      <c r="AF229" s="80"/>
      <c r="AG229" s="80"/>
      <c r="AH229" s="80"/>
      <c r="AI229" s="80"/>
      <c r="AJ229" s="87">
        <v>43018.68376157407</v>
      </c>
      <c r="AK229" s="85" t="str">
        <f>HYPERLINK("https://yt3.ggpht.com/ytc/AAUvwnjYu3uE5BIN-WpPpOARFFEt-T8j2wbk1XVhSLk2=s88-c-k-c0x00ffffff-no-rj")</f>
        <v>https://yt3.ggpht.com/ytc/AAUvwnjYu3uE5BIN-WpPpOARFFEt-T8j2wbk1XVhSLk2=s88-c-k-c0x00ffffff-no-rj</v>
      </c>
      <c r="AL229" s="80">
        <v>0</v>
      </c>
      <c r="AM229" s="80">
        <v>0</v>
      </c>
      <c r="AN229" s="80">
        <v>2</v>
      </c>
      <c r="AO229" s="80" t="b">
        <v>0</v>
      </c>
      <c r="AP229" s="80">
        <v>0</v>
      </c>
      <c r="AQ229" s="80"/>
      <c r="AR229" s="80"/>
      <c r="AS229" s="80" t="s">
        <v>2664</v>
      </c>
      <c r="AT229" s="85" t="str">
        <f>HYPERLINK("https://www.youtube.com/channel/UCMnSie2ldazA13s1pbTiUYw")</f>
        <v>https://www.youtube.com/channel/UCMnSie2ldazA13s1pbTiUYw</v>
      </c>
      <c r="AU229" s="80" t="str">
        <f>REPLACE(INDEX(GroupVertices[Group],MATCH(Vertices[[#This Row],[Vertex]],GroupVertices[Vertex],0)),1,1,"")</f>
        <v>5</v>
      </c>
      <c r="AV229" s="49">
        <v>0</v>
      </c>
      <c r="AW229" s="50">
        <v>0</v>
      </c>
      <c r="AX229" s="49">
        <v>1</v>
      </c>
      <c r="AY229" s="50">
        <v>33.333333333333336</v>
      </c>
      <c r="AZ229" s="49">
        <v>0</v>
      </c>
      <c r="BA229" s="50">
        <v>0</v>
      </c>
      <c r="BB229" s="49">
        <v>2</v>
      </c>
      <c r="BC229" s="50">
        <v>66.66666666666667</v>
      </c>
      <c r="BD229" s="49">
        <v>3</v>
      </c>
      <c r="BE229" s="49"/>
      <c r="BF229" s="49"/>
      <c r="BG229" s="49"/>
      <c r="BH229" s="49"/>
      <c r="BI229" s="49"/>
      <c r="BJ229" s="49"/>
      <c r="BK229" s="111" t="s">
        <v>3841</v>
      </c>
      <c r="BL229" s="111" t="s">
        <v>3841</v>
      </c>
      <c r="BM229" s="111" t="s">
        <v>4306</v>
      </c>
      <c r="BN229" s="111" t="s">
        <v>4306</v>
      </c>
      <c r="BO229" s="2"/>
      <c r="BP229" s="3"/>
      <c r="BQ229" s="3"/>
      <c r="BR229" s="3"/>
      <c r="BS229" s="3"/>
    </row>
    <row r="230" spans="1:71" ht="15">
      <c r="A230" s="65" t="s">
        <v>433</v>
      </c>
      <c r="B230" s="66"/>
      <c r="C230" s="66"/>
      <c r="D230" s="67">
        <v>150</v>
      </c>
      <c r="E230" s="69"/>
      <c r="F230" s="103" t="str">
        <f>HYPERLINK("https://yt3.ggpht.com/ytc/AAUvwniXhQEIN13CLkjxutK6H5TTLbvArR3onOL8VA=s88-c-k-c0x00ffffff-no-rj")</f>
        <v>https://yt3.ggpht.com/ytc/AAUvwniXhQEIN13CLkjxutK6H5TTLbvArR3onOL8VA=s88-c-k-c0x00ffffff-no-rj</v>
      </c>
      <c r="G230" s="66"/>
      <c r="H230" s="70" t="s">
        <v>1792</v>
      </c>
      <c r="I230" s="71"/>
      <c r="J230" s="71" t="s">
        <v>159</v>
      </c>
      <c r="K230" s="70" t="s">
        <v>1792</v>
      </c>
      <c r="L230" s="74">
        <v>1</v>
      </c>
      <c r="M230" s="75">
        <v>4155.1259765625</v>
      </c>
      <c r="N230" s="75">
        <v>3882.87744140625</v>
      </c>
      <c r="O230" s="76"/>
      <c r="P230" s="77"/>
      <c r="Q230" s="77"/>
      <c r="R230" s="89"/>
      <c r="S230" s="49">
        <v>0</v>
      </c>
      <c r="T230" s="49">
        <v>1</v>
      </c>
      <c r="U230" s="50">
        <v>0</v>
      </c>
      <c r="V230" s="50">
        <v>0.011236</v>
      </c>
      <c r="W230" s="50">
        <v>0</v>
      </c>
      <c r="X230" s="50">
        <v>0.502584</v>
      </c>
      <c r="Y230" s="50">
        <v>0</v>
      </c>
      <c r="Z230" s="50">
        <v>0</v>
      </c>
      <c r="AA230" s="72">
        <v>230</v>
      </c>
      <c r="AB230" s="72"/>
      <c r="AC230" s="73"/>
      <c r="AD230" s="80" t="s">
        <v>1792</v>
      </c>
      <c r="AE230" s="80"/>
      <c r="AF230" s="80"/>
      <c r="AG230" s="80"/>
      <c r="AH230" s="80"/>
      <c r="AI230" s="80"/>
      <c r="AJ230" s="87">
        <v>44300.49988425926</v>
      </c>
      <c r="AK230" s="85" t="str">
        <f>HYPERLINK("https://yt3.ggpht.com/ytc/AAUvwniXhQEIN13CLkjxutK6H5TTLbvArR3onOL8VA=s88-c-k-c0x00ffffff-no-rj")</f>
        <v>https://yt3.ggpht.com/ytc/AAUvwniXhQEIN13CLkjxutK6H5TTLbvArR3onOL8VA=s88-c-k-c0x00ffffff-no-rj</v>
      </c>
      <c r="AL230" s="80">
        <v>67</v>
      </c>
      <c r="AM230" s="80">
        <v>0</v>
      </c>
      <c r="AN230" s="80">
        <v>2</v>
      </c>
      <c r="AO230" s="80" t="b">
        <v>0</v>
      </c>
      <c r="AP230" s="80">
        <v>1</v>
      </c>
      <c r="AQ230" s="80"/>
      <c r="AR230" s="80"/>
      <c r="AS230" s="80" t="s">
        <v>2664</v>
      </c>
      <c r="AT230" s="85" t="str">
        <f>HYPERLINK("https://www.youtube.com/channel/UCHIpOdCr-NFQRR_OQcwa4Sg")</f>
        <v>https://www.youtube.com/channel/UCHIpOdCr-NFQRR_OQcwa4Sg</v>
      </c>
      <c r="AU230" s="80" t="str">
        <f>REPLACE(INDEX(GroupVertices[Group],MATCH(Vertices[[#This Row],[Vertex]],GroupVertices[Vertex],0)),1,1,"")</f>
        <v>5</v>
      </c>
      <c r="AV230" s="49">
        <v>2</v>
      </c>
      <c r="AW230" s="50">
        <v>4.444444444444445</v>
      </c>
      <c r="AX230" s="49">
        <v>1</v>
      </c>
      <c r="AY230" s="50">
        <v>2.2222222222222223</v>
      </c>
      <c r="AZ230" s="49">
        <v>0</v>
      </c>
      <c r="BA230" s="50">
        <v>0</v>
      </c>
      <c r="BB230" s="49">
        <v>42</v>
      </c>
      <c r="BC230" s="50">
        <v>93.33333333333333</v>
      </c>
      <c r="BD230" s="49">
        <v>45</v>
      </c>
      <c r="BE230" s="49"/>
      <c r="BF230" s="49"/>
      <c r="BG230" s="49"/>
      <c r="BH230" s="49"/>
      <c r="BI230" s="49"/>
      <c r="BJ230" s="49"/>
      <c r="BK230" s="111" t="s">
        <v>3842</v>
      </c>
      <c r="BL230" s="111" t="s">
        <v>3842</v>
      </c>
      <c r="BM230" s="111" t="s">
        <v>4307</v>
      </c>
      <c r="BN230" s="111" t="s">
        <v>4307</v>
      </c>
      <c r="BO230" s="2"/>
      <c r="BP230" s="3"/>
      <c r="BQ230" s="3"/>
      <c r="BR230" s="3"/>
      <c r="BS230" s="3"/>
    </row>
    <row r="231" spans="1:71" ht="15">
      <c r="A231" s="65" t="s">
        <v>434</v>
      </c>
      <c r="B231" s="66"/>
      <c r="C231" s="66"/>
      <c r="D231" s="67">
        <v>150</v>
      </c>
      <c r="E231" s="69"/>
      <c r="F231" s="103" t="str">
        <f>HYPERLINK("https://yt3.ggpht.com/ytc/AAUvwnhm5GwNEETqWCD2Yp357TKA17zTmWxgogdXnBNu=s88-c-k-c0x00ffffff-no-rj")</f>
        <v>https://yt3.ggpht.com/ytc/AAUvwnhm5GwNEETqWCD2Yp357TKA17zTmWxgogdXnBNu=s88-c-k-c0x00ffffff-no-rj</v>
      </c>
      <c r="G231" s="66"/>
      <c r="H231" s="70" t="s">
        <v>1793</v>
      </c>
      <c r="I231" s="71"/>
      <c r="J231" s="71" t="s">
        <v>159</v>
      </c>
      <c r="K231" s="70" t="s">
        <v>1793</v>
      </c>
      <c r="L231" s="74">
        <v>1</v>
      </c>
      <c r="M231" s="75">
        <v>4031.20703125</v>
      </c>
      <c r="N231" s="75">
        <v>3921.43310546875</v>
      </c>
      <c r="O231" s="76"/>
      <c r="P231" s="77"/>
      <c r="Q231" s="77"/>
      <c r="R231" s="89"/>
      <c r="S231" s="49">
        <v>0</v>
      </c>
      <c r="T231" s="49">
        <v>1</v>
      </c>
      <c r="U231" s="50">
        <v>0</v>
      </c>
      <c r="V231" s="50">
        <v>0.011236</v>
      </c>
      <c r="W231" s="50">
        <v>0</v>
      </c>
      <c r="X231" s="50">
        <v>0.502584</v>
      </c>
      <c r="Y231" s="50">
        <v>0</v>
      </c>
      <c r="Z231" s="50">
        <v>0</v>
      </c>
      <c r="AA231" s="72">
        <v>231</v>
      </c>
      <c r="AB231" s="72"/>
      <c r="AC231" s="73"/>
      <c r="AD231" s="80" t="s">
        <v>1793</v>
      </c>
      <c r="AE231" s="80" t="s">
        <v>1109</v>
      </c>
      <c r="AF231" s="80"/>
      <c r="AG231" s="80"/>
      <c r="AH231" s="80"/>
      <c r="AI231" s="80"/>
      <c r="AJ231" s="87">
        <v>43524.71228009259</v>
      </c>
      <c r="AK231" s="85" t="str">
        <f>HYPERLINK("https://yt3.ggpht.com/ytc/AAUvwnhm5GwNEETqWCD2Yp357TKA17zTmWxgogdXnBNu=s88-c-k-c0x00ffffff-no-rj")</f>
        <v>https://yt3.ggpht.com/ytc/AAUvwnhm5GwNEETqWCD2Yp357TKA17zTmWxgogdXnBNu=s88-c-k-c0x00ffffff-no-rj</v>
      </c>
      <c r="AL231" s="80">
        <v>5</v>
      </c>
      <c r="AM231" s="80">
        <v>0</v>
      </c>
      <c r="AN231" s="80">
        <v>3</v>
      </c>
      <c r="AO231" s="80" t="b">
        <v>0</v>
      </c>
      <c r="AP231" s="80">
        <v>1</v>
      </c>
      <c r="AQ231" s="80"/>
      <c r="AR231" s="80"/>
      <c r="AS231" s="80" t="s">
        <v>2664</v>
      </c>
      <c r="AT231" s="85" t="str">
        <f>HYPERLINK("https://www.youtube.com/channel/UCwCF8Ic6Lgs32CrljeWydrw")</f>
        <v>https://www.youtube.com/channel/UCwCF8Ic6Lgs32CrljeWydrw</v>
      </c>
      <c r="AU231" s="80" t="str">
        <f>REPLACE(INDEX(GroupVertices[Group],MATCH(Vertices[[#This Row],[Vertex]],GroupVertices[Vertex],0)),1,1,"")</f>
        <v>5</v>
      </c>
      <c r="AV231" s="49">
        <v>0</v>
      </c>
      <c r="AW231" s="50">
        <v>0</v>
      </c>
      <c r="AX231" s="49">
        <v>0</v>
      </c>
      <c r="AY231" s="50">
        <v>0</v>
      </c>
      <c r="AZ231" s="49">
        <v>0</v>
      </c>
      <c r="BA231" s="50">
        <v>0</v>
      </c>
      <c r="BB231" s="49">
        <v>3</v>
      </c>
      <c r="BC231" s="50">
        <v>100</v>
      </c>
      <c r="BD231" s="49">
        <v>3</v>
      </c>
      <c r="BE231" s="49"/>
      <c r="BF231" s="49"/>
      <c r="BG231" s="49"/>
      <c r="BH231" s="49"/>
      <c r="BI231" s="49"/>
      <c r="BJ231" s="49"/>
      <c r="BK231" s="111" t="s">
        <v>3843</v>
      </c>
      <c r="BL231" s="111" t="s">
        <v>3843</v>
      </c>
      <c r="BM231" s="111" t="s">
        <v>4308</v>
      </c>
      <c r="BN231" s="111" t="s">
        <v>4308</v>
      </c>
      <c r="BO231" s="2"/>
      <c r="BP231" s="3"/>
      <c r="BQ231" s="3"/>
      <c r="BR231" s="3"/>
      <c r="BS231" s="3"/>
    </row>
    <row r="232" spans="1:71" ht="15">
      <c r="A232" s="65" t="s">
        <v>435</v>
      </c>
      <c r="B232" s="66"/>
      <c r="C232" s="66"/>
      <c r="D232" s="67">
        <v>150</v>
      </c>
      <c r="E232" s="69"/>
      <c r="F232" s="103" t="str">
        <f>HYPERLINK("https://yt3.ggpht.com/ytc/AAUvwnigO6EnuLGqPLRIlTxtS6YC2Z-x9lU0_gauei4_SA=s88-c-k-c0x00ffffff-no-rj")</f>
        <v>https://yt3.ggpht.com/ytc/AAUvwnigO6EnuLGqPLRIlTxtS6YC2Z-x9lU0_gauei4_SA=s88-c-k-c0x00ffffff-no-rj</v>
      </c>
      <c r="G232" s="66"/>
      <c r="H232" s="70" t="s">
        <v>1794</v>
      </c>
      <c r="I232" s="71"/>
      <c r="J232" s="71" t="s">
        <v>159</v>
      </c>
      <c r="K232" s="70" t="s">
        <v>1794</v>
      </c>
      <c r="L232" s="74">
        <v>1</v>
      </c>
      <c r="M232" s="75">
        <v>4749.25439453125</v>
      </c>
      <c r="N232" s="75">
        <v>4384.4091796875</v>
      </c>
      <c r="O232" s="76"/>
      <c r="P232" s="77"/>
      <c r="Q232" s="77"/>
      <c r="R232" s="89"/>
      <c r="S232" s="49">
        <v>0</v>
      </c>
      <c r="T232" s="49">
        <v>1</v>
      </c>
      <c r="U232" s="50">
        <v>0</v>
      </c>
      <c r="V232" s="50">
        <v>0.011236</v>
      </c>
      <c r="W232" s="50">
        <v>0</v>
      </c>
      <c r="X232" s="50">
        <v>0.502584</v>
      </c>
      <c r="Y232" s="50">
        <v>0</v>
      </c>
      <c r="Z232" s="50">
        <v>0</v>
      </c>
      <c r="AA232" s="72">
        <v>232</v>
      </c>
      <c r="AB232" s="72"/>
      <c r="AC232" s="73"/>
      <c r="AD232" s="80" t="s">
        <v>1794</v>
      </c>
      <c r="AE232" s="80" t="s">
        <v>2499</v>
      </c>
      <c r="AF232" s="80"/>
      <c r="AG232" s="80"/>
      <c r="AH232" s="80"/>
      <c r="AI232" s="80"/>
      <c r="AJ232" s="87">
        <v>43171.77332175926</v>
      </c>
      <c r="AK232" s="85" t="str">
        <f>HYPERLINK("https://yt3.ggpht.com/ytc/AAUvwnigO6EnuLGqPLRIlTxtS6YC2Z-x9lU0_gauei4_SA=s88-c-k-c0x00ffffff-no-rj")</f>
        <v>https://yt3.ggpht.com/ytc/AAUvwnigO6EnuLGqPLRIlTxtS6YC2Z-x9lU0_gauei4_SA=s88-c-k-c0x00ffffff-no-rj</v>
      </c>
      <c r="AL232" s="80">
        <v>15510</v>
      </c>
      <c r="AM232" s="80">
        <v>0</v>
      </c>
      <c r="AN232" s="80">
        <v>347</v>
      </c>
      <c r="AO232" s="80" t="b">
        <v>0</v>
      </c>
      <c r="AP232" s="80">
        <v>86</v>
      </c>
      <c r="AQ232" s="80"/>
      <c r="AR232" s="80"/>
      <c r="AS232" s="80" t="s">
        <v>2664</v>
      </c>
      <c r="AT232" s="85" t="str">
        <f>HYPERLINK("https://www.youtube.com/channel/UC4VHPTjnxvlkd8NrT8wDd8g")</f>
        <v>https://www.youtube.com/channel/UC4VHPTjnxvlkd8NrT8wDd8g</v>
      </c>
      <c r="AU232" s="80" t="str">
        <f>REPLACE(INDEX(GroupVertices[Group],MATCH(Vertices[[#This Row],[Vertex]],GroupVertices[Vertex],0)),1,1,"")</f>
        <v>5</v>
      </c>
      <c r="AV232" s="49">
        <v>0</v>
      </c>
      <c r="AW232" s="50">
        <v>0</v>
      </c>
      <c r="AX232" s="49">
        <v>0</v>
      </c>
      <c r="AY232" s="50">
        <v>0</v>
      </c>
      <c r="AZ232" s="49">
        <v>0</v>
      </c>
      <c r="BA232" s="50">
        <v>0</v>
      </c>
      <c r="BB232" s="49">
        <v>0</v>
      </c>
      <c r="BC232" s="50">
        <v>0</v>
      </c>
      <c r="BD232" s="49">
        <v>0</v>
      </c>
      <c r="BE232" s="49"/>
      <c r="BF232" s="49"/>
      <c r="BG232" s="49"/>
      <c r="BH232" s="49"/>
      <c r="BI232" s="49"/>
      <c r="BJ232" s="49"/>
      <c r="BK232" s="111" t="s">
        <v>2390</v>
      </c>
      <c r="BL232" s="111" t="s">
        <v>2390</v>
      </c>
      <c r="BM232" s="111" t="s">
        <v>2390</v>
      </c>
      <c r="BN232" s="111" t="s">
        <v>2390</v>
      </c>
      <c r="BO232" s="2"/>
      <c r="BP232" s="3"/>
      <c r="BQ232" s="3"/>
      <c r="BR232" s="3"/>
      <c r="BS232" s="3"/>
    </row>
    <row r="233" spans="1:71" ht="15">
      <c r="A233" s="65" t="s">
        <v>436</v>
      </c>
      <c r="B233" s="66"/>
      <c r="C233" s="66"/>
      <c r="D233" s="67">
        <v>150</v>
      </c>
      <c r="E233" s="69"/>
      <c r="F233" s="103" t="str">
        <f>HYPERLINK("https://yt3.ggpht.com/ytc/AAUvwnhjKFajYrK1CHN0ZJFpMZEUsU7Pd6xvd8ns_R_46w=s88-c-k-c0x00ffffff-no-rj")</f>
        <v>https://yt3.ggpht.com/ytc/AAUvwnhjKFajYrK1CHN0ZJFpMZEUsU7Pd6xvd8ns_R_46w=s88-c-k-c0x00ffffff-no-rj</v>
      </c>
      <c r="G233" s="66"/>
      <c r="H233" s="70" t="s">
        <v>1795</v>
      </c>
      <c r="I233" s="71"/>
      <c r="J233" s="71" t="s">
        <v>159</v>
      </c>
      <c r="K233" s="70" t="s">
        <v>1795</v>
      </c>
      <c r="L233" s="74">
        <v>1</v>
      </c>
      <c r="M233" s="75">
        <v>4665.87939453125</v>
      </c>
      <c r="N233" s="75">
        <v>3967.42626953125</v>
      </c>
      <c r="O233" s="76"/>
      <c r="P233" s="77"/>
      <c r="Q233" s="77"/>
      <c r="R233" s="89"/>
      <c r="S233" s="49">
        <v>0</v>
      </c>
      <c r="T233" s="49">
        <v>1</v>
      </c>
      <c r="U233" s="50">
        <v>0</v>
      </c>
      <c r="V233" s="50">
        <v>0.011236</v>
      </c>
      <c r="W233" s="50">
        <v>0</v>
      </c>
      <c r="X233" s="50">
        <v>0.502584</v>
      </c>
      <c r="Y233" s="50">
        <v>0</v>
      </c>
      <c r="Z233" s="50">
        <v>0</v>
      </c>
      <c r="AA233" s="72">
        <v>233</v>
      </c>
      <c r="AB233" s="72"/>
      <c r="AC233" s="73"/>
      <c r="AD233" s="80" t="s">
        <v>1795</v>
      </c>
      <c r="AE233" s="80"/>
      <c r="AF233" s="80"/>
      <c r="AG233" s="80"/>
      <c r="AH233" s="80"/>
      <c r="AI233" s="80"/>
      <c r="AJ233" s="87">
        <v>43036.670219907406</v>
      </c>
      <c r="AK233" s="85" t="str">
        <f>HYPERLINK("https://yt3.ggpht.com/ytc/AAUvwnhjKFajYrK1CHN0ZJFpMZEUsU7Pd6xvd8ns_R_46w=s88-c-k-c0x00ffffff-no-rj")</f>
        <v>https://yt3.ggpht.com/ytc/AAUvwnhjKFajYrK1CHN0ZJFpMZEUsU7Pd6xvd8ns_R_46w=s88-c-k-c0x00ffffff-no-rj</v>
      </c>
      <c r="AL233" s="80">
        <v>118</v>
      </c>
      <c r="AM233" s="80">
        <v>0</v>
      </c>
      <c r="AN233" s="80">
        <v>3</v>
      </c>
      <c r="AO233" s="80" t="b">
        <v>0</v>
      </c>
      <c r="AP233" s="80">
        <v>4</v>
      </c>
      <c r="AQ233" s="80"/>
      <c r="AR233" s="80"/>
      <c r="AS233" s="80" t="s">
        <v>2664</v>
      </c>
      <c r="AT233" s="85" t="str">
        <f>HYPERLINK("https://www.youtube.com/channel/UCmoHhgVdE0VFusUvKRD2pKA")</f>
        <v>https://www.youtube.com/channel/UCmoHhgVdE0VFusUvKRD2pKA</v>
      </c>
      <c r="AU233" s="80" t="str">
        <f>REPLACE(INDEX(GroupVertices[Group],MATCH(Vertices[[#This Row],[Vertex]],GroupVertices[Vertex],0)),1,1,"")</f>
        <v>5</v>
      </c>
      <c r="AV233" s="49">
        <v>1</v>
      </c>
      <c r="AW233" s="50">
        <v>100</v>
      </c>
      <c r="AX233" s="49">
        <v>0</v>
      </c>
      <c r="AY233" s="50">
        <v>0</v>
      </c>
      <c r="AZ233" s="49">
        <v>0</v>
      </c>
      <c r="BA233" s="50">
        <v>0</v>
      </c>
      <c r="BB233" s="49">
        <v>0</v>
      </c>
      <c r="BC233" s="50">
        <v>0</v>
      </c>
      <c r="BD233" s="49">
        <v>1</v>
      </c>
      <c r="BE233" s="49"/>
      <c r="BF233" s="49"/>
      <c r="BG233" s="49"/>
      <c r="BH233" s="49"/>
      <c r="BI233" s="49"/>
      <c r="BJ233" s="49"/>
      <c r="BK233" s="111" t="s">
        <v>1110</v>
      </c>
      <c r="BL233" s="111" t="s">
        <v>1110</v>
      </c>
      <c r="BM233" s="111" t="s">
        <v>2390</v>
      </c>
      <c r="BN233" s="111" t="s">
        <v>2390</v>
      </c>
      <c r="BO233" s="2"/>
      <c r="BP233" s="3"/>
      <c r="BQ233" s="3"/>
      <c r="BR233" s="3"/>
      <c r="BS233" s="3"/>
    </row>
    <row r="234" spans="1:71" ht="15">
      <c r="A234" s="65" t="s">
        <v>437</v>
      </c>
      <c r="B234" s="66"/>
      <c r="C234" s="66"/>
      <c r="D234" s="67">
        <v>150</v>
      </c>
      <c r="E234" s="69"/>
      <c r="F234" s="103" t="str">
        <f>HYPERLINK("https://yt3.ggpht.com/ytc/AAUvwni62NpZVZ4HIkzlwwBgxNm2HvtKHjgvFZaKXAyabA=s88-c-k-c0x00ffffff-no-rj")</f>
        <v>https://yt3.ggpht.com/ytc/AAUvwni62NpZVZ4HIkzlwwBgxNm2HvtKHjgvFZaKXAyabA=s88-c-k-c0x00ffffff-no-rj</v>
      </c>
      <c r="G234" s="66"/>
      <c r="H234" s="70" t="s">
        <v>1796</v>
      </c>
      <c r="I234" s="71"/>
      <c r="J234" s="71" t="s">
        <v>159</v>
      </c>
      <c r="K234" s="70" t="s">
        <v>1796</v>
      </c>
      <c r="L234" s="74">
        <v>1</v>
      </c>
      <c r="M234" s="75">
        <v>4133.75634765625</v>
      </c>
      <c r="N234" s="75">
        <v>5031.609375</v>
      </c>
      <c r="O234" s="76"/>
      <c r="P234" s="77"/>
      <c r="Q234" s="77"/>
      <c r="R234" s="89"/>
      <c r="S234" s="49">
        <v>0</v>
      </c>
      <c r="T234" s="49">
        <v>3</v>
      </c>
      <c r="U234" s="50">
        <v>1</v>
      </c>
      <c r="V234" s="50">
        <v>0.011494</v>
      </c>
      <c r="W234" s="50">
        <v>0</v>
      </c>
      <c r="X234" s="50">
        <v>1.224737</v>
      </c>
      <c r="Y234" s="50">
        <v>0.3333333333333333</v>
      </c>
      <c r="Z234" s="50">
        <v>0</v>
      </c>
      <c r="AA234" s="72">
        <v>234</v>
      </c>
      <c r="AB234" s="72"/>
      <c r="AC234" s="73"/>
      <c r="AD234" s="80" t="s">
        <v>1796</v>
      </c>
      <c r="AE234" s="80" t="s">
        <v>2500</v>
      </c>
      <c r="AF234" s="80"/>
      <c r="AG234" s="80"/>
      <c r="AH234" s="80"/>
      <c r="AI234" s="80"/>
      <c r="AJ234" s="87">
        <v>42725.4353125</v>
      </c>
      <c r="AK234" s="85" t="str">
        <f>HYPERLINK("https://yt3.ggpht.com/ytc/AAUvwni62NpZVZ4HIkzlwwBgxNm2HvtKHjgvFZaKXAyabA=s88-c-k-c0x00ffffff-no-rj")</f>
        <v>https://yt3.ggpht.com/ytc/AAUvwni62NpZVZ4HIkzlwwBgxNm2HvtKHjgvFZaKXAyabA=s88-c-k-c0x00ffffff-no-rj</v>
      </c>
      <c r="AL234" s="80">
        <v>11</v>
      </c>
      <c r="AM234" s="80">
        <v>0</v>
      </c>
      <c r="AN234" s="80">
        <v>29</v>
      </c>
      <c r="AO234" s="80" t="b">
        <v>0</v>
      </c>
      <c r="AP234" s="80">
        <v>6</v>
      </c>
      <c r="AQ234" s="80"/>
      <c r="AR234" s="80"/>
      <c r="AS234" s="80" t="s">
        <v>2664</v>
      </c>
      <c r="AT234" s="85" t="str">
        <f>HYPERLINK("https://www.youtube.com/channel/UCe9hfK183Q1xmpYMTJgULKQ")</f>
        <v>https://www.youtube.com/channel/UCe9hfK183Q1xmpYMTJgULKQ</v>
      </c>
      <c r="AU234" s="80" t="str">
        <f>REPLACE(INDEX(GroupVertices[Group],MATCH(Vertices[[#This Row],[Vertex]],GroupVertices[Vertex],0)),1,1,"")</f>
        <v>5</v>
      </c>
      <c r="AV234" s="49">
        <v>0</v>
      </c>
      <c r="AW234" s="50">
        <v>0</v>
      </c>
      <c r="AX234" s="49">
        <v>0</v>
      </c>
      <c r="AY234" s="50">
        <v>0</v>
      </c>
      <c r="AZ234" s="49">
        <v>0</v>
      </c>
      <c r="BA234" s="50">
        <v>0</v>
      </c>
      <c r="BB234" s="49">
        <v>5</v>
      </c>
      <c r="BC234" s="50">
        <v>100</v>
      </c>
      <c r="BD234" s="49">
        <v>5</v>
      </c>
      <c r="BE234" s="49"/>
      <c r="BF234" s="49"/>
      <c r="BG234" s="49"/>
      <c r="BH234" s="49"/>
      <c r="BI234" s="49"/>
      <c r="BJ234" s="49"/>
      <c r="BK234" s="111" t="s">
        <v>1114</v>
      </c>
      <c r="BL234" s="111" t="s">
        <v>1114</v>
      </c>
      <c r="BM234" s="111" t="s">
        <v>4309</v>
      </c>
      <c r="BN234" s="111" t="s">
        <v>4309</v>
      </c>
      <c r="BO234" s="2"/>
      <c r="BP234" s="3"/>
      <c r="BQ234" s="3"/>
      <c r="BR234" s="3"/>
      <c r="BS234" s="3"/>
    </row>
    <row r="235" spans="1:71" ht="15">
      <c r="A235" s="65" t="s">
        <v>438</v>
      </c>
      <c r="B235" s="66"/>
      <c r="C235" s="66"/>
      <c r="D235" s="67">
        <v>291.66666666666663</v>
      </c>
      <c r="E235" s="69"/>
      <c r="F235" s="103" t="str">
        <f>HYPERLINK("https://yt3.ggpht.com/ytc/AAUvwngtqRp8-vpVXPYqg4xANCtYFSS2tbMNfr3TThsA0A=s88-c-k-c0x00ffffff-no-rj")</f>
        <v>https://yt3.ggpht.com/ytc/AAUvwngtqRp8-vpVXPYqg4xANCtYFSS2tbMNfr3TThsA0A=s88-c-k-c0x00ffffff-no-rj</v>
      </c>
      <c r="G235" s="66"/>
      <c r="H235" s="70" t="s">
        <v>1797</v>
      </c>
      <c r="I235" s="71"/>
      <c r="J235" s="71" t="s">
        <v>159</v>
      </c>
      <c r="K235" s="70" t="s">
        <v>1797</v>
      </c>
      <c r="L235" s="74">
        <v>96.21904761904761</v>
      </c>
      <c r="M235" s="75">
        <v>4262.693359375</v>
      </c>
      <c r="N235" s="75">
        <v>4984.98583984375</v>
      </c>
      <c r="O235" s="76"/>
      <c r="P235" s="77"/>
      <c r="Q235" s="77"/>
      <c r="R235" s="89"/>
      <c r="S235" s="49">
        <v>1</v>
      </c>
      <c r="T235" s="49">
        <v>1</v>
      </c>
      <c r="U235" s="50">
        <v>0</v>
      </c>
      <c r="V235" s="50">
        <v>0.011364</v>
      </c>
      <c r="W235" s="50">
        <v>0</v>
      </c>
      <c r="X235" s="50">
        <v>0.849593</v>
      </c>
      <c r="Y235" s="50">
        <v>0.5</v>
      </c>
      <c r="Z235" s="50">
        <v>0</v>
      </c>
      <c r="AA235" s="72">
        <v>235</v>
      </c>
      <c r="AB235" s="72"/>
      <c r="AC235" s="73"/>
      <c r="AD235" s="80" t="s">
        <v>1797</v>
      </c>
      <c r="AE235" s="80" t="s">
        <v>2501</v>
      </c>
      <c r="AF235" s="80"/>
      <c r="AG235" s="80"/>
      <c r="AH235" s="80"/>
      <c r="AI235" s="80"/>
      <c r="AJ235" s="87">
        <v>43020.92150462963</v>
      </c>
      <c r="AK235" s="85" t="str">
        <f>HYPERLINK("https://yt3.ggpht.com/ytc/AAUvwngtqRp8-vpVXPYqg4xANCtYFSS2tbMNfr3TThsA0A=s88-c-k-c0x00ffffff-no-rj")</f>
        <v>https://yt3.ggpht.com/ytc/AAUvwngtqRp8-vpVXPYqg4xANCtYFSS2tbMNfr3TThsA0A=s88-c-k-c0x00ffffff-no-rj</v>
      </c>
      <c r="AL235" s="80">
        <v>0</v>
      </c>
      <c r="AM235" s="80">
        <v>0</v>
      </c>
      <c r="AN235" s="80">
        <v>6</v>
      </c>
      <c r="AO235" s="80" t="b">
        <v>0</v>
      </c>
      <c r="AP235" s="80">
        <v>0</v>
      </c>
      <c r="AQ235" s="80"/>
      <c r="AR235" s="80"/>
      <c r="AS235" s="80" t="s">
        <v>2664</v>
      </c>
      <c r="AT235" s="85" t="str">
        <f>HYPERLINK("https://www.youtube.com/channel/UCcC4IZqNHmwGIYAC3e6Y-ng")</f>
        <v>https://www.youtube.com/channel/UCcC4IZqNHmwGIYAC3e6Y-ng</v>
      </c>
      <c r="AU235" s="80" t="str">
        <f>REPLACE(INDEX(GroupVertices[Group],MATCH(Vertices[[#This Row],[Vertex]],GroupVertices[Vertex],0)),1,1,"")</f>
        <v>5</v>
      </c>
      <c r="AV235" s="49">
        <v>0</v>
      </c>
      <c r="AW235" s="50">
        <v>0</v>
      </c>
      <c r="AX235" s="49">
        <v>0</v>
      </c>
      <c r="AY235" s="50">
        <v>0</v>
      </c>
      <c r="AZ235" s="49">
        <v>0</v>
      </c>
      <c r="BA235" s="50">
        <v>0</v>
      </c>
      <c r="BB235" s="49">
        <v>5</v>
      </c>
      <c r="BC235" s="50">
        <v>100</v>
      </c>
      <c r="BD235" s="49">
        <v>5</v>
      </c>
      <c r="BE235" s="49"/>
      <c r="BF235" s="49"/>
      <c r="BG235" s="49"/>
      <c r="BH235" s="49"/>
      <c r="BI235" s="49"/>
      <c r="BJ235" s="49"/>
      <c r="BK235" s="111" t="s">
        <v>3844</v>
      </c>
      <c r="BL235" s="111" t="s">
        <v>3844</v>
      </c>
      <c r="BM235" s="111" t="s">
        <v>4310</v>
      </c>
      <c r="BN235" s="111" t="s">
        <v>4310</v>
      </c>
      <c r="BO235" s="2"/>
      <c r="BP235" s="3"/>
      <c r="BQ235" s="3"/>
      <c r="BR235" s="3"/>
      <c r="BS235" s="3"/>
    </row>
    <row r="236" spans="1:71" ht="15">
      <c r="A236" s="65" t="s">
        <v>439</v>
      </c>
      <c r="B236" s="66"/>
      <c r="C236" s="66"/>
      <c r="D236" s="67">
        <v>291.66666666666663</v>
      </c>
      <c r="E236" s="69"/>
      <c r="F236" s="103" t="str">
        <f>HYPERLINK("https://yt3.ggpht.com/w8ifKpeFN3SbW3Ovr7XjMTQKkO2PYB6-LXuByo9S4M106HwqVMnL_QDYemoX9F_IkmW7XrmyAlQ=s88-c-k-c0x00ffffff-no-rj")</f>
        <v>https://yt3.ggpht.com/w8ifKpeFN3SbW3Ovr7XjMTQKkO2PYB6-LXuByo9S4M106HwqVMnL_QDYemoX9F_IkmW7XrmyAlQ=s88-c-k-c0x00ffffff-no-rj</v>
      </c>
      <c r="G236" s="66"/>
      <c r="H236" s="70" t="s">
        <v>1798</v>
      </c>
      <c r="I236" s="71"/>
      <c r="J236" s="71" t="s">
        <v>159</v>
      </c>
      <c r="K236" s="70" t="s">
        <v>1798</v>
      </c>
      <c r="L236" s="74">
        <v>96.21904761904761</v>
      </c>
      <c r="M236" s="75">
        <v>4008.347412109375</v>
      </c>
      <c r="N236" s="75">
        <v>5099.8564453125</v>
      </c>
      <c r="O236" s="76"/>
      <c r="P236" s="77"/>
      <c r="Q236" s="77"/>
      <c r="R236" s="89"/>
      <c r="S236" s="49">
        <v>1</v>
      </c>
      <c r="T236" s="49">
        <v>1</v>
      </c>
      <c r="U236" s="50">
        <v>0</v>
      </c>
      <c r="V236" s="50">
        <v>0.011364</v>
      </c>
      <c r="W236" s="50">
        <v>0</v>
      </c>
      <c r="X236" s="50">
        <v>0.849593</v>
      </c>
      <c r="Y236" s="50">
        <v>0.5</v>
      </c>
      <c r="Z236" s="50">
        <v>0</v>
      </c>
      <c r="AA236" s="72">
        <v>236</v>
      </c>
      <c r="AB236" s="72"/>
      <c r="AC236" s="73"/>
      <c r="AD236" s="80" t="s">
        <v>1798</v>
      </c>
      <c r="AE236" s="80"/>
      <c r="AF236" s="80"/>
      <c r="AG236" s="80"/>
      <c r="AH236" s="80"/>
      <c r="AI236" s="80"/>
      <c r="AJ236" s="87">
        <v>43416.608611111114</v>
      </c>
      <c r="AK236" s="85" t="str">
        <f>HYPERLINK("https://yt3.ggpht.com/w8ifKpeFN3SbW3Ovr7XjMTQKkO2PYB6-LXuByo9S4M106HwqVMnL_QDYemoX9F_IkmW7XrmyAlQ=s88-c-k-c0x00ffffff-no-rj")</f>
        <v>https://yt3.ggpht.com/w8ifKpeFN3SbW3Ovr7XjMTQKkO2PYB6-LXuByo9S4M106HwqVMnL_QDYemoX9F_IkmW7XrmyAlQ=s88-c-k-c0x00ffffff-no-rj</v>
      </c>
      <c r="AL236" s="80">
        <v>206</v>
      </c>
      <c r="AM236" s="80">
        <v>0</v>
      </c>
      <c r="AN236" s="80">
        <v>16</v>
      </c>
      <c r="AO236" s="80" t="b">
        <v>0</v>
      </c>
      <c r="AP236" s="80">
        <v>12</v>
      </c>
      <c r="AQ236" s="80"/>
      <c r="AR236" s="80"/>
      <c r="AS236" s="80" t="s">
        <v>2664</v>
      </c>
      <c r="AT236" s="85" t="str">
        <f>HYPERLINK("https://www.youtube.com/channel/UCxhbi6OhggzKnO7bUeXbliw")</f>
        <v>https://www.youtube.com/channel/UCxhbi6OhggzKnO7bUeXbliw</v>
      </c>
      <c r="AU236" s="80" t="str">
        <f>REPLACE(INDEX(GroupVertices[Group],MATCH(Vertices[[#This Row],[Vertex]],GroupVertices[Vertex],0)),1,1,"")</f>
        <v>5</v>
      </c>
      <c r="AV236" s="49">
        <v>0</v>
      </c>
      <c r="AW236" s="50">
        <v>0</v>
      </c>
      <c r="AX236" s="49">
        <v>0</v>
      </c>
      <c r="AY236" s="50">
        <v>0</v>
      </c>
      <c r="AZ236" s="49">
        <v>0</v>
      </c>
      <c r="BA236" s="50">
        <v>0</v>
      </c>
      <c r="BB236" s="49">
        <v>1</v>
      </c>
      <c r="BC236" s="50">
        <v>100</v>
      </c>
      <c r="BD236" s="49">
        <v>1</v>
      </c>
      <c r="BE236" s="49"/>
      <c r="BF236" s="49"/>
      <c r="BG236" s="49"/>
      <c r="BH236" s="49"/>
      <c r="BI236" s="49"/>
      <c r="BJ236" s="49"/>
      <c r="BK236" s="111" t="s">
        <v>1113</v>
      </c>
      <c r="BL236" s="111" t="s">
        <v>1113</v>
      </c>
      <c r="BM236" s="111" t="s">
        <v>2390</v>
      </c>
      <c r="BN236" s="111" t="s">
        <v>2390</v>
      </c>
      <c r="BO236" s="2"/>
      <c r="BP236" s="3"/>
      <c r="BQ236" s="3"/>
      <c r="BR236" s="3"/>
      <c r="BS236" s="3"/>
    </row>
    <row r="237" spans="1:71" ht="15">
      <c r="A237" s="65" t="s">
        <v>440</v>
      </c>
      <c r="B237" s="66"/>
      <c r="C237" s="66"/>
      <c r="D237" s="67">
        <v>150</v>
      </c>
      <c r="E237" s="69"/>
      <c r="F237" s="103" t="str">
        <f>HYPERLINK("https://yt3.ggpht.com/ytc/AAUvwnjiK5w9MuB48tyPerZpY8rh68hbZHaxbgh04A=s88-c-k-c0x00ffffff-no-rj")</f>
        <v>https://yt3.ggpht.com/ytc/AAUvwnjiK5w9MuB48tyPerZpY8rh68hbZHaxbgh04A=s88-c-k-c0x00ffffff-no-rj</v>
      </c>
      <c r="G237" s="66"/>
      <c r="H237" s="70" t="s">
        <v>1799</v>
      </c>
      <c r="I237" s="71"/>
      <c r="J237" s="71" t="s">
        <v>159</v>
      </c>
      <c r="K237" s="70" t="s">
        <v>1799</v>
      </c>
      <c r="L237" s="74">
        <v>1</v>
      </c>
      <c r="M237" s="75">
        <v>4426.32568359375</v>
      </c>
      <c r="N237" s="75">
        <v>6343.29638671875</v>
      </c>
      <c r="O237" s="76"/>
      <c r="P237" s="77"/>
      <c r="Q237" s="77"/>
      <c r="R237" s="89"/>
      <c r="S237" s="49">
        <v>0</v>
      </c>
      <c r="T237" s="49">
        <v>1</v>
      </c>
      <c r="U237" s="50">
        <v>0</v>
      </c>
      <c r="V237" s="50">
        <v>0.007874</v>
      </c>
      <c r="W237" s="50">
        <v>0</v>
      </c>
      <c r="X237" s="50">
        <v>0.497068</v>
      </c>
      <c r="Y237" s="50">
        <v>0</v>
      </c>
      <c r="Z237" s="50">
        <v>0</v>
      </c>
      <c r="AA237" s="72">
        <v>237</v>
      </c>
      <c r="AB237" s="72"/>
      <c r="AC237" s="73"/>
      <c r="AD237" s="80" t="s">
        <v>1799</v>
      </c>
      <c r="AE237" s="80"/>
      <c r="AF237" s="80"/>
      <c r="AG237" s="80"/>
      <c r="AH237" s="80"/>
      <c r="AI237" s="80"/>
      <c r="AJ237" s="87">
        <v>43624.355891203704</v>
      </c>
      <c r="AK237" s="85" t="str">
        <f>HYPERLINK("https://yt3.ggpht.com/ytc/AAUvwnjiK5w9MuB48tyPerZpY8rh68hbZHaxbgh04A=s88-c-k-c0x00ffffff-no-rj")</f>
        <v>https://yt3.ggpht.com/ytc/AAUvwnjiK5w9MuB48tyPerZpY8rh68hbZHaxbgh04A=s88-c-k-c0x00ffffff-no-rj</v>
      </c>
      <c r="AL237" s="80">
        <v>0</v>
      </c>
      <c r="AM237" s="80">
        <v>0</v>
      </c>
      <c r="AN237" s="80">
        <v>0</v>
      </c>
      <c r="AO237" s="80" t="b">
        <v>0</v>
      </c>
      <c r="AP237" s="80">
        <v>0</v>
      </c>
      <c r="AQ237" s="80"/>
      <c r="AR237" s="80"/>
      <c r="AS237" s="80" t="s">
        <v>2664</v>
      </c>
      <c r="AT237" s="85" t="str">
        <f>HYPERLINK("https://www.youtube.com/channel/UCQmnCtBS2LgVNb7hVmDsvEQ")</f>
        <v>https://www.youtube.com/channel/UCQmnCtBS2LgVNb7hVmDsvEQ</v>
      </c>
      <c r="AU237" s="80" t="str">
        <f>REPLACE(INDEX(GroupVertices[Group],MATCH(Vertices[[#This Row],[Vertex]],GroupVertices[Vertex],0)),1,1,"")</f>
        <v>5</v>
      </c>
      <c r="AV237" s="49">
        <v>0</v>
      </c>
      <c r="AW237" s="50">
        <v>0</v>
      </c>
      <c r="AX237" s="49">
        <v>0</v>
      </c>
      <c r="AY237" s="50">
        <v>0</v>
      </c>
      <c r="AZ237" s="49">
        <v>0</v>
      </c>
      <c r="BA237" s="50">
        <v>0</v>
      </c>
      <c r="BB237" s="49">
        <v>6</v>
      </c>
      <c r="BC237" s="50">
        <v>100</v>
      </c>
      <c r="BD237" s="49">
        <v>6</v>
      </c>
      <c r="BE237" s="49"/>
      <c r="BF237" s="49"/>
      <c r="BG237" s="49"/>
      <c r="BH237" s="49"/>
      <c r="BI237" s="49"/>
      <c r="BJ237" s="49"/>
      <c r="BK237" s="111" t="s">
        <v>3845</v>
      </c>
      <c r="BL237" s="111" t="s">
        <v>4126</v>
      </c>
      <c r="BM237" s="111" t="s">
        <v>4311</v>
      </c>
      <c r="BN237" s="111" t="s">
        <v>4582</v>
      </c>
      <c r="BO237" s="2"/>
      <c r="BP237" s="3"/>
      <c r="BQ237" s="3"/>
      <c r="BR237" s="3"/>
      <c r="BS237" s="3"/>
    </row>
    <row r="238" spans="1:71" ht="15">
      <c r="A238" s="65" t="s">
        <v>441</v>
      </c>
      <c r="B238" s="66"/>
      <c r="C238" s="66"/>
      <c r="D238" s="67">
        <v>433.3333333333333</v>
      </c>
      <c r="E238" s="69"/>
      <c r="F238" s="103" t="str">
        <f>HYPERLINK("https://yt3.ggpht.com/ytc/AAUvwng1BwxZCQs8nK8BYSHYdhtv27A7uqoiHngSzSs6eg=s88-c-k-c0x00ffffff-no-rj")</f>
        <v>https://yt3.ggpht.com/ytc/AAUvwng1BwxZCQs8nK8BYSHYdhtv27A7uqoiHngSzSs6eg=s88-c-k-c0x00ffffff-no-rj</v>
      </c>
      <c r="G238" s="66"/>
      <c r="H238" s="70" t="s">
        <v>1800</v>
      </c>
      <c r="I238" s="71"/>
      <c r="J238" s="71" t="s">
        <v>75</v>
      </c>
      <c r="K238" s="70" t="s">
        <v>1800</v>
      </c>
      <c r="L238" s="74">
        <v>191.43809523809523</v>
      </c>
      <c r="M238" s="75">
        <v>4414.7158203125</v>
      </c>
      <c r="N238" s="75">
        <v>5549.2939453125</v>
      </c>
      <c r="O238" s="76"/>
      <c r="P238" s="77"/>
      <c r="Q238" s="77"/>
      <c r="R238" s="89"/>
      <c r="S238" s="49">
        <v>2</v>
      </c>
      <c r="T238" s="49">
        <v>3</v>
      </c>
      <c r="U238" s="50">
        <v>82</v>
      </c>
      <c r="V238" s="50">
        <v>0.011628</v>
      </c>
      <c r="W238" s="50">
        <v>0</v>
      </c>
      <c r="X238" s="50">
        <v>1.633261</v>
      </c>
      <c r="Y238" s="50">
        <v>0.16666666666666666</v>
      </c>
      <c r="Z238" s="50">
        <v>0</v>
      </c>
      <c r="AA238" s="72">
        <v>238</v>
      </c>
      <c r="AB238" s="72"/>
      <c r="AC238" s="73"/>
      <c r="AD238" s="80" t="s">
        <v>1800</v>
      </c>
      <c r="AE238" s="80"/>
      <c r="AF238" s="80"/>
      <c r="AG238" s="80"/>
      <c r="AH238" s="80"/>
      <c r="AI238" s="80"/>
      <c r="AJ238" s="87">
        <v>42505.7840625</v>
      </c>
      <c r="AK238" s="85" t="str">
        <f>HYPERLINK("https://yt3.ggpht.com/ytc/AAUvwng1BwxZCQs8nK8BYSHYdhtv27A7uqoiHngSzSs6eg=s88-c-k-c0x00ffffff-no-rj")</f>
        <v>https://yt3.ggpht.com/ytc/AAUvwng1BwxZCQs8nK8BYSHYdhtv27A7uqoiHngSzSs6eg=s88-c-k-c0x00ffffff-no-rj</v>
      </c>
      <c r="AL238" s="80">
        <v>0</v>
      </c>
      <c r="AM238" s="80">
        <v>0</v>
      </c>
      <c r="AN238" s="80">
        <v>0</v>
      </c>
      <c r="AO238" s="80" t="b">
        <v>0</v>
      </c>
      <c r="AP238" s="80">
        <v>0</v>
      </c>
      <c r="AQ238" s="80"/>
      <c r="AR238" s="80"/>
      <c r="AS238" s="80" t="s">
        <v>2664</v>
      </c>
      <c r="AT238" s="85" t="str">
        <f>HYPERLINK("https://www.youtube.com/channel/UCSxjlinkH_dpcqvI4gaOIqg")</f>
        <v>https://www.youtube.com/channel/UCSxjlinkH_dpcqvI4gaOIqg</v>
      </c>
      <c r="AU238" s="80" t="str">
        <f>REPLACE(INDEX(GroupVertices[Group],MATCH(Vertices[[#This Row],[Vertex]],GroupVertices[Vertex],0)),1,1,"")</f>
        <v>5</v>
      </c>
      <c r="AV238" s="49">
        <v>0</v>
      </c>
      <c r="AW238" s="50">
        <v>0</v>
      </c>
      <c r="AX238" s="49">
        <v>0</v>
      </c>
      <c r="AY238" s="50">
        <v>0</v>
      </c>
      <c r="AZ238" s="49">
        <v>0</v>
      </c>
      <c r="BA238" s="50">
        <v>0</v>
      </c>
      <c r="BB238" s="49">
        <v>8</v>
      </c>
      <c r="BC238" s="50">
        <v>100</v>
      </c>
      <c r="BD238" s="49">
        <v>8</v>
      </c>
      <c r="BE238" s="49"/>
      <c r="BF238" s="49"/>
      <c r="BG238" s="49"/>
      <c r="BH238" s="49"/>
      <c r="BI238" s="49"/>
      <c r="BJ238" s="49"/>
      <c r="BK238" s="111" t="s">
        <v>3846</v>
      </c>
      <c r="BL238" s="111" t="s">
        <v>3846</v>
      </c>
      <c r="BM238" s="111" t="s">
        <v>4312</v>
      </c>
      <c r="BN238" s="111" t="s">
        <v>4312</v>
      </c>
      <c r="BO238" s="2"/>
      <c r="BP238" s="3"/>
      <c r="BQ238" s="3"/>
      <c r="BR238" s="3"/>
      <c r="BS238" s="3"/>
    </row>
    <row r="239" spans="1:71" ht="15">
      <c r="A239" s="65" t="s">
        <v>442</v>
      </c>
      <c r="B239" s="66"/>
      <c r="C239" s="66"/>
      <c r="D239" s="67">
        <v>291.66666666666663</v>
      </c>
      <c r="E239" s="69"/>
      <c r="F239" s="103" t="str">
        <f>HYPERLINK("https://yt3.ggpht.com/ytc/AAUvwniZpHALY2vI7IBwz3oR4gWsgDNLtkVjdvn6IvqQlw=s88-c-k-c0x00ffffff-no-rj")</f>
        <v>https://yt3.ggpht.com/ytc/AAUvwniZpHALY2vI7IBwz3oR4gWsgDNLtkVjdvn6IvqQlw=s88-c-k-c0x00ffffff-no-rj</v>
      </c>
      <c r="G239" s="66"/>
      <c r="H239" s="70" t="s">
        <v>1801</v>
      </c>
      <c r="I239" s="71"/>
      <c r="J239" s="71" t="s">
        <v>159</v>
      </c>
      <c r="K239" s="70" t="s">
        <v>1801</v>
      </c>
      <c r="L239" s="74">
        <v>96.21904761904761</v>
      </c>
      <c r="M239" s="75">
        <v>4523.2646484375</v>
      </c>
      <c r="N239" s="75">
        <v>5428.6337890625</v>
      </c>
      <c r="O239" s="76"/>
      <c r="P239" s="77"/>
      <c r="Q239" s="77"/>
      <c r="R239" s="89"/>
      <c r="S239" s="49">
        <v>1</v>
      </c>
      <c r="T239" s="49">
        <v>1</v>
      </c>
      <c r="U239" s="50">
        <v>0</v>
      </c>
      <c r="V239" s="50">
        <v>0.011494</v>
      </c>
      <c r="W239" s="50">
        <v>0</v>
      </c>
      <c r="X239" s="50">
        <v>0.849652</v>
      </c>
      <c r="Y239" s="50">
        <v>0.5</v>
      </c>
      <c r="Z239" s="50">
        <v>0</v>
      </c>
      <c r="AA239" s="72">
        <v>239</v>
      </c>
      <c r="AB239" s="72"/>
      <c r="AC239" s="73"/>
      <c r="AD239" s="80" t="s">
        <v>1801</v>
      </c>
      <c r="AE239" s="80"/>
      <c r="AF239" s="80"/>
      <c r="AG239" s="80"/>
      <c r="AH239" s="80"/>
      <c r="AI239" s="80"/>
      <c r="AJ239" s="87">
        <v>43727.70416666667</v>
      </c>
      <c r="AK239" s="85" t="str">
        <f>HYPERLINK("https://yt3.ggpht.com/ytc/AAUvwniZpHALY2vI7IBwz3oR4gWsgDNLtkVjdvn6IvqQlw=s88-c-k-c0x00ffffff-no-rj")</f>
        <v>https://yt3.ggpht.com/ytc/AAUvwniZpHALY2vI7IBwz3oR4gWsgDNLtkVjdvn6IvqQlw=s88-c-k-c0x00ffffff-no-rj</v>
      </c>
      <c r="AL239" s="80">
        <v>0</v>
      </c>
      <c r="AM239" s="80">
        <v>0</v>
      </c>
      <c r="AN239" s="80">
        <v>0</v>
      </c>
      <c r="AO239" s="80" t="b">
        <v>0</v>
      </c>
      <c r="AP239" s="80">
        <v>0</v>
      </c>
      <c r="AQ239" s="80"/>
      <c r="AR239" s="80"/>
      <c r="AS239" s="80" t="s">
        <v>2664</v>
      </c>
      <c r="AT239" s="85" t="str">
        <f>HYPERLINK("https://www.youtube.com/channel/UCEGWyDisp2t9CSLMhOCUjcg")</f>
        <v>https://www.youtube.com/channel/UCEGWyDisp2t9CSLMhOCUjcg</v>
      </c>
      <c r="AU239" s="80" t="str">
        <f>REPLACE(INDEX(GroupVertices[Group],MATCH(Vertices[[#This Row],[Vertex]],GroupVertices[Vertex],0)),1,1,"")</f>
        <v>5</v>
      </c>
      <c r="AV239" s="49">
        <v>0</v>
      </c>
      <c r="AW239" s="50">
        <v>0</v>
      </c>
      <c r="AX239" s="49">
        <v>0</v>
      </c>
      <c r="AY239" s="50">
        <v>0</v>
      </c>
      <c r="AZ239" s="49">
        <v>0</v>
      </c>
      <c r="BA239" s="50">
        <v>0</v>
      </c>
      <c r="BB239" s="49">
        <v>1</v>
      </c>
      <c r="BC239" s="50">
        <v>100</v>
      </c>
      <c r="BD239" s="49">
        <v>1</v>
      </c>
      <c r="BE239" s="49"/>
      <c r="BF239" s="49"/>
      <c r="BG239" s="49"/>
      <c r="BH239" s="49"/>
      <c r="BI239" s="49"/>
      <c r="BJ239" s="49"/>
      <c r="BK239" s="111" t="s">
        <v>3847</v>
      </c>
      <c r="BL239" s="111" t="s">
        <v>3847</v>
      </c>
      <c r="BM239" s="111" t="s">
        <v>2390</v>
      </c>
      <c r="BN239" s="111" t="s">
        <v>2390</v>
      </c>
      <c r="BO239" s="2"/>
      <c r="BP239" s="3"/>
      <c r="BQ239" s="3"/>
      <c r="BR239" s="3"/>
      <c r="BS239" s="3"/>
    </row>
    <row r="240" spans="1:71" ht="15">
      <c r="A240" s="65" t="s">
        <v>443</v>
      </c>
      <c r="B240" s="66"/>
      <c r="C240" s="66"/>
      <c r="D240" s="67">
        <v>150</v>
      </c>
      <c r="E240" s="69"/>
      <c r="F240" s="103" t="str">
        <f>HYPERLINK("https://yt3.ggpht.com/ytc/AAUvwniiMxgB5TMSaDqBCTmFCBEhsu_nWVo3m9Va5A=s88-c-k-c0x00ffffff-no-rj")</f>
        <v>https://yt3.ggpht.com/ytc/AAUvwniiMxgB5TMSaDqBCTmFCBEhsu_nWVo3m9Va5A=s88-c-k-c0x00ffffff-no-rj</v>
      </c>
      <c r="G240" s="66"/>
      <c r="H240" s="70" t="s">
        <v>1802</v>
      </c>
      <c r="I240" s="71"/>
      <c r="J240" s="71" t="s">
        <v>159</v>
      </c>
      <c r="K240" s="70" t="s">
        <v>1802</v>
      </c>
      <c r="L240" s="74">
        <v>1</v>
      </c>
      <c r="M240" s="75">
        <v>4073.761474609375</v>
      </c>
      <c r="N240" s="75">
        <v>4231.64599609375</v>
      </c>
      <c r="O240" s="76"/>
      <c r="P240" s="77"/>
      <c r="Q240" s="77"/>
      <c r="R240" s="89"/>
      <c r="S240" s="49">
        <v>0</v>
      </c>
      <c r="T240" s="49">
        <v>1</v>
      </c>
      <c r="U240" s="50">
        <v>0</v>
      </c>
      <c r="V240" s="50">
        <v>0.011236</v>
      </c>
      <c r="W240" s="50">
        <v>0</v>
      </c>
      <c r="X240" s="50">
        <v>0.502584</v>
      </c>
      <c r="Y240" s="50">
        <v>0</v>
      </c>
      <c r="Z240" s="50">
        <v>0</v>
      </c>
      <c r="AA240" s="72">
        <v>240</v>
      </c>
      <c r="AB240" s="72"/>
      <c r="AC240" s="73"/>
      <c r="AD240" s="80" t="s">
        <v>1802</v>
      </c>
      <c r="AE240" s="80"/>
      <c r="AF240" s="80"/>
      <c r="AG240" s="80"/>
      <c r="AH240" s="80"/>
      <c r="AI240" s="80"/>
      <c r="AJ240" s="87">
        <v>44168.882893518516</v>
      </c>
      <c r="AK240" s="85" t="str">
        <f>HYPERLINK("https://yt3.ggpht.com/ytc/AAUvwniiMxgB5TMSaDqBCTmFCBEhsu_nWVo3m9Va5A=s88-c-k-c0x00ffffff-no-rj")</f>
        <v>https://yt3.ggpht.com/ytc/AAUvwniiMxgB5TMSaDqBCTmFCBEhsu_nWVo3m9Va5A=s88-c-k-c0x00ffffff-no-rj</v>
      </c>
      <c r="AL240" s="80">
        <v>0</v>
      </c>
      <c r="AM240" s="80">
        <v>0</v>
      </c>
      <c r="AN240" s="80">
        <v>0</v>
      </c>
      <c r="AO240" s="80" t="b">
        <v>0</v>
      </c>
      <c r="AP240" s="80">
        <v>0</v>
      </c>
      <c r="AQ240" s="80"/>
      <c r="AR240" s="80"/>
      <c r="AS240" s="80" t="s">
        <v>2664</v>
      </c>
      <c r="AT240" s="85" t="str">
        <f>HYPERLINK("https://www.youtube.com/channel/UCVPA_jZSz-I4Au3RCo9LHTg")</f>
        <v>https://www.youtube.com/channel/UCVPA_jZSz-I4Au3RCo9LHTg</v>
      </c>
      <c r="AU240" s="80" t="str">
        <f>REPLACE(INDEX(GroupVertices[Group],MATCH(Vertices[[#This Row],[Vertex]],GroupVertices[Vertex],0)),1,1,"")</f>
        <v>5</v>
      </c>
      <c r="AV240" s="49">
        <v>1</v>
      </c>
      <c r="AW240" s="50">
        <v>100</v>
      </c>
      <c r="AX240" s="49">
        <v>0</v>
      </c>
      <c r="AY240" s="50">
        <v>0</v>
      </c>
      <c r="AZ240" s="49">
        <v>0</v>
      </c>
      <c r="BA240" s="50">
        <v>0</v>
      </c>
      <c r="BB240" s="49">
        <v>0</v>
      </c>
      <c r="BC240" s="50">
        <v>0</v>
      </c>
      <c r="BD240" s="49">
        <v>1</v>
      </c>
      <c r="BE240" s="49"/>
      <c r="BF240" s="49"/>
      <c r="BG240" s="49"/>
      <c r="BH240" s="49"/>
      <c r="BI240" s="49"/>
      <c r="BJ240" s="49"/>
      <c r="BK240" s="111" t="s">
        <v>1030</v>
      </c>
      <c r="BL240" s="111" t="s">
        <v>1030</v>
      </c>
      <c r="BM240" s="111" t="s">
        <v>2390</v>
      </c>
      <c r="BN240" s="111" t="s">
        <v>2390</v>
      </c>
      <c r="BO240" s="2"/>
      <c r="BP240" s="3"/>
      <c r="BQ240" s="3"/>
      <c r="BR240" s="3"/>
      <c r="BS240" s="3"/>
    </row>
    <row r="241" spans="1:71" ht="15">
      <c r="A241" s="65" t="s">
        <v>444</v>
      </c>
      <c r="B241" s="66"/>
      <c r="C241" s="66"/>
      <c r="D241" s="67">
        <v>150</v>
      </c>
      <c r="E241" s="69"/>
      <c r="F241" s="103" t="str">
        <f>HYPERLINK("https://yt3.ggpht.com/ytc/AAUvwnjkK2BnDBrmBoDg-mIYNuaP5iNjuOASS1t7Dmuw=s88-c-k-c0x00ffffff-no-rj")</f>
        <v>https://yt3.ggpht.com/ytc/AAUvwnjkK2BnDBrmBoDg-mIYNuaP5iNjuOASS1t7Dmuw=s88-c-k-c0x00ffffff-no-rj</v>
      </c>
      <c r="G241" s="66"/>
      <c r="H241" s="70" t="s">
        <v>1803</v>
      </c>
      <c r="I241" s="71"/>
      <c r="J241" s="71" t="s">
        <v>159</v>
      </c>
      <c r="K241" s="70" t="s">
        <v>1803</v>
      </c>
      <c r="L241" s="74">
        <v>1</v>
      </c>
      <c r="M241" s="75">
        <v>9298.43359375</v>
      </c>
      <c r="N241" s="75">
        <v>2759.839599609375</v>
      </c>
      <c r="O241" s="76"/>
      <c r="P241" s="77"/>
      <c r="Q241" s="77"/>
      <c r="R241" s="89"/>
      <c r="S241" s="49">
        <v>0</v>
      </c>
      <c r="T241" s="49">
        <v>1</v>
      </c>
      <c r="U241" s="50">
        <v>0</v>
      </c>
      <c r="V241" s="50">
        <v>0.166667</v>
      </c>
      <c r="W241" s="50">
        <v>0</v>
      </c>
      <c r="X241" s="50">
        <v>0.637866</v>
      </c>
      <c r="Y241" s="50">
        <v>0</v>
      </c>
      <c r="Z241" s="50">
        <v>0</v>
      </c>
      <c r="AA241" s="72">
        <v>241</v>
      </c>
      <c r="AB241" s="72"/>
      <c r="AC241" s="73"/>
      <c r="AD241" s="80" t="s">
        <v>1803</v>
      </c>
      <c r="AE241" s="80" t="s">
        <v>2502</v>
      </c>
      <c r="AF241" s="80"/>
      <c r="AG241" s="80"/>
      <c r="AH241" s="80"/>
      <c r="AI241" s="80"/>
      <c r="AJ241" s="87">
        <v>43037.574166666665</v>
      </c>
      <c r="AK241" s="85" t="str">
        <f>HYPERLINK("https://yt3.ggpht.com/ytc/AAUvwnjkK2BnDBrmBoDg-mIYNuaP5iNjuOASS1t7Dmuw=s88-c-k-c0x00ffffff-no-rj")</f>
        <v>https://yt3.ggpht.com/ytc/AAUvwnjkK2BnDBrmBoDg-mIYNuaP5iNjuOASS1t7Dmuw=s88-c-k-c0x00ffffff-no-rj</v>
      </c>
      <c r="AL241" s="80">
        <v>0</v>
      </c>
      <c r="AM241" s="80">
        <v>0</v>
      </c>
      <c r="AN241" s="80">
        <v>120</v>
      </c>
      <c r="AO241" s="80" t="b">
        <v>0</v>
      </c>
      <c r="AP241" s="80">
        <v>0</v>
      </c>
      <c r="AQ241" s="80"/>
      <c r="AR241" s="80"/>
      <c r="AS241" s="80" t="s">
        <v>2664</v>
      </c>
      <c r="AT241" s="85" t="str">
        <f>HYPERLINK("https://www.youtube.com/channel/UC8Y45KtVOj8uJg3cnNzI_-Q")</f>
        <v>https://www.youtube.com/channel/UC8Y45KtVOj8uJg3cnNzI_-Q</v>
      </c>
      <c r="AU241" s="80" t="str">
        <f>REPLACE(INDEX(GroupVertices[Group],MATCH(Vertices[[#This Row],[Vertex]],GroupVertices[Vertex],0)),1,1,"")</f>
        <v>20</v>
      </c>
      <c r="AV241" s="49">
        <v>1</v>
      </c>
      <c r="AW241" s="50">
        <v>11.11111111111111</v>
      </c>
      <c r="AX241" s="49">
        <v>0</v>
      </c>
      <c r="AY241" s="50">
        <v>0</v>
      </c>
      <c r="AZ241" s="49">
        <v>0</v>
      </c>
      <c r="BA241" s="50">
        <v>0</v>
      </c>
      <c r="BB241" s="49">
        <v>8</v>
      </c>
      <c r="BC241" s="50">
        <v>88.88888888888889</v>
      </c>
      <c r="BD241" s="49">
        <v>9</v>
      </c>
      <c r="BE241" s="49"/>
      <c r="BF241" s="49"/>
      <c r="BG241" s="49"/>
      <c r="BH241" s="49"/>
      <c r="BI241" s="49"/>
      <c r="BJ241" s="49"/>
      <c r="BK241" s="111" t="s">
        <v>3848</v>
      </c>
      <c r="BL241" s="111" t="s">
        <v>3848</v>
      </c>
      <c r="BM241" s="111" t="s">
        <v>4313</v>
      </c>
      <c r="BN241" s="111" t="s">
        <v>4313</v>
      </c>
      <c r="BO241" s="2"/>
      <c r="BP241" s="3"/>
      <c r="BQ241" s="3"/>
      <c r="BR241" s="3"/>
      <c r="BS241" s="3"/>
    </row>
    <row r="242" spans="1:71" ht="15">
      <c r="A242" s="65" t="s">
        <v>446</v>
      </c>
      <c r="B242" s="66"/>
      <c r="C242" s="66"/>
      <c r="D242" s="67">
        <v>433.3333333333333</v>
      </c>
      <c r="E242" s="69"/>
      <c r="F242" s="103" t="str">
        <f>HYPERLINK("https://yt3.ggpht.com/ytc/AAUvwnhmAJbGIpXsZcTwM96o3oNz_tykqKiMdta4WMKTnrk=s88-c-k-c0x00ffffff-no-rj")</f>
        <v>https://yt3.ggpht.com/ytc/AAUvwnhmAJbGIpXsZcTwM96o3oNz_tykqKiMdta4WMKTnrk=s88-c-k-c0x00ffffff-no-rj</v>
      </c>
      <c r="G242" s="66"/>
      <c r="H242" s="70" t="s">
        <v>1805</v>
      </c>
      <c r="I242" s="71"/>
      <c r="J242" s="71" t="s">
        <v>75</v>
      </c>
      <c r="K242" s="70" t="s">
        <v>1805</v>
      </c>
      <c r="L242" s="74">
        <v>191.43809523809523</v>
      </c>
      <c r="M242" s="75">
        <v>9495.5224609375</v>
      </c>
      <c r="N242" s="75">
        <v>2511.241455078125</v>
      </c>
      <c r="O242" s="76"/>
      <c r="P242" s="77"/>
      <c r="Q242" s="77"/>
      <c r="R242" s="89"/>
      <c r="S242" s="49">
        <v>2</v>
      </c>
      <c r="T242" s="49">
        <v>1</v>
      </c>
      <c r="U242" s="50">
        <v>4</v>
      </c>
      <c r="V242" s="50">
        <v>0.25</v>
      </c>
      <c r="W242" s="50">
        <v>0</v>
      </c>
      <c r="X242" s="50">
        <v>1.147921</v>
      </c>
      <c r="Y242" s="50">
        <v>0</v>
      </c>
      <c r="Z242" s="50">
        <v>0.5</v>
      </c>
      <c r="AA242" s="72">
        <v>242</v>
      </c>
      <c r="AB242" s="72"/>
      <c r="AC242" s="73"/>
      <c r="AD242" s="80" t="s">
        <v>1805</v>
      </c>
      <c r="AE242" s="80"/>
      <c r="AF242" s="80"/>
      <c r="AG242" s="80"/>
      <c r="AH242" s="80"/>
      <c r="AI242" s="80"/>
      <c r="AJ242" s="87">
        <v>41100.9158912037</v>
      </c>
      <c r="AK242" s="85" t="str">
        <f>HYPERLINK("https://yt3.ggpht.com/ytc/AAUvwnhmAJbGIpXsZcTwM96o3oNz_tykqKiMdta4WMKTnrk=s88-c-k-c0x00ffffff-no-rj")</f>
        <v>https://yt3.ggpht.com/ytc/AAUvwnhmAJbGIpXsZcTwM96o3oNz_tykqKiMdta4WMKTnrk=s88-c-k-c0x00ffffff-no-rj</v>
      </c>
      <c r="AL242" s="80">
        <v>10</v>
      </c>
      <c r="AM242" s="80">
        <v>0</v>
      </c>
      <c r="AN242" s="80">
        <v>0</v>
      </c>
      <c r="AO242" s="80" t="b">
        <v>0</v>
      </c>
      <c r="AP242" s="80">
        <v>1</v>
      </c>
      <c r="AQ242" s="80"/>
      <c r="AR242" s="80"/>
      <c r="AS242" s="80" t="s">
        <v>2664</v>
      </c>
      <c r="AT242" s="85" t="str">
        <f>HYPERLINK("https://www.youtube.com/channel/UCFA76NhvEp8Fck7qolxM5nQ")</f>
        <v>https://www.youtube.com/channel/UCFA76NhvEp8Fck7qolxM5nQ</v>
      </c>
      <c r="AU242" s="80" t="str">
        <f>REPLACE(INDEX(GroupVertices[Group],MATCH(Vertices[[#This Row],[Vertex]],GroupVertices[Vertex],0)),1,1,"")</f>
        <v>20</v>
      </c>
      <c r="AV242" s="49">
        <v>1</v>
      </c>
      <c r="AW242" s="50">
        <v>12.5</v>
      </c>
      <c r="AX242" s="49">
        <v>0</v>
      </c>
      <c r="AY242" s="50">
        <v>0</v>
      </c>
      <c r="AZ242" s="49">
        <v>0</v>
      </c>
      <c r="BA242" s="50">
        <v>0</v>
      </c>
      <c r="BB242" s="49">
        <v>7</v>
      </c>
      <c r="BC242" s="50">
        <v>87.5</v>
      </c>
      <c r="BD242" s="49">
        <v>8</v>
      </c>
      <c r="BE242" s="49"/>
      <c r="BF242" s="49"/>
      <c r="BG242" s="49"/>
      <c r="BH242" s="49"/>
      <c r="BI242" s="49"/>
      <c r="BJ242" s="49"/>
      <c r="BK242" s="111" t="s">
        <v>3849</v>
      </c>
      <c r="BL242" s="111" t="s">
        <v>3849</v>
      </c>
      <c r="BM242" s="111" t="s">
        <v>4314</v>
      </c>
      <c r="BN242" s="111" t="s">
        <v>4314</v>
      </c>
      <c r="BO242" s="2"/>
      <c r="BP242" s="3"/>
      <c r="BQ242" s="3"/>
      <c r="BR242" s="3"/>
      <c r="BS242" s="3"/>
    </row>
    <row r="243" spans="1:71" ht="15">
      <c r="A243" s="65" t="s">
        <v>445</v>
      </c>
      <c r="B243" s="66"/>
      <c r="C243" s="66"/>
      <c r="D243" s="67">
        <v>575</v>
      </c>
      <c r="E243" s="69"/>
      <c r="F243" s="103" t="str">
        <f>HYPERLINK("https://yt3.ggpht.com/ytc/AAUvwniIYEojJWpla5D6D57LDQ-DZVVH1LXujof72HRrtw=s88-c-k-c0x00ffffff-no-rj")</f>
        <v>https://yt3.ggpht.com/ytc/AAUvwniIYEojJWpla5D6D57LDQ-DZVVH1LXujof72HRrtw=s88-c-k-c0x00ffffff-no-rj</v>
      </c>
      <c r="G243" s="66"/>
      <c r="H243" s="70" t="s">
        <v>1804</v>
      </c>
      <c r="I243" s="71"/>
      <c r="J243" s="71" t="s">
        <v>75</v>
      </c>
      <c r="K243" s="70" t="s">
        <v>1804</v>
      </c>
      <c r="L243" s="74">
        <v>286.65714285714284</v>
      </c>
      <c r="M243" s="75">
        <v>9692.82421875</v>
      </c>
      <c r="N243" s="75">
        <v>2263.2138671875</v>
      </c>
      <c r="O243" s="76"/>
      <c r="P243" s="77"/>
      <c r="Q243" s="77"/>
      <c r="R243" s="89"/>
      <c r="S243" s="49">
        <v>3</v>
      </c>
      <c r="T243" s="49">
        <v>3</v>
      </c>
      <c r="U243" s="50">
        <v>4</v>
      </c>
      <c r="V243" s="50">
        <v>0.25</v>
      </c>
      <c r="W243" s="50">
        <v>0</v>
      </c>
      <c r="X243" s="50">
        <v>1.608475</v>
      </c>
      <c r="Y243" s="50">
        <v>0</v>
      </c>
      <c r="Z243" s="50">
        <v>1</v>
      </c>
      <c r="AA243" s="72">
        <v>243</v>
      </c>
      <c r="AB243" s="72"/>
      <c r="AC243" s="73"/>
      <c r="AD243" s="80" t="s">
        <v>1804</v>
      </c>
      <c r="AE243" s="80" t="s">
        <v>2503</v>
      </c>
      <c r="AF243" s="80"/>
      <c r="AG243" s="80"/>
      <c r="AH243" s="80"/>
      <c r="AI243" s="80" t="s">
        <v>2637</v>
      </c>
      <c r="AJ243" s="87">
        <v>42507.528969907406</v>
      </c>
      <c r="AK243" s="85" t="str">
        <f>HYPERLINK("https://yt3.ggpht.com/ytc/AAUvwniIYEojJWpla5D6D57LDQ-DZVVH1LXujof72HRrtw=s88-c-k-c0x00ffffff-no-rj")</f>
        <v>https://yt3.ggpht.com/ytc/AAUvwniIYEojJWpla5D6D57LDQ-DZVVH1LXujof72HRrtw=s88-c-k-c0x00ffffff-no-rj</v>
      </c>
      <c r="AL243" s="80">
        <v>366261</v>
      </c>
      <c r="AM243" s="80">
        <v>0</v>
      </c>
      <c r="AN243" s="80">
        <v>5710</v>
      </c>
      <c r="AO243" s="80" t="b">
        <v>0</v>
      </c>
      <c r="AP243" s="80">
        <v>314</v>
      </c>
      <c r="AQ243" s="80"/>
      <c r="AR243" s="80"/>
      <c r="AS243" s="80" t="s">
        <v>2664</v>
      </c>
      <c r="AT243" s="85" t="str">
        <f>HYPERLINK("https://www.youtube.com/channel/UCwCK4I1ApV4gDpWxv3EvPAg")</f>
        <v>https://www.youtube.com/channel/UCwCK4I1ApV4gDpWxv3EvPAg</v>
      </c>
      <c r="AU243" s="80" t="str">
        <f>REPLACE(INDEX(GroupVertices[Group],MATCH(Vertices[[#This Row],[Vertex]],GroupVertices[Vertex],0)),1,1,"")</f>
        <v>20</v>
      </c>
      <c r="AV243" s="49">
        <v>3</v>
      </c>
      <c r="AW243" s="50">
        <v>7.894736842105263</v>
      </c>
      <c r="AX243" s="49">
        <v>0</v>
      </c>
      <c r="AY243" s="50">
        <v>0</v>
      </c>
      <c r="AZ243" s="49">
        <v>0</v>
      </c>
      <c r="BA243" s="50">
        <v>0</v>
      </c>
      <c r="BB243" s="49">
        <v>35</v>
      </c>
      <c r="BC243" s="50">
        <v>92.10526315789474</v>
      </c>
      <c r="BD243" s="49">
        <v>38</v>
      </c>
      <c r="BE243" s="49" t="s">
        <v>3430</v>
      </c>
      <c r="BF243" s="49" t="s">
        <v>3430</v>
      </c>
      <c r="BG243" s="49" t="s">
        <v>3486</v>
      </c>
      <c r="BH243" s="49" t="s">
        <v>3486</v>
      </c>
      <c r="BI243" s="49"/>
      <c r="BJ243" s="49"/>
      <c r="BK243" s="111" t="s">
        <v>3850</v>
      </c>
      <c r="BL243" s="111" t="s">
        <v>3850</v>
      </c>
      <c r="BM243" s="111" t="s">
        <v>4315</v>
      </c>
      <c r="BN243" s="111" t="s">
        <v>4315</v>
      </c>
      <c r="BO243" s="2"/>
      <c r="BP243" s="3"/>
      <c r="BQ243" s="3"/>
      <c r="BR243" s="3"/>
      <c r="BS243" s="3"/>
    </row>
    <row r="244" spans="1:71" ht="15">
      <c r="A244" s="65" t="s">
        <v>447</v>
      </c>
      <c r="B244" s="66"/>
      <c r="C244" s="66"/>
      <c r="D244" s="67">
        <v>291.66666666666663</v>
      </c>
      <c r="E244" s="69"/>
      <c r="F244" s="103" t="str">
        <f>HYPERLINK("https://yt3.ggpht.com/ytc/AAUvwnjD9Q15WOBtif_Wvwl3qtZYnMFFHhUTtaOLsg=s88-c-k-c0x00ffffff-no-rj")</f>
        <v>https://yt3.ggpht.com/ytc/AAUvwnjD9Q15WOBtif_Wvwl3qtZYnMFFHhUTtaOLsg=s88-c-k-c0x00ffffff-no-rj</v>
      </c>
      <c r="G244" s="66"/>
      <c r="H244" s="70" t="s">
        <v>1806</v>
      </c>
      <c r="I244" s="71"/>
      <c r="J244" s="71" t="s">
        <v>159</v>
      </c>
      <c r="K244" s="70" t="s">
        <v>1806</v>
      </c>
      <c r="L244" s="74">
        <v>96.21904761904761</v>
      </c>
      <c r="M244" s="75">
        <v>9892.853515625</v>
      </c>
      <c r="N244" s="75">
        <v>2022.9190673828125</v>
      </c>
      <c r="O244" s="76"/>
      <c r="P244" s="77"/>
      <c r="Q244" s="77"/>
      <c r="R244" s="89"/>
      <c r="S244" s="49">
        <v>1</v>
      </c>
      <c r="T244" s="49">
        <v>1</v>
      </c>
      <c r="U244" s="50">
        <v>0</v>
      </c>
      <c r="V244" s="50">
        <v>0.166667</v>
      </c>
      <c r="W244" s="50">
        <v>0</v>
      </c>
      <c r="X244" s="50">
        <v>0.605735</v>
      </c>
      <c r="Y244" s="50">
        <v>0</v>
      </c>
      <c r="Z244" s="50">
        <v>1</v>
      </c>
      <c r="AA244" s="72">
        <v>244</v>
      </c>
      <c r="AB244" s="72"/>
      <c r="AC244" s="73"/>
      <c r="AD244" s="80" t="s">
        <v>1806</v>
      </c>
      <c r="AE244" s="80"/>
      <c r="AF244" s="80"/>
      <c r="AG244" s="80"/>
      <c r="AH244" s="80"/>
      <c r="AI244" s="80"/>
      <c r="AJ244" s="87">
        <v>43912.656689814816</v>
      </c>
      <c r="AK244" s="85" t="str">
        <f>HYPERLINK("https://yt3.ggpht.com/ytc/AAUvwnjD9Q15WOBtif_Wvwl3qtZYnMFFHhUTtaOLsg=s88-c-k-c0x00ffffff-no-rj")</f>
        <v>https://yt3.ggpht.com/ytc/AAUvwnjD9Q15WOBtif_Wvwl3qtZYnMFFHhUTtaOLsg=s88-c-k-c0x00ffffff-no-rj</v>
      </c>
      <c r="AL244" s="80">
        <v>0</v>
      </c>
      <c r="AM244" s="80">
        <v>0</v>
      </c>
      <c r="AN244" s="80">
        <v>0</v>
      </c>
      <c r="AO244" s="80" t="b">
        <v>0</v>
      </c>
      <c r="AP244" s="80">
        <v>0</v>
      </c>
      <c r="AQ244" s="80"/>
      <c r="AR244" s="80"/>
      <c r="AS244" s="80" t="s">
        <v>2664</v>
      </c>
      <c r="AT244" s="85" t="str">
        <f>HYPERLINK("https://www.youtube.com/channel/UC41RPWl3MoEeDf9pNzNbOzw")</f>
        <v>https://www.youtube.com/channel/UC41RPWl3MoEeDf9pNzNbOzw</v>
      </c>
      <c r="AU244" s="80" t="str">
        <f>REPLACE(INDEX(GroupVertices[Group],MATCH(Vertices[[#This Row],[Vertex]],GroupVertices[Vertex],0)),1,1,"")</f>
        <v>20</v>
      </c>
      <c r="AV244" s="49">
        <v>2</v>
      </c>
      <c r="AW244" s="50">
        <v>50</v>
      </c>
      <c r="AX244" s="49">
        <v>0</v>
      </c>
      <c r="AY244" s="50">
        <v>0</v>
      </c>
      <c r="AZ244" s="49">
        <v>0</v>
      </c>
      <c r="BA244" s="50">
        <v>0</v>
      </c>
      <c r="BB244" s="49">
        <v>2</v>
      </c>
      <c r="BC244" s="50">
        <v>50</v>
      </c>
      <c r="BD244" s="49">
        <v>4</v>
      </c>
      <c r="BE244" s="49"/>
      <c r="BF244" s="49"/>
      <c r="BG244" s="49"/>
      <c r="BH244" s="49"/>
      <c r="BI244" s="49"/>
      <c r="BJ244" s="49"/>
      <c r="BK244" s="111" t="s">
        <v>3851</v>
      </c>
      <c r="BL244" s="111" t="s">
        <v>3851</v>
      </c>
      <c r="BM244" s="111" t="s">
        <v>4316</v>
      </c>
      <c r="BN244" s="111" t="s">
        <v>4316</v>
      </c>
      <c r="BO244" s="2"/>
      <c r="BP244" s="3"/>
      <c r="BQ244" s="3"/>
      <c r="BR244" s="3"/>
      <c r="BS244" s="3"/>
    </row>
    <row r="245" spans="1:71" ht="15">
      <c r="A245" s="65" t="s">
        <v>448</v>
      </c>
      <c r="B245" s="66"/>
      <c r="C245" s="66"/>
      <c r="D245" s="67">
        <v>150</v>
      </c>
      <c r="E245" s="69"/>
      <c r="F245" s="103" t="str">
        <f>HYPERLINK("https://yt3.ggpht.com/ytc/AAUvwnhCT5viXLlb8d5D3rj65Ly7praJPqAhl4pOu9H2=s88-c-k-c0x00ffffff-no-rj")</f>
        <v>https://yt3.ggpht.com/ytc/AAUvwnhCT5viXLlb8d5D3rj65Ly7praJPqAhl4pOu9H2=s88-c-k-c0x00ffffff-no-rj</v>
      </c>
      <c r="G245" s="66"/>
      <c r="H245" s="70" t="s">
        <v>1807</v>
      </c>
      <c r="I245" s="71"/>
      <c r="J245" s="71" t="s">
        <v>159</v>
      </c>
      <c r="K245" s="70" t="s">
        <v>1807</v>
      </c>
      <c r="L245" s="74">
        <v>1</v>
      </c>
      <c r="M245" s="75">
        <v>7076.634765625</v>
      </c>
      <c r="N245" s="75">
        <v>5365.2490234375</v>
      </c>
      <c r="O245" s="76"/>
      <c r="P245" s="77"/>
      <c r="Q245" s="77"/>
      <c r="R245" s="89"/>
      <c r="S245" s="49">
        <v>0</v>
      </c>
      <c r="T245" s="49">
        <v>1</v>
      </c>
      <c r="U245" s="50">
        <v>0</v>
      </c>
      <c r="V245" s="50">
        <v>0.015873</v>
      </c>
      <c r="W245" s="50">
        <v>0</v>
      </c>
      <c r="X245" s="50">
        <v>0.528105</v>
      </c>
      <c r="Y245" s="50">
        <v>0</v>
      </c>
      <c r="Z245" s="50">
        <v>0</v>
      </c>
      <c r="AA245" s="72">
        <v>245</v>
      </c>
      <c r="AB245" s="72"/>
      <c r="AC245" s="73"/>
      <c r="AD245" s="80" t="s">
        <v>1807</v>
      </c>
      <c r="AE245" s="80" t="s">
        <v>2504</v>
      </c>
      <c r="AF245" s="80"/>
      <c r="AG245" s="80"/>
      <c r="AH245" s="80"/>
      <c r="AI245" s="80"/>
      <c r="AJ245" s="87">
        <v>43686.755266203705</v>
      </c>
      <c r="AK245" s="85" t="str">
        <f>HYPERLINK("https://yt3.ggpht.com/ytc/AAUvwnhCT5viXLlb8d5D3rj65Ly7praJPqAhl4pOu9H2=s88-c-k-c0x00ffffff-no-rj")</f>
        <v>https://yt3.ggpht.com/ytc/AAUvwnhCT5viXLlb8d5D3rj65Ly7praJPqAhl4pOu9H2=s88-c-k-c0x00ffffff-no-rj</v>
      </c>
      <c r="AL245" s="80">
        <v>106</v>
      </c>
      <c r="AM245" s="80">
        <v>0</v>
      </c>
      <c r="AN245" s="80">
        <v>4</v>
      </c>
      <c r="AO245" s="80" t="b">
        <v>0</v>
      </c>
      <c r="AP245" s="80">
        <v>7</v>
      </c>
      <c r="AQ245" s="80"/>
      <c r="AR245" s="80"/>
      <c r="AS245" s="80" t="s">
        <v>2664</v>
      </c>
      <c r="AT245" s="85" t="str">
        <f>HYPERLINK("https://www.youtube.com/channel/UCGygswvJxod6i7MCGCBlKIg")</f>
        <v>https://www.youtube.com/channel/UCGygswvJxod6i7MCGCBlKIg</v>
      </c>
      <c r="AU245" s="80" t="str">
        <f>REPLACE(INDEX(GroupVertices[Group],MATCH(Vertices[[#This Row],[Vertex]],GroupVertices[Vertex],0)),1,1,"")</f>
        <v>7</v>
      </c>
      <c r="AV245" s="49">
        <v>0</v>
      </c>
      <c r="AW245" s="50">
        <v>0</v>
      </c>
      <c r="AX245" s="49">
        <v>0</v>
      </c>
      <c r="AY245" s="50">
        <v>0</v>
      </c>
      <c r="AZ245" s="49">
        <v>0</v>
      </c>
      <c r="BA245" s="50">
        <v>0</v>
      </c>
      <c r="BB245" s="49">
        <v>3</v>
      </c>
      <c r="BC245" s="50">
        <v>100</v>
      </c>
      <c r="BD245" s="49">
        <v>3</v>
      </c>
      <c r="BE245" s="49"/>
      <c r="BF245" s="49"/>
      <c r="BG245" s="49"/>
      <c r="BH245" s="49"/>
      <c r="BI245" s="49"/>
      <c r="BJ245" s="49"/>
      <c r="BK245" s="111" t="s">
        <v>3852</v>
      </c>
      <c r="BL245" s="111" t="s">
        <v>3852</v>
      </c>
      <c r="BM245" s="111" t="s">
        <v>4317</v>
      </c>
      <c r="BN245" s="111" t="s">
        <v>4317</v>
      </c>
      <c r="BO245" s="2"/>
      <c r="BP245" s="3"/>
      <c r="BQ245" s="3"/>
      <c r="BR245" s="3"/>
      <c r="BS245" s="3"/>
    </row>
    <row r="246" spans="1:71" ht="15">
      <c r="A246" s="65" t="s">
        <v>455</v>
      </c>
      <c r="B246" s="66"/>
      <c r="C246" s="66"/>
      <c r="D246" s="67">
        <v>1000</v>
      </c>
      <c r="E246" s="69"/>
      <c r="F246" s="103" t="str">
        <f>HYPERLINK("https://yt3.ggpht.com/NNhptn1bW7hZI41bb4ybIHuZE5AAgqniPs3j00dEI1b8EbsSYrOSBSheELbcRgi6rdWxhQDKdsU=s88-c-k-c0x00ffffff-no-rj")</f>
        <v>https://yt3.ggpht.com/NNhptn1bW7hZI41bb4ybIHuZE5AAgqniPs3j00dEI1b8EbsSYrOSBSheELbcRgi6rdWxhQDKdsU=s88-c-k-c0x00ffffff-no-rj</v>
      </c>
      <c r="G246" s="66"/>
      <c r="H246" s="70" t="s">
        <v>1814</v>
      </c>
      <c r="I246" s="71"/>
      <c r="J246" s="71" t="s">
        <v>75</v>
      </c>
      <c r="K246" s="70" t="s">
        <v>1814</v>
      </c>
      <c r="L246" s="74">
        <v>2857.5714285714284</v>
      </c>
      <c r="M246" s="75">
        <v>6240.37744140625</v>
      </c>
      <c r="N246" s="75">
        <v>5608.86083984375</v>
      </c>
      <c r="O246" s="76"/>
      <c r="P246" s="77"/>
      <c r="Q246" s="77"/>
      <c r="R246" s="89"/>
      <c r="S246" s="49">
        <v>30</v>
      </c>
      <c r="T246" s="49">
        <v>10</v>
      </c>
      <c r="U246" s="50">
        <v>926</v>
      </c>
      <c r="V246" s="50">
        <v>0.030303</v>
      </c>
      <c r="W246" s="50">
        <v>0</v>
      </c>
      <c r="X246" s="50">
        <v>13.344902</v>
      </c>
      <c r="Y246" s="50">
        <v>0</v>
      </c>
      <c r="Z246" s="50">
        <v>0.3103448275862069</v>
      </c>
      <c r="AA246" s="72">
        <v>246</v>
      </c>
      <c r="AB246" s="72"/>
      <c r="AC246" s="73"/>
      <c r="AD246" s="80" t="s">
        <v>1814</v>
      </c>
      <c r="AE246" s="80" t="s">
        <v>2505</v>
      </c>
      <c r="AF246" s="80"/>
      <c r="AG246" s="80"/>
      <c r="AH246" s="80"/>
      <c r="AI246" s="80" t="s">
        <v>2638</v>
      </c>
      <c r="AJ246" s="87">
        <v>43198.56851851852</v>
      </c>
      <c r="AK246" s="85" t="str">
        <f>HYPERLINK("https://yt3.ggpht.com/NNhptn1bW7hZI41bb4ybIHuZE5AAgqniPs3j00dEI1b8EbsSYrOSBSheELbcRgi6rdWxhQDKdsU=s88-c-k-c0x00ffffff-no-rj")</f>
        <v>https://yt3.ggpht.com/NNhptn1bW7hZI41bb4ybIHuZE5AAgqniPs3j00dEI1b8EbsSYrOSBSheELbcRgi6rdWxhQDKdsU=s88-c-k-c0x00ffffff-no-rj</v>
      </c>
      <c r="AL246" s="80">
        <v>17880909</v>
      </c>
      <c r="AM246" s="80">
        <v>0</v>
      </c>
      <c r="AN246" s="80">
        <v>165000</v>
      </c>
      <c r="AO246" s="80" t="b">
        <v>0</v>
      </c>
      <c r="AP246" s="80">
        <v>1359</v>
      </c>
      <c r="AQ246" s="80"/>
      <c r="AR246" s="80"/>
      <c r="AS246" s="80" t="s">
        <v>2664</v>
      </c>
      <c r="AT246" s="85" t="str">
        <f>HYPERLINK("https://www.youtube.com/channel/UCIujpQDjxt8TLzSMzuXAjjw")</f>
        <v>https://www.youtube.com/channel/UCIujpQDjxt8TLzSMzuXAjjw</v>
      </c>
      <c r="AU246" s="80" t="str">
        <f>REPLACE(INDEX(GroupVertices[Group],MATCH(Vertices[[#This Row],[Vertex]],GroupVertices[Vertex],0)),1,1,"")</f>
        <v>7</v>
      </c>
      <c r="AV246" s="49">
        <v>2</v>
      </c>
      <c r="AW246" s="50">
        <v>1.2422360248447204</v>
      </c>
      <c r="AX246" s="49">
        <v>1</v>
      </c>
      <c r="AY246" s="50">
        <v>0.6211180124223602</v>
      </c>
      <c r="AZ246" s="49">
        <v>0</v>
      </c>
      <c r="BA246" s="50">
        <v>0</v>
      </c>
      <c r="BB246" s="49">
        <v>158</v>
      </c>
      <c r="BC246" s="50">
        <v>98.13664596273291</v>
      </c>
      <c r="BD246" s="49">
        <v>161</v>
      </c>
      <c r="BE246" s="49" t="s">
        <v>3480</v>
      </c>
      <c r="BF246" s="49" t="s">
        <v>3480</v>
      </c>
      <c r="BG246" s="49" t="s">
        <v>3507</v>
      </c>
      <c r="BH246" s="49" t="s">
        <v>3507</v>
      </c>
      <c r="BI246" s="49"/>
      <c r="BJ246" s="49"/>
      <c r="BK246" s="111" t="s">
        <v>3853</v>
      </c>
      <c r="BL246" s="111" t="s">
        <v>3853</v>
      </c>
      <c r="BM246" s="111" t="s">
        <v>4318</v>
      </c>
      <c r="BN246" s="111" t="s">
        <v>4318</v>
      </c>
      <c r="BO246" s="2"/>
      <c r="BP246" s="3"/>
      <c r="BQ246" s="3"/>
      <c r="BR246" s="3"/>
      <c r="BS246" s="3"/>
    </row>
    <row r="247" spans="1:71" ht="15">
      <c r="A247" s="65" t="s">
        <v>449</v>
      </c>
      <c r="B247" s="66"/>
      <c r="C247" s="66"/>
      <c r="D247" s="67">
        <v>150</v>
      </c>
      <c r="E247" s="69"/>
      <c r="F247" s="103" t="str">
        <f>HYPERLINK("https://yt3.ggpht.com/ytc/AAUvwnjQqmywK-yL_cQqhk2j5b-Jau6sfbGEyIVieUWJ6Q=s88-c-k-c0x00ffffff-no-rj")</f>
        <v>https://yt3.ggpht.com/ytc/AAUvwnjQqmywK-yL_cQqhk2j5b-Jau6sfbGEyIVieUWJ6Q=s88-c-k-c0x00ffffff-no-rj</v>
      </c>
      <c r="G247" s="66"/>
      <c r="H247" s="70" t="s">
        <v>1808</v>
      </c>
      <c r="I247" s="71"/>
      <c r="J247" s="71" t="s">
        <v>159</v>
      </c>
      <c r="K247" s="70" t="s">
        <v>1808</v>
      </c>
      <c r="L247" s="74">
        <v>1</v>
      </c>
      <c r="M247" s="75">
        <v>6570.20751953125</v>
      </c>
      <c r="N247" s="75">
        <v>5185.80908203125</v>
      </c>
      <c r="O247" s="76"/>
      <c r="P247" s="77"/>
      <c r="Q247" s="77"/>
      <c r="R247" s="89"/>
      <c r="S247" s="49">
        <v>0</v>
      </c>
      <c r="T247" s="49">
        <v>1</v>
      </c>
      <c r="U247" s="50">
        <v>0</v>
      </c>
      <c r="V247" s="50">
        <v>0.015873</v>
      </c>
      <c r="W247" s="50">
        <v>0</v>
      </c>
      <c r="X247" s="50">
        <v>0.528105</v>
      </c>
      <c r="Y247" s="50">
        <v>0</v>
      </c>
      <c r="Z247" s="50">
        <v>0</v>
      </c>
      <c r="AA247" s="72">
        <v>247</v>
      </c>
      <c r="AB247" s="72"/>
      <c r="AC247" s="73"/>
      <c r="AD247" s="80" t="s">
        <v>1808</v>
      </c>
      <c r="AE247" s="80"/>
      <c r="AF247" s="80"/>
      <c r="AG247" s="80"/>
      <c r="AH247" s="80"/>
      <c r="AI247" s="80"/>
      <c r="AJ247" s="87">
        <v>43669.60556712963</v>
      </c>
      <c r="AK247" s="85" t="str">
        <f>HYPERLINK("https://yt3.ggpht.com/ytc/AAUvwnjQqmywK-yL_cQqhk2j5b-Jau6sfbGEyIVieUWJ6Q=s88-c-k-c0x00ffffff-no-rj")</f>
        <v>https://yt3.ggpht.com/ytc/AAUvwnjQqmywK-yL_cQqhk2j5b-Jau6sfbGEyIVieUWJ6Q=s88-c-k-c0x00ffffff-no-rj</v>
      </c>
      <c r="AL247" s="80">
        <v>22</v>
      </c>
      <c r="AM247" s="80">
        <v>0</v>
      </c>
      <c r="AN247" s="80">
        <v>6</v>
      </c>
      <c r="AO247" s="80" t="b">
        <v>0</v>
      </c>
      <c r="AP247" s="80">
        <v>3</v>
      </c>
      <c r="AQ247" s="80"/>
      <c r="AR247" s="80"/>
      <c r="AS247" s="80" t="s">
        <v>2664</v>
      </c>
      <c r="AT247" s="85" t="str">
        <f>HYPERLINK("https://www.youtube.com/channel/UCuS9KW_UfhJhTv1vI1kAH8Q")</f>
        <v>https://www.youtube.com/channel/UCuS9KW_UfhJhTv1vI1kAH8Q</v>
      </c>
      <c r="AU247" s="80" t="str">
        <f>REPLACE(INDEX(GroupVertices[Group],MATCH(Vertices[[#This Row],[Vertex]],GroupVertices[Vertex],0)),1,1,"")</f>
        <v>7</v>
      </c>
      <c r="AV247" s="49">
        <v>0</v>
      </c>
      <c r="AW247" s="50">
        <v>0</v>
      </c>
      <c r="AX247" s="49">
        <v>0</v>
      </c>
      <c r="AY247" s="50">
        <v>0</v>
      </c>
      <c r="AZ247" s="49">
        <v>0</v>
      </c>
      <c r="BA247" s="50">
        <v>0</v>
      </c>
      <c r="BB247" s="49">
        <v>2</v>
      </c>
      <c r="BC247" s="50">
        <v>100</v>
      </c>
      <c r="BD247" s="49">
        <v>2</v>
      </c>
      <c r="BE247" s="49"/>
      <c r="BF247" s="49"/>
      <c r="BG247" s="49"/>
      <c r="BH247" s="49"/>
      <c r="BI247" s="49"/>
      <c r="BJ247" s="49"/>
      <c r="BK247" s="111" t="s">
        <v>2716</v>
      </c>
      <c r="BL247" s="111" t="s">
        <v>2716</v>
      </c>
      <c r="BM247" s="111" t="s">
        <v>2390</v>
      </c>
      <c r="BN247" s="111" t="s">
        <v>2390</v>
      </c>
      <c r="BO247" s="2"/>
      <c r="BP247" s="3"/>
      <c r="BQ247" s="3"/>
      <c r="BR247" s="3"/>
      <c r="BS247" s="3"/>
    </row>
    <row r="248" spans="1:71" ht="15">
      <c r="A248" s="65" t="s">
        <v>450</v>
      </c>
      <c r="B248" s="66"/>
      <c r="C248" s="66"/>
      <c r="D248" s="67">
        <v>150</v>
      </c>
      <c r="E248" s="69"/>
      <c r="F248" s="103" t="str">
        <f>HYPERLINK("https://yt3.ggpht.com/ytc/AAUvwnhsTjJT2coppnh-0qkPWnrL_7vkE8qzJtbcCcqn=s88-c-k-c0x00ffffff-no-rj")</f>
        <v>https://yt3.ggpht.com/ytc/AAUvwnhsTjJT2coppnh-0qkPWnrL_7vkE8qzJtbcCcqn=s88-c-k-c0x00ffffff-no-rj</v>
      </c>
      <c r="G248" s="66"/>
      <c r="H248" s="70" t="s">
        <v>1809</v>
      </c>
      <c r="I248" s="71"/>
      <c r="J248" s="71" t="s">
        <v>159</v>
      </c>
      <c r="K248" s="70" t="s">
        <v>1809</v>
      </c>
      <c r="L248" s="74">
        <v>1</v>
      </c>
      <c r="M248" s="75">
        <v>6942.55615234375</v>
      </c>
      <c r="N248" s="75">
        <v>4435.97265625</v>
      </c>
      <c r="O248" s="76"/>
      <c r="P248" s="77"/>
      <c r="Q248" s="77"/>
      <c r="R248" s="89"/>
      <c r="S248" s="49">
        <v>0</v>
      </c>
      <c r="T248" s="49">
        <v>1</v>
      </c>
      <c r="U248" s="50">
        <v>0</v>
      </c>
      <c r="V248" s="50">
        <v>0.010989</v>
      </c>
      <c r="W248" s="50">
        <v>0</v>
      </c>
      <c r="X248" s="50">
        <v>0.586215</v>
      </c>
      <c r="Y248" s="50">
        <v>0</v>
      </c>
      <c r="Z248" s="50">
        <v>0</v>
      </c>
      <c r="AA248" s="72">
        <v>248</v>
      </c>
      <c r="AB248" s="72"/>
      <c r="AC248" s="73"/>
      <c r="AD248" s="80" t="s">
        <v>1809</v>
      </c>
      <c r="AE248" s="80"/>
      <c r="AF248" s="80"/>
      <c r="AG248" s="80"/>
      <c r="AH248" s="80"/>
      <c r="AI248" s="80"/>
      <c r="AJ248" s="87">
        <v>43757.72646990741</v>
      </c>
      <c r="AK248" s="85" t="str">
        <f>HYPERLINK("https://yt3.ggpht.com/ytc/AAUvwnhsTjJT2coppnh-0qkPWnrL_7vkE8qzJtbcCcqn=s88-c-k-c0x00ffffff-no-rj")</f>
        <v>https://yt3.ggpht.com/ytc/AAUvwnhsTjJT2coppnh-0qkPWnrL_7vkE8qzJtbcCcqn=s88-c-k-c0x00ffffff-no-rj</v>
      </c>
      <c r="AL248" s="80">
        <v>0</v>
      </c>
      <c r="AM248" s="80">
        <v>0</v>
      </c>
      <c r="AN248" s="80">
        <v>1</v>
      </c>
      <c r="AO248" s="80" t="b">
        <v>0</v>
      </c>
      <c r="AP248" s="80">
        <v>0</v>
      </c>
      <c r="AQ248" s="80"/>
      <c r="AR248" s="80"/>
      <c r="AS248" s="80" t="s">
        <v>2664</v>
      </c>
      <c r="AT248" s="85" t="str">
        <f>HYPERLINK("https://www.youtube.com/channel/UCaM4QVw7iINFe5FN4o6_BZw")</f>
        <v>https://www.youtube.com/channel/UCaM4QVw7iINFe5FN4o6_BZw</v>
      </c>
      <c r="AU248" s="80" t="str">
        <f>REPLACE(INDEX(GroupVertices[Group],MATCH(Vertices[[#This Row],[Vertex]],GroupVertices[Vertex],0)),1,1,"")</f>
        <v>7</v>
      </c>
      <c r="AV248" s="49">
        <v>0</v>
      </c>
      <c r="AW248" s="50">
        <v>0</v>
      </c>
      <c r="AX248" s="49">
        <v>0</v>
      </c>
      <c r="AY248" s="50">
        <v>0</v>
      </c>
      <c r="AZ248" s="49">
        <v>0</v>
      </c>
      <c r="BA248" s="50">
        <v>0</v>
      </c>
      <c r="BB248" s="49">
        <v>7</v>
      </c>
      <c r="BC248" s="50">
        <v>100</v>
      </c>
      <c r="BD248" s="49">
        <v>7</v>
      </c>
      <c r="BE248" s="49"/>
      <c r="BF248" s="49"/>
      <c r="BG248" s="49"/>
      <c r="BH248" s="49"/>
      <c r="BI248" s="49"/>
      <c r="BJ248" s="49"/>
      <c r="BK248" s="111" t="s">
        <v>3854</v>
      </c>
      <c r="BL248" s="111" t="s">
        <v>3854</v>
      </c>
      <c r="BM248" s="111" t="s">
        <v>4319</v>
      </c>
      <c r="BN248" s="111" t="s">
        <v>4319</v>
      </c>
      <c r="BO248" s="2"/>
      <c r="BP248" s="3"/>
      <c r="BQ248" s="3"/>
      <c r="BR248" s="3"/>
      <c r="BS248" s="3"/>
    </row>
    <row r="249" spans="1:71" ht="15">
      <c r="A249" s="65" t="s">
        <v>451</v>
      </c>
      <c r="B249" s="66"/>
      <c r="C249" s="66"/>
      <c r="D249" s="67">
        <v>291.66666666666663</v>
      </c>
      <c r="E249" s="69"/>
      <c r="F249" s="103" t="str">
        <f>HYPERLINK("https://yt3.ggpht.com/ytc/AAUvwniWzQsK7tyEetPpTOH5vT2jqFmdeCb2OjCVng=s88-c-k-c0x00ffffff-no-rj")</f>
        <v>https://yt3.ggpht.com/ytc/AAUvwniWzQsK7tyEetPpTOH5vT2jqFmdeCb2OjCVng=s88-c-k-c0x00ffffff-no-rj</v>
      </c>
      <c r="G249" s="66"/>
      <c r="H249" s="70" t="s">
        <v>1810</v>
      </c>
      <c r="I249" s="71"/>
      <c r="J249" s="71" t="s">
        <v>159</v>
      </c>
      <c r="K249" s="70" t="s">
        <v>1810</v>
      </c>
      <c r="L249" s="74">
        <v>96.21904761904761</v>
      </c>
      <c r="M249" s="75">
        <v>6641.75439453125</v>
      </c>
      <c r="N249" s="75">
        <v>4956.2314453125</v>
      </c>
      <c r="O249" s="76"/>
      <c r="P249" s="77"/>
      <c r="Q249" s="77"/>
      <c r="R249" s="89"/>
      <c r="S249" s="49">
        <v>1</v>
      </c>
      <c r="T249" s="49">
        <v>1</v>
      </c>
      <c r="U249" s="50">
        <v>60</v>
      </c>
      <c r="V249" s="50">
        <v>0.016393</v>
      </c>
      <c r="W249" s="50">
        <v>0</v>
      </c>
      <c r="X249" s="50">
        <v>1.026388</v>
      </c>
      <c r="Y249" s="50">
        <v>0</v>
      </c>
      <c r="Z249" s="50">
        <v>0</v>
      </c>
      <c r="AA249" s="72">
        <v>249</v>
      </c>
      <c r="AB249" s="72"/>
      <c r="AC249" s="73"/>
      <c r="AD249" s="80" t="s">
        <v>1810</v>
      </c>
      <c r="AE249" s="80"/>
      <c r="AF249" s="80"/>
      <c r="AG249" s="80"/>
      <c r="AH249" s="80"/>
      <c r="AI249" s="80"/>
      <c r="AJ249" s="87">
        <v>43214.295127314814</v>
      </c>
      <c r="AK249" s="85" t="str">
        <f>HYPERLINK("https://yt3.ggpht.com/ytc/AAUvwniWzQsK7tyEetPpTOH5vT2jqFmdeCb2OjCVng=s88-c-k-c0x00ffffff-no-rj")</f>
        <v>https://yt3.ggpht.com/ytc/AAUvwniWzQsK7tyEetPpTOH5vT2jqFmdeCb2OjCVng=s88-c-k-c0x00ffffff-no-rj</v>
      </c>
      <c r="AL249" s="80">
        <v>0</v>
      </c>
      <c r="AM249" s="80">
        <v>0</v>
      </c>
      <c r="AN249" s="80">
        <v>0</v>
      </c>
      <c r="AO249" s="80" t="b">
        <v>0</v>
      </c>
      <c r="AP249" s="80">
        <v>0</v>
      </c>
      <c r="AQ249" s="80"/>
      <c r="AR249" s="80"/>
      <c r="AS249" s="80" t="s">
        <v>2664</v>
      </c>
      <c r="AT249" s="85" t="str">
        <f>HYPERLINK("https://www.youtube.com/channel/UCAVnoqUAcRIbdq0972CYydw")</f>
        <v>https://www.youtube.com/channel/UCAVnoqUAcRIbdq0972CYydw</v>
      </c>
      <c r="AU249" s="80" t="str">
        <f>REPLACE(INDEX(GroupVertices[Group],MATCH(Vertices[[#This Row],[Vertex]],GroupVertices[Vertex],0)),1,1,"")</f>
        <v>7</v>
      </c>
      <c r="AV249" s="49">
        <v>0</v>
      </c>
      <c r="AW249" s="50">
        <v>0</v>
      </c>
      <c r="AX249" s="49">
        <v>0</v>
      </c>
      <c r="AY249" s="50">
        <v>0</v>
      </c>
      <c r="AZ249" s="49">
        <v>0</v>
      </c>
      <c r="BA249" s="50">
        <v>0</v>
      </c>
      <c r="BB249" s="49">
        <v>7</v>
      </c>
      <c r="BC249" s="50">
        <v>100</v>
      </c>
      <c r="BD249" s="49">
        <v>7</v>
      </c>
      <c r="BE249" s="49"/>
      <c r="BF249" s="49"/>
      <c r="BG249" s="49"/>
      <c r="BH249" s="49"/>
      <c r="BI249" s="49"/>
      <c r="BJ249" s="49"/>
      <c r="BK249" s="111" t="s">
        <v>3855</v>
      </c>
      <c r="BL249" s="111" t="s">
        <v>3855</v>
      </c>
      <c r="BM249" s="111" t="s">
        <v>4320</v>
      </c>
      <c r="BN249" s="111" t="s">
        <v>4320</v>
      </c>
      <c r="BO249" s="2"/>
      <c r="BP249" s="3"/>
      <c r="BQ249" s="3"/>
      <c r="BR249" s="3"/>
      <c r="BS249" s="3"/>
    </row>
    <row r="250" spans="1:71" ht="15">
      <c r="A250" s="65" t="s">
        <v>452</v>
      </c>
      <c r="B250" s="66"/>
      <c r="C250" s="66"/>
      <c r="D250" s="67">
        <v>150</v>
      </c>
      <c r="E250" s="69"/>
      <c r="F250" s="103" t="str">
        <f>HYPERLINK("https://yt3.ggpht.com/ytc/AAUvwnhX5B6e_PRYwtFpOqL4imXqie3ZBrM-_yXMgw=s88-c-k-c0x00ffffff-no-rj")</f>
        <v>https://yt3.ggpht.com/ytc/AAUvwnhX5B6e_PRYwtFpOqL4imXqie3ZBrM-_yXMgw=s88-c-k-c0x00ffffff-no-rj</v>
      </c>
      <c r="G250" s="66"/>
      <c r="H250" s="70" t="s">
        <v>1811</v>
      </c>
      <c r="I250" s="71"/>
      <c r="J250" s="71" t="s">
        <v>159</v>
      </c>
      <c r="K250" s="70" t="s">
        <v>1811</v>
      </c>
      <c r="L250" s="74">
        <v>1</v>
      </c>
      <c r="M250" s="75">
        <v>5874.71337890625</v>
      </c>
      <c r="N250" s="75">
        <v>5252.67919921875</v>
      </c>
      <c r="O250" s="76"/>
      <c r="P250" s="77"/>
      <c r="Q250" s="77"/>
      <c r="R250" s="89"/>
      <c r="S250" s="49">
        <v>0</v>
      </c>
      <c r="T250" s="49">
        <v>1</v>
      </c>
      <c r="U250" s="50">
        <v>0</v>
      </c>
      <c r="V250" s="50">
        <v>0.015873</v>
      </c>
      <c r="W250" s="50">
        <v>0</v>
      </c>
      <c r="X250" s="50">
        <v>0.528105</v>
      </c>
      <c r="Y250" s="50">
        <v>0</v>
      </c>
      <c r="Z250" s="50">
        <v>0</v>
      </c>
      <c r="AA250" s="72">
        <v>250</v>
      </c>
      <c r="AB250" s="72"/>
      <c r="AC250" s="73"/>
      <c r="AD250" s="80" t="s">
        <v>1811</v>
      </c>
      <c r="AE250" s="80"/>
      <c r="AF250" s="80"/>
      <c r="AG250" s="80"/>
      <c r="AH250" s="80"/>
      <c r="AI250" s="80"/>
      <c r="AJ250" s="87">
        <v>43317.57195601852</v>
      </c>
      <c r="AK250" s="85" t="str">
        <f>HYPERLINK("https://yt3.ggpht.com/ytc/AAUvwnhX5B6e_PRYwtFpOqL4imXqie3ZBrM-_yXMgw=s88-c-k-c0x00ffffff-no-rj")</f>
        <v>https://yt3.ggpht.com/ytc/AAUvwnhX5B6e_PRYwtFpOqL4imXqie3ZBrM-_yXMgw=s88-c-k-c0x00ffffff-no-rj</v>
      </c>
      <c r="AL250" s="80">
        <v>1</v>
      </c>
      <c r="AM250" s="80">
        <v>0</v>
      </c>
      <c r="AN250" s="80">
        <v>1</v>
      </c>
      <c r="AO250" s="80" t="b">
        <v>0</v>
      </c>
      <c r="AP250" s="80">
        <v>1</v>
      </c>
      <c r="AQ250" s="80"/>
      <c r="AR250" s="80"/>
      <c r="AS250" s="80" t="s">
        <v>2664</v>
      </c>
      <c r="AT250" s="85" t="str">
        <f>HYPERLINK("https://www.youtube.com/channel/UCp7UdmlpZZ_S1QhablUDVIA")</f>
        <v>https://www.youtube.com/channel/UCp7UdmlpZZ_S1QhablUDVIA</v>
      </c>
      <c r="AU250" s="80" t="str">
        <f>REPLACE(INDEX(GroupVertices[Group],MATCH(Vertices[[#This Row],[Vertex]],GroupVertices[Vertex],0)),1,1,"")</f>
        <v>7</v>
      </c>
      <c r="AV250" s="49">
        <v>0</v>
      </c>
      <c r="AW250" s="50">
        <v>0</v>
      </c>
      <c r="AX250" s="49">
        <v>0</v>
      </c>
      <c r="AY250" s="50">
        <v>0</v>
      </c>
      <c r="AZ250" s="49">
        <v>0</v>
      </c>
      <c r="BA250" s="50">
        <v>0</v>
      </c>
      <c r="BB250" s="49">
        <v>6</v>
      </c>
      <c r="BC250" s="50">
        <v>100</v>
      </c>
      <c r="BD250" s="49">
        <v>6</v>
      </c>
      <c r="BE250" s="49"/>
      <c r="BF250" s="49"/>
      <c r="BG250" s="49"/>
      <c r="BH250" s="49"/>
      <c r="BI250" s="49"/>
      <c r="BJ250" s="49"/>
      <c r="BK250" s="111" t="s">
        <v>3856</v>
      </c>
      <c r="BL250" s="111" t="s">
        <v>3856</v>
      </c>
      <c r="BM250" s="111" t="s">
        <v>4321</v>
      </c>
      <c r="BN250" s="111" t="s">
        <v>4321</v>
      </c>
      <c r="BO250" s="2"/>
      <c r="BP250" s="3"/>
      <c r="BQ250" s="3"/>
      <c r="BR250" s="3"/>
      <c r="BS250" s="3"/>
    </row>
    <row r="251" spans="1:71" ht="15">
      <c r="A251" s="65" t="s">
        <v>453</v>
      </c>
      <c r="B251" s="66"/>
      <c r="C251" s="66"/>
      <c r="D251" s="67">
        <v>150</v>
      </c>
      <c r="E251" s="69"/>
      <c r="F251" s="103" t="str">
        <f>HYPERLINK("https://yt3.ggpht.com/ytc/AAUvwniXFoOw1Xpe7cez3E4UOaahNAY2W1qwd8_mD6wF=s88-c-k-c0x00ffffff-no-rj")</f>
        <v>https://yt3.ggpht.com/ytc/AAUvwniXFoOw1Xpe7cez3E4UOaahNAY2W1qwd8_mD6wF=s88-c-k-c0x00ffffff-no-rj</v>
      </c>
      <c r="G251" s="66"/>
      <c r="H251" s="70" t="s">
        <v>1812</v>
      </c>
      <c r="I251" s="71"/>
      <c r="J251" s="71" t="s">
        <v>159</v>
      </c>
      <c r="K251" s="70" t="s">
        <v>1812</v>
      </c>
      <c r="L251" s="74">
        <v>1</v>
      </c>
      <c r="M251" s="75">
        <v>7042.27294921875</v>
      </c>
      <c r="N251" s="75">
        <v>5752.87158203125</v>
      </c>
      <c r="O251" s="76"/>
      <c r="P251" s="77"/>
      <c r="Q251" s="77"/>
      <c r="R251" s="89"/>
      <c r="S251" s="49">
        <v>0</v>
      </c>
      <c r="T251" s="49">
        <v>1</v>
      </c>
      <c r="U251" s="50">
        <v>0</v>
      </c>
      <c r="V251" s="50">
        <v>0.015873</v>
      </c>
      <c r="W251" s="50">
        <v>0</v>
      </c>
      <c r="X251" s="50">
        <v>0.528105</v>
      </c>
      <c r="Y251" s="50">
        <v>0</v>
      </c>
      <c r="Z251" s="50">
        <v>0</v>
      </c>
      <c r="AA251" s="72">
        <v>251</v>
      </c>
      <c r="AB251" s="72"/>
      <c r="AC251" s="73"/>
      <c r="AD251" s="80" t="s">
        <v>1812</v>
      </c>
      <c r="AE251" s="80"/>
      <c r="AF251" s="80"/>
      <c r="AG251" s="80"/>
      <c r="AH251" s="80"/>
      <c r="AI251" s="80"/>
      <c r="AJ251" s="87">
        <v>43016.37069444444</v>
      </c>
      <c r="AK251" s="85" t="str">
        <f>HYPERLINK("https://yt3.ggpht.com/ytc/AAUvwniXFoOw1Xpe7cez3E4UOaahNAY2W1qwd8_mD6wF=s88-c-k-c0x00ffffff-no-rj")</f>
        <v>https://yt3.ggpht.com/ytc/AAUvwniXFoOw1Xpe7cez3E4UOaahNAY2W1qwd8_mD6wF=s88-c-k-c0x00ffffff-no-rj</v>
      </c>
      <c r="AL251" s="80">
        <v>0</v>
      </c>
      <c r="AM251" s="80">
        <v>0</v>
      </c>
      <c r="AN251" s="80">
        <v>0</v>
      </c>
      <c r="AO251" s="80" t="b">
        <v>0</v>
      </c>
      <c r="AP251" s="80">
        <v>0</v>
      </c>
      <c r="AQ251" s="80"/>
      <c r="AR251" s="80"/>
      <c r="AS251" s="80" t="s">
        <v>2664</v>
      </c>
      <c r="AT251" s="85" t="str">
        <f>HYPERLINK("https://www.youtube.com/channel/UC7Dg-uPxILqD_10CuPzQyCw")</f>
        <v>https://www.youtube.com/channel/UC7Dg-uPxILqD_10CuPzQyCw</v>
      </c>
      <c r="AU251" s="80" t="str">
        <f>REPLACE(INDEX(GroupVertices[Group],MATCH(Vertices[[#This Row],[Vertex]],GroupVertices[Vertex],0)),1,1,"")</f>
        <v>7</v>
      </c>
      <c r="AV251" s="49">
        <v>0</v>
      </c>
      <c r="AW251" s="50">
        <v>0</v>
      </c>
      <c r="AX251" s="49">
        <v>0</v>
      </c>
      <c r="AY251" s="50">
        <v>0</v>
      </c>
      <c r="AZ251" s="49">
        <v>0</v>
      </c>
      <c r="BA251" s="50">
        <v>0</v>
      </c>
      <c r="BB251" s="49">
        <v>14</v>
      </c>
      <c r="BC251" s="50">
        <v>100</v>
      </c>
      <c r="BD251" s="49">
        <v>14</v>
      </c>
      <c r="BE251" s="49"/>
      <c r="BF251" s="49"/>
      <c r="BG251" s="49"/>
      <c r="BH251" s="49"/>
      <c r="BI251" s="49"/>
      <c r="BJ251" s="49"/>
      <c r="BK251" s="111" t="s">
        <v>3857</v>
      </c>
      <c r="BL251" s="111" t="s">
        <v>4127</v>
      </c>
      <c r="BM251" s="111" t="s">
        <v>4322</v>
      </c>
      <c r="BN251" s="111" t="s">
        <v>4322</v>
      </c>
      <c r="BO251" s="2"/>
      <c r="BP251" s="3"/>
      <c r="BQ251" s="3"/>
      <c r="BR251" s="3"/>
      <c r="BS251" s="3"/>
    </row>
    <row r="252" spans="1:71" ht="15">
      <c r="A252" s="65" t="s">
        <v>454</v>
      </c>
      <c r="B252" s="66"/>
      <c r="C252" s="66"/>
      <c r="D252" s="67">
        <v>150</v>
      </c>
      <c r="E252" s="69"/>
      <c r="F252" s="103" t="str">
        <f>HYPERLINK("https://yt3.ggpht.com/ytc/AAUvwnh6X5GsoUK504V4qpzMIBiOoVyrDn0-KyJKnQ=s88-c-k-c0x00ffffff-no-rj")</f>
        <v>https://yt3.ggpht.com/ytc/AAUvwnh6X5GsoUK504V4qpzMIBiOoVyrDn0-KyJKnQ=s88-c-k-c0x00ffffff-no-rj</v>
      </c>
      <c r="G252" s="66"/>
      <c r="H252" s="70" t="s">
        <v>1813</v>
      </c>
      <c r="I252" s="71"/>
      <c r="J252" s="71" t="s">
        <v>159</v>
      </c>
      <c r="K252" s="70" t="s">
        <v>1813</v>
      </c>
      <c r="L252" s="74">
        <v>1</v>
      </c>
      <c r="M252" s="75">
        <v>7642.5478515625</v>
      </c>
      <c r="N252" s="75">
        <v>6343.29638671875</v>
      </c>
      <c r="O252" s="76"/>
      <c r="P252" s="77"/>
      <c r="Q252" s="77"/>
      <c r="R252" s="89"/>
      <c r="S252" s="49">
        <v>0</v>
      </c>
      <c r="T252" s="49">
        <v>1</v>
      </c>
      <c r="U252" s="50">
        <v>0</v>
      </c>
      <c r="V252" s="50">
        <v>0.010989</v>
      </c>
      <c r="W252" s="50">
        <v>0</v>
      </c>
      <c r="X252" s="50">
        <v>0.586215</v>
      </c>
      <c r="Y252" s="50">
        <v>0</v>
      </c>
      <c r="Z252" s="50">
        <v>0</v>
      </c>
      <c r="AA252" s="72">
        <v>252</v>
      </c>
      <c r="AB252" s="72"/>
      <c r="AC252" s="73"/>
      <c r="AD252" s="80" t="s">
        <v>1813</v>
      </c>
      <c r="AE252" s="80" t="s">
        <v>2506</v>
      </c>
      <c r="AF252" s="80"/>
      <c r="AG252" s="80"/>
      <c r="AH252" s="80"/>
      <c r="AI252" s="80"/>
      <c r="AJ252" s="87">
        <v>43339.77478009259</v>
      </c>
      <c r="AK252" s="85" t="str">
        <f>HYPERLINK("https://yt3.ggpht.com/ytc/AAUvwnh6X5GsoUK504V4qpzMIBiOoVyrDn0-KyJKnQ=s88-c-k-c0x00ffffff-no-rj")</f>
        <v>https://yt3.ggpht.com/ytc/AAUvwnh6X5GsoUK504V4qpzMIBiOoVyrDn0-KyJKnQ=s88-c-k-c0x00ffffff-no-rj</v>
      </c>
      <c r="AL252" s="80">
        <v>346</v>
      </c>
      <c r="AM252" s="80">
        <v>0</v>
      </c>
      <c r="AN252" s="80">
        <v>5</v>
      </c>
      <c r="AO252" s="80" t="b">
        <v>0</v>
      </c>
      <c r="AP252" s="80">
        <v>13</v>
      </c>
      <c r="AQ252" s="80"/>
      <c r="AR252" s="80"/>
      <c r="AS252" s="80" t="s">
        <v>2664</v>
      </c>
      <c r="AT252" s="85" t="str">
        <f>HYPERLINK("https://www.youtube.com/channel/UCK7RRG51B5BR-oMcsoIVtJQ")</f>
        <v>https://www.youtube.com/channel/UCK7RRG51B5BR-oMcsoIVtJQ</v>
      </c>
      <c r="AU252" s="80" t="str">
        <f>REPLACE(INDEX(GroupVertices[Group],MATCH(Vertices[[#This Row],[Vertex]],GroupVertices[Vertex],0)),1,1,"")</f>
        <v>7</v>
      </c>
      <c r="AV252" s="49">
        <v>0</v>
      </c>
      <c r="AW252" s="50">
        <v>0</v>
      </c>
      <c r="AX252" s="49">
        <v>0</v>
      </c>
      <c r="AY252" s="50">
        <v>0</v>
      </c>
      <c r="AZ252" s="49">
        <v>0</v>
      </c>
      <c r="BA252" s="50">
        <v>0</v>
      </c>
      <c r="BB252" s="49">
        <v>2</v>
      </c>
      <c r="BC252" s="50">
        <v>100</v>
      </c>
      <c r="BD252" s="49">
        <v>2</v>
      </c>
      <c r="BE252" s="49"/>
      <c r="BF252" s="49"/>
      <c r="BG252" s="49"/>
      <c r="BH252" s="49"/>
      <c r="BI252" s="49"/>
      <c r="BJ252" s="49"/>
      <c r="BK252" s="111" t="s">
        <v>3858</v>
      </c>
      <c r="BL252" s="111" t="s">
        <v>3858</v>
      </c>
      <c r="BM252" s="111" t="s">
        <v>3619</v>
      </c>
      <c r="BN252" s="111" t="s">
        <v>3619</v>
      </c>
      <c r="BO252" s="2"/>
      <c r="BP252" s="3"/>
      <c r="BQ252" s="3"/>
      <c r="BR252" s="3"/>
      <c r="BS252" s="3"/>
    </row>
    <row r="253" spans="1:71" ht="15">
      <c r="A253" s="65" t="s">
        <v>456</v>
      </c>
      <c r="B253" s="66"/>
      <c r="C253" s="66"/>
      <c r="D253" s="67">
        <v>433.3333333333333</v>
      </c>
      <c r="E253" s="69"/>
      <c r="F253" s="103" t="str">
        <f>HYPERLINK("https://yt3.ggpht.com/ytc/AAUvwniuHh7wi1ddDLbomDo_28fNNvxvz2XsqvB-IB7S=s88-c-k-c0x00ffffff-no-rj")</f>
        <v>https://yt3.ggpht.com/ytc/AAUvwniuHh7wi1ddDLbomDo_28fNNvxvz2XsqvB-IB7S=s88-c-k-c0x00ffffff-no-rj</v>
      </c>
      <c r="G253" s="66"/>
      <c r="H253" s="70" t="s">
        <v>1815</v>
      </c>
      <c r="I253" s="71"/>
      <c r="J253" s="71" t="s">
        <v>75</v>
      </c>
      <c r="K253" s="70" t="s">
        <v>1815</v>
      </c>
      <c r="L253" s="74">
        <v>191.43809523809523</v>
      </c>
      <c r="M253" s="75">
        <v>7029.9462890625</v>
      </c>
      <c r="N253" s="75">
        <v>6011.76904296875</v>
      </c>
      <c r="O253" s="76"/>
      <c r="P253" s="77"/>
      <c r="Q253" s="77"/>
      <c r="R253" s="89"/>
      <c r="S253" s="49">
        <v>2</v>
      </c>
      <c r="T253" s="49">
        <v>1</v>
      </c>
      <c r="U253" s="50">
        <v>60</v>
      </c>
      <c r="V253" s="50">
        <v>0.016393</v>
      </c>
      <c r="W253" s="50">
        <v>0</v>
      </c>
      <c r="X253" s="50">
        <v>1.026388</v>
      </c>
      <c r="Y253" s="50">
        <v>0</v>
      </c>
      <c r="Z253" s="50">
        <v>0.5</v>
      </c>
      <c r="AA253" s="72">
        <v>253</v>
      </c>
      <c r="AB253" s="72"/>
      <c r="AC253" s="73"/>
      <c r="AD253" s="80" t="s">
        <v>1815</v>
      </c>
      <c r="AE253" s="80"/>
      <c r="AF253" s="80"/>
      <c r="AG253" s="80"/>
      <c r="AH253" s="80"/>
      <c r="AI253" s="80"/>
      <c r="AJ253" s="87">
        <v>41883.28136574074</v>
      </c>
      <c r="AK253" s="85" t="str">
        <f>HYPERLINK("https://yt3.ggpht.com/ytc/AAUvwniuHh7wi1ddDLbomDo_28fNNvxvz2XsqvB-IB7S=s88-c-k-c0x00ffffff-no-rj")</f>
        <v>https://yt3.ggpht.com/ytc/AAUvwniuHh7wi1ddDLbomDo_28fNNvxvz2XsqvB-IB7S=s88-c-k-c0x00ffffff-no-rj</v>
      </c>
      <c r="AL253" s="80">
        <v>28</v>
      </c>
      <c r="AM253" s="80">
        <v>0</v>
      </c>
      <c r="AN253" s="80">
        <v>0</v>
      </c>
      <c r="AO253" s="80" t="b">
        <v>0</v>
      </c>
      <c r="AP253" s="80">
        <v>4</v>
      </c>
      <c r="AQ253" s="80"/>
      <c r="AR253" s="80"/>
      <c r="AS253" s="80" t="s">
        <v>2664</v>
      </c>
      <c r="AT253" s="85" t="str">
        <f>HYPERLINK("https://www.youtube.com/channel/UC4IiAFu3l6cfMMeJIU2TjzQ")</f>
        <v>https://www.youtube.com/channel/UC4IiAFu3l6cfMMeJIU2TjzQ</v>
      </c>
      <c r="AU253" s="80" t="str">
        <f>REPLACE(INDEX(GroupVertices[Group],MATCH(Vertices[[#This Row],[Vertex]],GroupVertices[Vertex],0)),1,1,"")</f>
        <v>7</v>
      </c>
      <c r="AV253" s="49">
        <v>0</v>
      </c>
      <c r="AW253" s="50">
        <v>0</v>
      </c>
      <c r="AX253" s="49">
        <v>0</v>
      </c>
      <c r="AY253" s="50">
        <v>0</v>
      </c>
      <c r="AZ253" s="49">
        <v>0</v>
      </c>
      <c r="BA253" s="50">
        <v>0</v>
      </c>
      <c r="BB253" s="49">
        <v>12</v>
      </c>
      <c r="BC253" s="50">
        <v>100</v>
      </c>
      <c r="BD253" s="49">
        <v>12</v>
      </c>
      <c r="BE253" s="49"/>
      <c r="BF253" s="49"/>
      <c r="BG253" s="49"/>
      <c r="BH253" s="49"/>
      <c r="BI253" s="49"/>
      <c r="BJ253" s="49"/>
      <c r="BK253" s="111" t="s">
        <v>3859</v>
      </c>
      <c r="BL253" s="111" t="s">
        <v>3859</v>
      </c>
      <c r="BM253" s="111" t="s">
        <v>4323</v>
      </c>
      <c r="BN253" s="111" t="s">
        <v>4323</v>
      </c>
      <c r="BO253" s="2"/>
      <c r="BP253" s="3"/>
      <c r="BQ253" s="3"/>
      <c r="BR253" s="3"/>
      <c r="BS253" s="3"/>
    </row>
    <row r="254" spans="1:71" ht="15">
      <c r="A254" s="65" t="s">
        <v>457</v>
      </c>
      <c r="B254" s="66"/>
      <c r="C254" s="66"/>
      <c r="D254" s="67">
        <v>150</v>
      </c>
      <c r="E254" s="69"/>
      <c r="F254" s="103" t="str">
        <f>HYPERLINK("https://yt3.ggpht.com/ytc/AAUvwngF9fbQ9CL2lQUlQCQr8p_X9GDXz-vaE_uxjw=s88-c-k-c0x00ffffff-no-rj")</f>
        <v>https://yt3.ggpht.com/ytc/AAUvwngF9fbQ9CL2lQUlQCQr8p_X9GDXz-vaE_uxjw=s88-c-k-c0x00ffffff-no-rj</v>
      </c>
      <c r="G254" s="66"/>
      <c r="H254" s="70" t="s">
        <v>1816</v>
      </c>
      <c r="I254" s="71"/>
      <c r="J254" s="71" t="s">
        <v>159</v>
      </c>
      <c r="K254" s="70" t="s">
        <v>1816</v>
      </c>
      <c r="L254" s="74">
        <v>1</v>
      </c>
      <c r="M254" s="75">
        <v>6032.0224609375</v>
      </c>
      <c r="N254" s="75">
        <v>4967.52978515625</v>
      </c>
      <c r="O254" s="76"/>
      <c r="P254" s="77"/>
      <c r="Q254" s="77"/>
      <c r="R254" s="89"/>
      <c r="S254" s="49">
        <v>0</v>
      </c>
      <c r="T254" s="49">
        <v>1</v>
      </c>
      <c r="U254" s="50">
        <v>0</v>
      </c>
      <c r="V254" s="50">
        <v>0.015873</v>
      </c>
      <c r="W254" s="50">
        <v>0</v>
      </c>
      <c r="X254" s="50">
        <v>0.528105</v>
      </c>
      <c r="Y254" s="50">
        <v>0</v>
      </c>
      <c r="Z254" s="50">
        <v>0</v>
      </c>
      <c r="AA254" s="72">
        <v>254</v>
      </c>
      <c r="AB254" s="72"/>
      <c r="AC254" s="73"/>
      <c r="AD254" s="80" t="s">
        <v>1816</v>
      </c>
      <c r="AE254" s="80"/>
      <c r="AF254" s="80"/>
      <c r="AG254" s="80"/>
      <c r="AH254" s="80"/>
      <c r="AI254" s="80"/>
      <c r="AJ254" s="87">
        <v>43480.464895833335</v>
      </c>
      <c r="AK254" s="85" t="str">
        <f>HYPERLINK("https://yt3.ggpht.com/ytc/AAUvwngF9fbQ9CL2lQUlQCQr8p_X9GDXz-vaE_uxjw=s88-c-k-c0x00ffffff-no-rj")</f>
        <v>https://yt3.ggpht.com/ytc/AAUvwngF9fbQ9CL2lQUlQCQr8p_X9GDXz-vaE_uxjw=s88-c-k-c0x00ffffff-no-rj</v>
      </c>
      <c r="AL254" s="80">
        <v>0</v>
      </c>
      <c r="AM254" s="80">
        <v>0</v>
      </c>
      <c r="AN254" s="80">
        <v>0</v>
      </c>
      <c r="AO254" s="80" t="b">
        <v>0</v>
      </c>
      <c r="AP254" s="80">
        <v>0</v>
      </c>
      <c r="AQ254" s="80"/>
      <c r="AR254" s="80"/>
      <c r="AS254" s="80" t="s">
        <v>2664</v>
      </c>
      <c r="AT254" s="85" t="str">
        <f>HYPERLINK("https://www.youtube.com/channel/UCVS6ZFwdDcrSBNkpaTw8sYw")</f>
        <v>https://www.youtube.com/channel/UCVS6ZFwdDcrSBNkpaTw8sYw</v>
      </c>
      <c r="AU254" s="80" t="str">
        <f>REPLACE(INDEX(GroupVertices[Group],MATCH(Vertices[[#This Row],[Vertex]],GroupVertices[Vertex],0)),1,1,"")</f>
        <v>7</v>
      </c>
      <c r="AV254" s="49">
        <v>0</v>
      </c>
      <c r="AW254" s="50">
        <v>0</v>
      </c>
      <c r="AX254" s="49">
        <v>0</v>
      </c>
      <c r="AY254" s="50">
        <v>0</v>
      </c>
      <c r="AZ254" s="49">
        <v>0</v>
      </c>
      <c r="BA254" s="50">
        <v>0</v>
      </c>
      <c r="BB254" s="49">
        <v>2</v>
      </c>
      <c r="BC254" s="50">
        <v>100</v>
      </c>
      <c r="BD254" s="49">
        <v>2</v>
      </c>
      <c r="BE254" s="49"/>
      <c r="BF254" s="49"/>
      <c r="BG254" s="49"/>
      <c r="BH254" s="49"/>
      <c r="BI254" s="49"/>
      <c r="BJ254" s="49"/>
      <c r="BK254" s="111" t="s">
        <v>3077</v>
      </c>
      <c r="BL254" s="111" t="s">
        <v>3077</v>
      </c>
      <c r="BM254" s="111" t="s">
        <v>2390</v>
      </c>
      <c r="BN254" s="111" t="s">
        <v>2390</v>
      </c>
      <c r="BO254" s="2"/>
      <c r="BP254" s="3"/>
      <c r="BQ254" s="3"/>
      <c r="BR254" s="3"/>
      <c r="BS254" s="3"/>
    </row>
    <row r="255" spans="1:71" ht="15">
      <c r="A255" s="65" t="s">
        <v>458</v>
      </c>
      <c r="B255" s="66"/>
      <c r="C255" s="66"/>
      <c r="D255" s="67">
        <v>150</v>
      </c>
      <c r="E255" s="69"/>
      <c r="F255" s="103" t="str">
        <f>HYPERLINK("https://yt3.ggpht.com/ytc/AAUvwnjUYNSUbomVLcpLOrc29QPNdH1FUbO5oxF0ZF7_dts=s88-c-k-c0x00ffffff-no-rj")</f>
        <v>https://yt3.ggpht.com/ytc/AAUvwnjUYNSUbomVLcpLOrc29QPNdH1FUbO5oxF0ZF7_dts=s88-c-k-c0x00ffffff-no-rj</v>
      </c>
      <c r="G255" s="66"/>
      <c r="H255" s="70" t="s">
        <v>1817</v>
      </c>
      <c r="I255" s="71"/>
      <c r="J255" s="71" t="s">
        <v>159</v>
      </c>
      <c r="K255" s="70" t="s">
        <v>1817</v>
      </c>
      <c r="L255" s="74">
        <v>1</v>
      </c>
      <c r="M255" s="75">
        <v>6730.689453125</v>
      </c>
      <c r="N255" s="75">
        <v>5442.10498046875</v>
      </c>
      <c r="O255" s="76"/>
      <c r="P255" s="77"/>
      <c r="Q255" s="77"/>
      <c r="R255" s="89"/>
      <c r="S255" s="49">
        <v>0</v>
      </c>
      <c r="T255" s="49">
        <v>1</v>
      </c>
      <c r="U255" s="50">
        <v>0</v>
      </c>
      <c r="V255" s="50">
        <v>0.015873</v>
      </c>
      <c r="W255" s="50">
        <v>0</v>
      </c>
      <c r="X255" s="50">
        <v>0.528105</v>
      </c>
      <c r="Y255" s="50">
        <v>0</v>
      </c>
      <c r="Z255" s="50">
        <v>0</v>
      </c>
      <c r="AA255" s="72">
        <v>255</v>
      </c>
      <c r="AB255" s="72"/>
      <c r="AC255" s="73"/>
      <c r="AD255" s="80" t="s">
        <v>1817</v>
      </c>
      <c r="AE255" s="80" t="s">
        <v>2507</v>
      </c>
      <c r="AF255" s="80"/>
      <c r="AG255" s="80"/>
      <c r="AH255" s="80"/>
      <c r="AI255" s="80"/>
      <c r="AJ255" s="87">
        <v>43701.594247685185</v>
      </c>
      <c r="AK255" s="85" t="str">
        <f>HYPERLINK("https://yt3.ggpht.com/ytc/AAUvwnjUYNSUbomVLcpLOrc29QPNdH1FUbO5oxF0ZF7_dts=s88-c-k-c0x00ffffff-no-rj")</f>
        <v>https://yt3.ggpht.com/ytc/AAUvwnjUYNSUbomVLcpLOrc29QPNdH1FUbO5oxF0ZF7_dts=s88-c-k-c0x00ffffff-no-rj</v>
      </c>
      <c r="AL255" s="80">
        <v>2706</v>
      </c>
      <c r="AM255" s="80">
        <v>0</v>
      </c>
      <c r="AN255" s="80">
        <v>0</v>
      </c>
      <c r="AO255" s="80" t="b">
        <v>1</v>
      </c>
      <c r="AP255" s="80">
        <v>33</v>
      </c>
      <c r="AQ255" s="80"/>
      <c r="AR255" s="80"/>
      <c r="AS255" s="80" t="s">
        <v>2664</v>
      </c>
      <c r="AT255" s="85" t="str">
        <f>HYPERLINK("https://www.youtube.com/channel/UC7gf4_Jvu_tlYUwoQHXHJjA")</f>
        <v>https://www.youtube.com/channel/UC7gf4_Jvu_tlYUwoQHXHJjA</v>
      </c>
      <c r="AU255" s="80" t="str">
        <f>REPLACE(INDEX(GroupVertices[Group],MATCH(Vertices[[#This Row],[Vertex]],GroupVertices[Vertex],0)),1,1,"")</f>
        <v>7</v>
      </c>
      <c r="AV255" s="49">
        <v>0</v>
      </c>
      <c r="AW255" s="50">
        <v>0</v>
      </c>
      <c r="AX255" s="49">
        <v>0</v>
      </c>
      <c r="AY255" s="50">
        <v>0</v>
      </c>
      <c r="AZ255" s="49">
        <v>0</v>
      </c>
      <c r="BA255" s="50">
        <v>0</v>
      </c>
      <c r="BB255" s="49">
        <v>2</v>
      </c>
      <c r="BC255" s="50">
        <v>100</v>
      </c>
      <c r="BD255" s="49">
        <v>2</v>
      </c>
      <c r="BE255" s="49"/>
      <c r="BF255" s="49"/>
      <c r="BG255" s="49"/>
      <c r="BH255" s="49"/>
      <c r="BI255" s="49"/>
      <c r="BJ255" s="49"/>
      <c r="BK255" s="111" t="s">
        <v>2716</v>
      </c>
      <c r="BL255" s="111" t="s">
        <v>2716</v>
      </c>
      <c r="BM255" s="111" t="s">
        <v>2390</v>
      </c>
      <c r="BN255" s="111" t="s">
        <v>2390</v>
      </c>
      <c r="BO255" s="2"/>
      <c r="BP255" s="3"/>
      <c r="BQ255" s="3"/>
      <c r="BR255" s="3"/>
      <c r="BS255" s="3"/>
    </row>
    <row r="256" spans="1:71" ht="15">
      <c r="A256" s="65" t="s">
        <v>459</v>
      </c>
      <c r="B256" s="66"/>
      <c r="C256" s="66"/>
      <c r="D256" s="67">
        <v>150</v>
      </c>
      <c r="E256" s="69"/>
      <c r="F256" s="103" t="str">
        <f>HYPERLINK("https://yt3.ggpht.com/ytc/AAUvwnhZJt3F6SA5S7Sv1ylNhWjKjqJwRTvUJZzWNwbAqpI=s88-c-k-c0x00ffffff-no-rj")</f>
        <v>https://yt3.ggpht.com/ytc/AAUvwnhZJt3F6SA5S7Sv1ylNhWjKjqJwRTvUJZzWNwbAqpI=s88-c-k-c0x00ffffff-no-rj</v>
      </c>
      <c r="G256" s="66"/>
      <c r="H256" s="70" t="s">
        <v>1818</v>
      </c>
      <c r="I256" s="71"/>
      <c r="J256" s="71" t="s">
        <v>159</v>
      </c>
      <c r="K256" s="70" t="s">
        <v>1818</v>
      </c>
      <c r="L256" s="74">
        <v>1</v>
      </c>
      <c r="M256" s="75">
        <v>6378.400390625</v>
      </c>
      <c r="N256" s="75">
        <v>6258.35546875</v>
      </c>
      <c r="O256" s="76"/>
      <c r="P256" s="77"/>
      <c r="Q256" s="77"/>
      <c r="R256" s="89"/>
      <c r="S256" s="49">
        <v>0</v>
      </c>
      <c r="T256" s="49">
        <v>1</v>
      </c>
      <c r="U256" s="50">
        <v>0</v>
      </c>
      <c r="V256" s="50">
        <v>0.015873</v>
      </c>
      <c r="W256" s="50">
        <v>0</v>
      </c>
      <c r="X256" s="50">
        <v>0.528105</v>
      </c>
      <c r="Y256" s="50">
        <v>0</v>
      </c>
      <c r="Z256" s="50">
        <v>0</v>
      </c>
      <c r="AA256" s="72">
        <v>256</v>
      </c>
      <c r="AB256" s="72"/>
      <c r="AC256" s="73"/>
      <c r="AD256" s="80" t="s">
        <v>1818</v>
      </c>
      <c r="AE256" s="80"/>
      <c r="AF256" s="80"/>
      <c r="AG256" s="80"/>
      <c r="AH256" s="80"/>
      <c r="AI256" s="80"/>
      <c r="AJ256" s="87">
        <v>42791.44028935185</v>
      </c>
      <c r="AK256" s="85" t="str">
        <f>HYPERLINK("https://yt3.ggpht.com/ytc/AAUvwnhZJt3F6SA5S7Sv1ylNhWjKjqJwRTvUJZzWNwbAqpI=s88-c-k-c0x00ffffff-no-rj")</f>
        <v>https://yt3.ggpht.com/ytc/AAUvwnhZJt3F6SA5S7Sv1ylNhWjKjqJwRTvUJZzWNwbAqpI=s88-c-k-c0x00ffffff-no-rj</v>
      </c>
      <c r="AL256" s="80">
        <v>0</v>
      </c>
      <c r="AM256" s="80">
        <v>0</v>
      </c>
      <c r="AN256" s="80">
        <v>0</v>
      </c>
      <c r="AO256" s="80" t="b">
        <v>0</v>
      </c>
      <c r="AP256" s="80">
        <v>0</v>
      </c>
      <c r="AQ256" s="80"/>
      <c r="AR256" s="80"/>
      <c r="AS256" s="80" t="s">
        <v>2664</v>
      </c>
      <c r="AT256" s="85" t="str">
        <f>HYPERLINK("https://www.youtube.com/channel/UCqiBrHNTtizRMCUevmvfouw")</f>
        <v>https://www.youtube.com/channel/UCqiBrHNTtizRMCUevmvfouw</v>
      </c>
      <c r="AU256" s="80" t="str">
        <f>REPLACE(INDEX(GroupVertices[Group],MATCH(Vertices[[#This Row],[Vertex]],GroupVertices[Vertex],0)),1,1,"")</f>
        <v>7</v>
      </c>
      <c r="AV256" s="49">
        <v>0</v>
      </c>
      <c r="AW256" s="50">
        <v>0</v>
      </c>
      <c r="AX256" s="49">
        <v>0</v>
      </c>
      <c r="AY256" s="50">
        <v>0</v>
      </c>
      <c r="AZ256" s="49">
        <v>0</v>
      </c>
      <c r="BA256" s="50">
        <v>0</v>
      </c>
      <c r="BB256" s="49">
        <v>7</v>
      </c>
      <c r="BC256" s="50">
        <v>100</v>
      </c>
      <c r="BD256" s="49">
        <v>7</v>
      </c>
      <c r="BE256" s="49"/>
      <c r="BF256" s="49"/>
      <c r="BG256" s="49"/>
      <c r="BH256" s="49"/>
      <c r="BI256" s="49"/>
      <c r="BJ256" s="49"/>
      <c r="BK256" s="111" t="s">
        <v>3860</v>
      </c>
      <c r="BL256" s="111" t="s">
        <v>3860</v>
      </c>
      <c r="BM256" s="111" t="s">
        <v>4324</v>
      </c>
      <c r="BN256" s="111" t="s">
        <v>4324</v>
      </c>
      <c r="BO256" s="2"/>
      <c r="BP256" s="3"/>
      <c r="BQ256" s="3"/>
      <c r="BR256" s="3"/>
      <c r="BS256" s="3"/>
    </row>
    <row r="257" spans="1:71" ht="15">
      <c r="A257" s="65" t="s">
        <v>460</v>
      </c>
      <c r="B257" s="66"/>
      <c r="C257" s="66"/>
      <c r="D257" s="67">
        <v>150</v>
      </c>
      <c r="E257" s="69"/>
      <c r="F257" s="103" t="str">
        <f>HYPERLINK("https://yt3.ggpht.com/ytc/AAUvwni812Q6_PVJ30-nsYpygPpfxoBYDLlHlmY0ghaJ=s88-c-k-c0x00ffffff-no-rj")</f>
        <v>https://yt3.ggpht.com/ytc/AAUvwni812Q6_PVJ30-nsYpygPpfxoBYDLlHlmY0ghaJ=s88-c-k-c0x00ffffff-no-rj</v>
      </c>
      <c r="G257" s="66"/>
      <c r="H257" s="70" t="s">
        <v>1819</v>
      </c>
      <c r="I257" s="71"/>
      <c r="J257" s="71" t="s">
        <v>159</v>
      </c>
      <c r="K257" s="70" t="s">
        <v>1819</v>
      </c>
      <c r="L257" s="74">
        <v>1</v>
      </c>
      <c r="M257" s="75">
        <v>5374.1328125</v>
      </c>
      <c r="N257" s="75">
        <v>5747.95947265625</v>
      </c>
      <c r="O257" s="76"/>
      <c r="P257" s="77"/>
      <c r="Q257" s="77"/>
      <c r="R257" s="89"/>
      <c r="S257" s="49">
        <v>0</v>
      </c>
      <c r="T257" s="49">
        <v>1</v>
      </c>
      <c r="U257" s="50">
        <v>0</v>
      </c>
      <c r="V257" s="50">
        <v>0.015873</v>
      </c>
      <c r="W257" s="50">
        <v>0</v>
      </c>
      <c r="X257" s="50">
        <v>0.528105</v>
      </c>
      <c r="Y257" s="50">
        <v>0</v>
      </c>
      <c r="Z257" s="50">
        <v>0</v>
      </c>
      <c r="AA257" s="72">
        <v>257</v>
      </c>
      <c r="AB257" s="72"/>
      <c r="AC257" s="73"/>
      <c r="AD257" s="80" t="s">
        <v>1819</v>
      </c>
      <c r="AE257" s="80" t="s">
        <v>2508</v>
      </c>
      <c r="AF257" s="80"/>
      <c r="AG257" s="80"/>
      <c r="AH257" s="80"/>
      <c r="AI257" s="80"/>
      <c r="AJ257" s="87">
        <v>43232.15236111111</v>
      </c>
      <c r="AK257" s="85" t="str">
        <f>HYPERLINK("https://yt3.ggpht.com/ytc/AAUvwni812Q6_PVJ30-nsYpygPpfxoBYDLlHlmY0ghaJ=s88-c-k-c0x00ffffff-no-rj")</f>
        <v>https://yt3.ggpht.com/ytc/AAUvwni812Q6_PVJ30-nsYpygPpfxoBYDLlHlmY0ghaJ=s88-c-k-c0x00ffffff-no-rj</v>
      </c>
      <c r="AL257" s="80">
        <v>8</v>
      </c>
      <c r="AM257" s="80">
        <v>0</v>
      </c>
      <c r="AN257" s="80">
        <v>1</v>
      </c>
      <c r="AO257" s="80" t="b">
        <v>0</v>
      </c>
      <c r="AP257" s="80">
        <v>1</v>
      </c>
      <c r="AQ257" s="80"/>
      <c r="AR257" s="80"/>
      <c r="AS257" s="80" t="s">
        <v>2664</v>
      </c>
      <c r="AT257" s="85" t="str">
        <f>HYPERLINK("https://www.youtube.com/channel/UCAlZ6G359QGDKenPlmFZMXg")</f>
        <v>https://www.youtube.com/channel/UCAlZ6G359QGDKenPlmFZMXg</v>
      </c>
      <c r="AU257" s="80" t="str">
        <f>REPLACE(INDEX(GroupVertices[Group],MATCH(Vertices[[#This Row],[Vertex]],GroupVertices[Vertex],0)),1,1,"")</f>
        <v>7</v>
      </c>
      <c r="AV257" s="49">
        <v>0</v>
      </c>
      <c r="AW257" s="50">
        <v>0</v>
      </c>
      <c r="AX257" s="49">
        <v>0</v>
      </c>
      <c r="AY257" s="50">
        <v>0</v>
      </c>
      <c r="AZ257" s="49">
        <v>0</v>
      </c>
      <c r="BA257" s="50">
        <v>0</v>
      </c>
      <c r="BB257" s="49">
        <v>5</v>
      </c>
      <c r="BC257" s="50">
        <v>100</v>
      </c>
      <c r="BD257" s="49">
        <v>5</v>
      </c>
      <c r="BE257" s="49"/>
      <c r="BF257" s="49"/>
      <c r="BG257" s="49"/>
      <c r="BH257" s="49"/>
      <c r="BI257" s="49"/>
      <c r="BJ257" s="49"/>
      <c r="BK257" s="111" t="s">
        <v>3861</v>
      </c>
      <c r="BL257" s="111" t="s">
        <v>3861</v>
      </c>
      <c r="BM257" s="111" t="s">
        <v>4325</v>
      </c>
      <c r="BN257" s="111" t="s">
        <v>4325</v>
      </c>
      <c r="BO257" s="2"/>
      <c r="BP257" s="3"/>
      <c r="BQ257" s="3"/>
      <c r="BR257" s="3"/>
      <c r="BS257" s="3"/>
    </row>
    <row r="258" spans="1:71" ht="15">
      <c r="A258" s="65" t="s">
        <v>461</v>
      </c>
      <c r="B258" s="66"/>
      <c r="C258" s="66"/>
      <c r="D258" s="67">
        <v>291.66666666666663</v>
      </c>
      <c r="E258" s="69"/>
      <c r="F258" s="103" t="str">
        <f>HYPERLINK("https://yt3.ggpht.com/ytc/AAUvwngxnh7Jke6QQGAb7nXjR6c_ZvHUkdVjXT7sc25KoQ=s88-c-k-c0x00ffffff-no-rj")</f>
        <v>https://yt3.ggpht.com/ytc/AAUvwngxnh7Jke6QQGAb7nXjR6c_ZvHUkdVjXT7sc25KoQ=s88-c-k-c0x00ffffff-no-rj</v>
      </c>
      <c r="G258" s="66"/>
      <c r="H258" s="70" t="s">
        <v>1820</v>
      </c>
      <c r="I258" s="71"/>
      <c r="J258" s="71" t="s">
        <v>159</v>
      </c>
      <c r="K258" s="70" t="s">
        <v>1820</v>
      </c>
      <c r="L258" s="74">
        <v>96.21904761904761</v>
      </c>
      <c r="M258" s="75">
        <v>6289.32763671875</v>
      </c>
      <c r="N258" s="75">
        <v>4994.77783203125</v>
      </c>
      <c r="O258" s="76"/>
      <c r="P258" s="77"/>
      <c r="Q258" s="77"/>
      <c r="R258" s="89"/>
      <c r="S258" s="49">
        <v>1</v>
      </c>
      <c r="T258" s="49">
        <v>1</v>
      </c>
      <c r="U258" s="50">
        <v>0</v>
      </c>
      <c r="V258" s="50">
        <v>0.015873</v>
      </c>
      <c r="W258" s="50">
        <v>0</v>
      </c>
      <c r="X258" s="50">
        <v>0.528105</v>
      </c>
      <c r="Y258" s="50">
        <v>0</v>
      </c>
      <c r="Z258" s="50">
        <v>1</v>
      </c>
      <c r="AA258" s="72">
        <v>258</v>
      </c>
      <c r="AB258" s="72"/>
      <c r="AC258" s="73"/>
      <c r="AD258" s="80" t="s">
        <v>1820</v>
      </c>
      <c r="AE258" s="80"/>
      <c r="AF258" s="80"/>
      <c r="AG258" s="80"/>
      <c r="AH258" s="80"/>
      <c r="AI258" s="80"/>
      <c r="AJ258" s="87">
        <v>43750.4997337963</v>
      </c>
      <c r="AK258" s="85" t="str">
        <f>HYPERLINK("https://yt3.ggpht.com/ytc/AAUvwngxnh7Jke6QQGAb7nXjR6c_ZvHUkdVjXT7sc25KoQ=s88-c-k-c0x00ffffff-no-rj")</f>
        <v>https://yt3.ggpht.com/ytc/AAUvwngxnh7Jke6QQGAb7nXjR6c_ZvHUkdVjXT7sc25KoQ=s88-c-k-c0x00ffffff-no-rj</v>
      </c>
      <c r="AL258" s="80">
        <v>0</v>
      </c>
      <c r="AM258" s="80">
        <v>0</v>
      </c>
      <c r="AN258" s="80">
        <v>2</v>
      </c>
      <c r="AO258" s="80" t="b">
        <v>0</v>
      </c>
      <c r="AP258" s="80">
        <v>0</v>
      </c>
      <c r="AQ258" s="80"/>
      <c r="AR258" s="80"/>
      <c r="AS258" s="80" t="s">
        <v>2664</v>
      </c>
      <c r="AT258" s="85" t="str">
        <f>HYPERLINK("https://www.youtube.com/channel/UC6akKqRI4KiNYpwFdOMa2lg")</f>
        <v>https://www.youtube.com/channel/UC6akKqRI4KiNYpwFdOMa2lg</v>
      </c>
      <c r="AU258" s="80" t="str">
        <f>REPLACE(INDEX(GroupVertices[Group],MATCH(Vertices[[#This Row],[Vertex]],GroupVertices[Vertex],0)),1,1,"")</f>
        <v>7</v>
      </c>
      <c r="AV258" s="49">
        <v>0</v>
      </c>
      <c r="AW258" s="50">
        <v>0</v>
      </c>
      <c r="AX258" s="49">
        <v>1</v>
      </c>
      <c r="AY258" s="50">
        <v>6.666666666666667</v>
      </c>
      <c r="AZ258" s="49">
        <v>0</v>
      </c>
      <c r="BA258" s="50">
        <v>0</v>
      </c>
      <c r="BB258" s="49">
        <v>14</v>
      </c>
      <c r="BC258" s="50">
        <v>93.33333333333333</v>
      </c>
      <c r="BD258" s="49">
        <v>15</v>
      </c>
      <c r="BE258" s="49"/>
      <c r="BF258" s="49"/>
      <c r="BG258" s="49"/>
      <c r="BH258" s="49"/>
      <c r="BI258" s="49"/>
      <c r="BJ258" s="49"/>
      <c r="BK258" s="111" t="s">
        <v>3862</v>
      </c>
      <c r="BL258" s="111" t="s">
        <v>3862</v>
      </c>
      <c r="BM258" s="111" t="s">
        <v>4326</v>
      </c>
      <c r="BN258" s="111" t="s">
        <v>4326</v>
      </c>
      <c r="BO258" s="2"/>
      <c r="BP258" s="3"/>
      <c r="BQ258" s="3"/>
      <c r="BR258" s="3"/>
      <c r="BS258" s="3"/>
    </row>
    <row r="259" spans="1:71" ht="15">
      <c r="A259" s="65" t="s">
        <v>462</v>
      </c>
      <c r="B259" s="66"/>
      <c r="C259" s="66"/>
      <c r="D259" s="67">
        <v>433.3333333333333</v>
      </c>
      <c r="E259" s="69"/>
      <c r="F259" s="103" t="str">
        <f>HYPERLINK("https://yt3.ggpht.com/_NKt_13DbP1_slDrzm5i0ztAZqohD7zergwm-yMwhVqYSdxa9HsWUKYfYd0VnP--NdXXJWkKfg=s88-c-k-c0x00ffffff-no-rj")</f>
        <v>https://yt3.ggpht.com/_NKt_13DbP1_slDrzm5i0ztAZqohD7zergwm-yMwhVqYSdxa9HsWUKYfYd0VnP--NdXXJWkKfg=s88-c-k-c0x00ffffff-no-rj</v>
      </c>
      <c r="G259" s="66"/>
      <c r="H259" s="70" t="s">
        <v>1821</v>
      </c>
      <c r="I259" s="71"/>
      <c r="J259" s="71" t="s">
        <v>75</v>
      </c>
      <c r="K259" s="70" t="s">
        <v>1821</v>
      </c>
      <c r="L259" s="74">
        <v>191.43809523809523</v>
      </c>
      <c r="M259" s="75">
        <v>6725.50537109375</v>
      </c>
      <c r="N259" s="75">
        <v>5989.49072265625</v>
      </c>
      <c r="O259" s="76"/>
      <c r="P259" s="77"/>
      <c r="Q259" s="77"/>
      <c r="R259" s="89"/>
      <c r="S259" s="49">
        <v>2</v>
      </c>
      <c r="T259" s="49">
        <v>2</v>
      </c>
      <c r="U259" s="50">
        <v>0</v>
      </c>
      <c r="V259" s="50">
        <v>0.015873</v>
      </c>
      <c r="W259" s="50">
        <v>0</v>
      </c>
      <c r="X259" s="50">
        <v>0.918444</v>
      </c>
      <c r="Y259" s="50">
        <v>0</v>
      </c>
      <c r="Z259" s="50">
        <v>1</v>
      </c>
      <c r="AA259" s="72">
        <v>259</v>
      </c>
      <c r="AB259" s="72"/>
      <c r="AC259" s="73"/>
      <c r="AD259" s="80" t="s">
        <v>1821</v>
      </c>
      <c r="AE259" s="80"/>
      <c r="AF259" s="80"/>
      <c r="AG259" s="80"/>
      <c r="AH259" s="80"/>
      <c r="AI259" s="80"/>
      <c r="AJ259" s="87">
        <v>42683.61087962963</v>
      </c>
      <c r="AK259" s="85" t="str">
        <f>HYPERLINK("https://yt3.ggpht.com/_NKt_13DbP1_slDrzm5i0ztAZqohD7zergwm-yMwhVqYSdxa9HsWUKYfYd0VnP--NdXXJWkKfg=s88-c-k-c0x00ffffff-no-rj")</f>
        <v>https://yt3.ggpht.com/_NKt_13DbP1_slDrzm5i0ztAZqohD7zergwm-yMwhVqYSdxa9HsWUKYfYd0VnP--NdXXJWkKfg=s88-c-k-c0x00ffffff-no-rj</v>
      </c>
      <c r="AL259" s="80">
        <v>0</v>
      </c>
      <c r="AM259" s="80">
        <v>0</v>
      </c>
      <c r="AN259" s="80">
        <v>6</v>
      </c>
      <c r="AO259" s="80" t="b">
        <v>0</v>
      </c>
      <c r="AP259" s="80">
        <v>0</v>
      </c>
      <c r="AQ259" s="80"/>
      <c r="AR259" s="80"/>
      <c r="AS259" s="80" t="s">
        <v>2664</v>
      </c>
      <c r="AT259" s="85" t="str">
        <f>HYPERLINK("https://www.youtube.com/channel/UC4YZR11kdjGyGDHhEkXptmQ")</f>
        <v>https://www.youtube.com/channel/UC4YZR11kdjGyGDHhEkXptmQ</v>
      </c>
      <c r="AU259" s="80" t="str">
        <f>REPLACE(INDEX(GroupVertices[Group],MATCH(Vertices[[#This Row],[Vertex]],GroupVertices[Vertex],0)),1,1,"")</f>
        <v>7</v>
      </c>
      <c r="AV259" s="49">
        <v>1</v>
      </c>
      <c r="AW259" s="50">
        <v>2.5641025641025643</v>
      </c>
      <c r="AX259" s="49">
        <v>0</v>
      </c>
      <c r="AY259" s="50">
        <v>0</v>
      </c>
      <c r="AZ259" s="49">
        <v>0</v>
      </c>
      <c r="BA259" s="50">
        <v>0</v>
      </c>
      <c r="BB259" s="49">
        <v>38</v>
      </c>
      <c r="BC259" s="50">
        <v>97.43589743589743</v>
      </c>
      <c r="BD259" s="49">
        <v>39</v>
      </c>
      <c r="BE259" s="49"/>
      <c r="BF259" s="49"/>
      <c r="BG259" s="49"/>
      <c r="BH259" s="49"/>
      <c r="BI259" s="49"/>
      <c r="BJ259" s="49"/>
      <c r="BK259" s="111" t="s">
        <v>3863</v>
      </c>
      <c r="BL259" s="111" t="s">
        <v>4128</v>
      </c>
      <c r="BM259" s="111" t="s">
        <v>4327</v>
      </c>
      <c r="BN259" s="111" t="s">
        <v>4327</v>
      </c>
      <c r="BO259" s="2"/>
      <c r="BP259" s="3"/>
      <c r="BQ259" s="3"/>
      <c r="BR259" s="3"/>
      <c r="BS259" s="3"/>
    </row>
    <row r="260" spans="1:71" ht="15">
      <c r="A260" s="65" t="s">
        <v>463</v>
      </c>
      <c r="B260" s="66"/>
      <c r="C260" s="66"/>
      <c r="D260" s="67">
        <v>150</v>
      </c>
      <c r="E260" s="69"/>
      <c r="F260" s="103" t="str">
        <f>HYPERLINK("https://yt3.ggpht.com/a9n-ajxJ6a3Q1V_9CguEFrwUKktBvzTnvCqptViDf0DBf5JEjUXk1FoRTO0C8uYIBy15cNaaRg=s88-c-k-c0x00ffffff-no-rj")</f>
        <v>https://yt3.ggpht.com/a9n-ajxJ6a3Q1V_9CguEFrwUKktBvzTnvCqptViDf0DBf5JEjUXk1FoRTO0C8uYIBy15cNaaRg=s88-c-k-c0x00ffffff-no-rj</v>
      </c>
      <c r="G260" s="66"/>
      <c r="H260" s="70" t="s">
        <v>1822</v>
      </c>
      <c r="I260" s="71"/>
      <c r="J260" s="71" t="s">
        <v>159</v>
      </c>
      <c r="K260" s="70" t="s">
        <v>1822</v>
      </c>
      <c r="L260" s="74">
        <v>1</v>
      </c>
      <c r="M260" s="75">
        <v>6235.7333984375</v>
      </c>
      <c r="N260" s="75">
        <v>5308.4833984375</v>
      </c>
      <c r="O260" s="76"/>
      <c r="P260" s="77"/>
      <c r="Q260" s="77"/>
      <c r="R260" s="89"/>
      <c r="S260" s="49">
        <v>0</v>
      </c>
      <c r="T260" s="49">
        <v>1</v>
      </c>
      <c r="U260" s="50">
        <v>0</v>
      </c>
      <c r="V260" s="50">
        <v>0.015873</v>
      </c>
      <c r="W260" s="50">
        <v>0</v>
      </c>
      <c r="X260" s="50">
        <v>0.528105</v>
      </c>
      <c r="Y260" s="50">
        <v>0</v>
      </c>
      <c r="Z260" s="50">
        <v>0</v>
      </c>
      <c r="AA260" s="72">
        <v>260</v>
      </c>
      <c r="AB260" s="72"/>
      <c r="AC260" s="73"/>
      <c r="AD260" s="80" t="s">
        <v>1822</v>
      </c>
      <c r="AE260" s="80" t="s">
        <v>2509</v>
      </c>
      <c r="AF260" s="80"/>
      <c r="AG260" s="80"/>
      <c r="AH260" s="80"/>
      <c r="AI260" s="80"/>
      <c r="AJ260" s="87">
        <v>43519.47516203704</v>
      </c>
      <c r="AK260" s="85" t="str">
        <f>HYPERLINK("https://yt3.ggpht.com/a9n-ajxJ6a3Q1V_9CguEFrwUKktBvzTnvCqptViDf0DBf5JEjUXk1FoRTO0C8uYIBy15cNaaRg=s88-c-k-c0x00ffffff-no-rj")</f>
        <v>https://yt3.ggpht.com/a9n-ajxJ6a3Q1V_9CguEFrwUKktBvzTnvCqptViDf0DBf5JEjUXk1FoRTO0C8uYIBy15cNaaRg=s88-c-k-c0x00ffffff-no-rj</v>
      </c>
      <c r="AL260" s="80">
        <v>6183</v>
      </c>
      <c r="AM260" s="80">
        <v>0</v>
      </c>
      <c r="AN260" s="80">
        <v>124</v>
      </c>
      <c r="AO260" s="80" t="b">
        <v>0</v>
      </c>
      <c r="AP260" s="80">
        <v>32</v>
      </c>
      <c r="AQ260" s="80"/>
      <c r="AR260" s="80"/>
      <c r="AS260" s="80" t="s">
        <v>2664</v>
      </c>
      <c r="AT260" s="85" t="str">
        <f>HYPERLINK("https://www.youtube.com/channel/UCrmQ6-MSQwoB-yglmWm4OFA")</f>
        <v>https://www.youtube.com/channel/UCrmQ6-MSQwoB-yglmWm4OFA</v>
      </c>
      <c r="AU260" s="80" t="str">
        <f>REPLACE(INDEX(GroupVertices[Group],MATCH(Vertices[[#This Row],[Vertex]],GroupVertices[Vertex],0)),1,1,"")</f>
        <v>7</v>
      </c>
      <c r="AV260" s="49">
        <v>0</v>
      </c>
      <c r="AW260" s="50">
        <v>0</v>
      </c>
      <c r="AX260" s="49">
        <v>0</v>
      </c>
      <c r="AY260" s="50">
        <v>0</v>
      </c>
      <c r="AZ260" s="49">
        <v>0</v>
      </c>
      <c r="BA260" s="50">
        <v>0</v>
      </c>
      <c r="BB260" s="49">
        <v>3</v>
      </c>
      <c r="BC260" s="50">
        <v>100</v>
      </c>
      <c r="BD260" s="49">
        <v>3</v>
      </c>
      <c r="BE260" s="49"/>
      <c r="BF260" s="49"/>
      <c r="BG260" s="49"/>
      <c r="BH260" s="49"/>
      <c r="BI260" s="49"/>
      <c r="BJ260" s="49"/>
      <c r="BK260" s="111" t="s">
        <v>3864</v>
      </c>
      <c r="BL260" s="111" t="s">
        <v>3864</v>
      </c>
      <c r="BM260" s="111" t="s">
        <v>4328</v>
      </c>
      <c r="BN260" s="111" t="s">
        <v>4328</v>
      </c>
      <c r="BO260" s="2"/>
      <c r="BP260" s="3"/>
      <c r="BQ260" s="3"/>
      <c r="BR260" s="3"/>
      <c r="BS260" s="3"/>
    </row>
    <row r="261" spans="1:71" ht="15">
      <c r="A261" s="65" t="s">
        <v>464</v>
      </c>
      <c r="B261" s="66"/>
      <c r="C261" s="66"/>
      <c r="D261" s="67">
        <v>150</v>
      </c>
      <c r="E261" s="69"/>
      <c r="F261" s="103" t="str">
        <f>HYPERLINK("https://yt3.ggpht.com/ytc/AAUvwnggLNS2xXu0CMC-Lkxu0liQozSM6olzZTrDQgz1=s88-c-k-c0x00ffffff-no-rj")</f>
        <v>https://yt3.ggpht.com/ytc/AAUvwnggLNS2xXu0CMC-Lkxu0liQozSM6olzZTrDQgz1=s88-c-k-c0x00ffffff-no-rj</v>
      </c>
      <c r="G261" s="66"/>
      <c r="H261" s="70" t="s">
        <v>1823</v>
      </c>
      <c r="I261" s="71"/>
      <c r="J261" s="71" t="s">
        <v>159</v>
      </c>
      <c r="K261" s="70" t="s">
        <v>1823</v>
      </c>
      <c r="L261" s="74">
        <v>1</v>
      </c>
      <c r="M261" s="75">
        <v>6909.06787109375</v>
      </c>
      <c r="N261" s="75">
        <v>5192.5087890625</v>
      </c>
      <c r="O261" s="76"/>
      <c r="P261" s="77"/>
      <c r="Q261" s="77"/>
      <c r="R261" s="89"/>
      <c r="S261" s="49">
        <v>0</v>
      </c>
      <c r="T261" s="49">
        <v>1</v>
      </c>
      <c r="U261" s="50">
        <v>0</v>
      </c>
      <c r="V261" s="50">
        <v>0.015873</v>
      </c>
      <c r="W261" s="50">
        <v>0</v>
      </c>
      <c r="X261" s="50">
        <v>0.528105</v>
      </c>
      <c r="Y261" s="50">
        <v>0</v>
      </c>
      <c r="Z261" s="50">
        <v>0</v>
      </c>
      <c r="AA261" s="72">
        <v>261</v>
      </c>
      <c r="AB261" s="72"/>
      <c r="AC261" s="73"/>
      <c r="AD261" s="80" t="s">
        <v>1823</v>
      </c>
      <c r="AE261" s="80"/>
      <c r="AF261" s="80"/>
      <c r="AG261" s="80"/>
      <c r="AH261" s="80"/>
      <c r="AI261" s="80"/>
      <c r="AJ261" s="87">
        <v>42254.57268518519</v>
      </c>
      <c r="AK261" s="85" t="str">
        <f>HYPERLINK("https://yt3.ggpht.com/ytc/AAUvwnggLNS2xXu0CMC-Lkxu0liQozSM6olzZTrDQgz1=s88-c-k-c0x00ffffff-no-rj")</f>
        <v>https://yt3.ggpht.com/ytc/AAUvwnggLNS2xXu0CMC-Lkxu0liQozSM6olzZTrDQgz1=s88-c-k-c0x00ffffff-no-rj</v>
      </c>
      <c r="AL261" s="80">
        <v>0</v>
      </c>
      <c r="AM261" s="80">
        <v>0</v>
      </c>
      <c r="AN261" s="80">
        <v>0</v>
      </c>
      <c r="AO261" s="80" t="b">
        <v>0</v>
      </c>
      <c r="AP261" s="80">
        <v>0</v>
      </c>
      <c r="AQ261" s="80"/>
      <c r="AR261" s="80"/>
      <c r="AS261" s="80" t="s">
        <v>2664</v>
      </c>
      <c r="AT261" s="85" t="str">
        <f>HYPERLINK("https://www.youtube.com/channel/UCGEym27HkmD-2LaPugtHCig")</f>
        <v>https://www.youtube.com/channel/UCGEym27HkmD-2LaPugtHCig</v>
      </c>
      <c r="AU261" s="80" t="str">
        <f>REPLACE(INDEX(GroupVertices[Group],MATCH(Vertices[[#This Row],[Vertex]],GroupVertices[Vertex],0)),1,1,"")</f>
        <v>7</v>
      </c>
      <c r="AV261" s="49">
        <v>1</v>
      </c>
      <c r="AW261" s="50">
        <v>33.333333333333336</v>
      </c>
      <c r="AX261" s="49">
        <v>0</v>
      </c>
      <c r="AY261" s="50">
        <v>0</v>
      </c>
      <c r="AZ261" s="49">
        <v>0</v>
      </c>
      <c r="BA261" s="50">
        <v>0</v>
      </c>
      <c r="BB261" s="49">
        <v>2</v>
      </c>
      <c r="BC261" s="50">
        <v>66.66666666666667</v>
      </c>
      <c r="BD261" s="49">
        <v>3</v>
      </c>
      <c r="BE261" s="49"/>
      <c r="BF261" s="49"/>
      <c r="BG261" s="49"/>
      <c r="BH261" s="49"/>
      <c r="BI261" s="49"/>
      <c r="BJ261" s="49"/>
      <c r="BK261" s="111" t="s">
        <v>2716</v>
      </c>
      <c r="BL261" s="111" t="s">
        <v>2716</v>
      </c>
      <c r="BM261" s="111" t="s">
        <v>2390</v>
      </c>
      <c r="BN261" s="111" t="s">
        <v>2390</v>
      </c>
      <c r="BO261" s="2"/>
      <c r="BP261" s="3"/>
      <c r="BQ261" s="3"/>
      <c r="BR261" s="3"/>
      <c r="BS261" s="3"/>
    </row>
    <row r="262" spans="1:71" ht="15">
      <c r="A262" s="65" t="s">
        <v>465</v>
      </c>
      <c r="B262" s="66"/>
      <c r="C262" s="66"/>
      <c r="D262" s="67">
        <v>150</v>
      </c>
      <c r="E262" s="69"/>
      <c r="F262" s="103" t="str">
        <f>HYPERLINK("https://yt3.ggpht.com/ytc/AAUvwniXrM6Q58KZSJCFrILEenK8S5aCczJlKVa7RdzTEw=s88-c-k-c0x00ffffff-no-rj")</f>
        <v>https://yt3.ggpht.com/ytc/AAUvwniXrM6Q58KZSJCFrILEenK8S5aCczJlKVa7RdzTEw=s88-c-k-c0x00ffffff-no-rj</v>
      </c>
      <c r="G262" s="66"/>
      <c r="H262" s="70" t="s">
        <v>1824</v>
      </c>
      <c r="I262" s="71"/>
      <c r="J262" s="71" t="s">
        <v>159</v>
      </c>
      <c r="K262" s="70" t="s">
        <v>1824</v>
      </c>
      <c r="L262" s="74">
        <v>1</v>
      </c>
      <c r="M262" s="75">
        <v>6629.0751953125</v>
      </c>
      <c r="N262" s="75">
        <v>6194.87548828125</v>
      </c>
      <c r="O262" s="76"/>
      <c r="P262" s="77"/>
      <c r="Q262" s="77"/>
      <c r="R262" s="89"/>
      <c r="S262" s="49">
        <v>0</v>
      </c>
      <c r="T262" s="49">
        <v>1</v>
      </c>
      <c r="U262" s="50">
        <v>0</v>
      </c>
      <c r="V262" s="50">
        <v>0.015873</v>
      </c>
      <c r="W262" s="50">
        <v>0</v>
      </c>
      <c r="X262" s="50">
        <v>0.528105</v>
      </c>
      <c r="Y262" s="50">
        <v>0</v>
      </c>
      <c r="Z262" s="50">
        <v>0</v>
      </c>
      <c r="AA262" s="72">
        <v>262</v>
      </c>
      <c r="AB262" s="72"/>
      <c r="AC262" s="73"/>
      <c r="AD262" s="80" t="s">
        <v>1824</v>
      </c>
      <c r="AE262" s="80"/>
      <c r="AF262" s="80"/>
      <c r="AG262" s="80"/>
      <c r="AH262" s="80"/>
      <c r="AI262" s="80"/>
      <c r="AJ262" s="87">
        <v>43900.71428240741</v>
      </c>
      <c r="AK262" s="85" t="str">
        <f>HYPERLINK("https://yt3.ggpht.com/ytc/AAUvwniXrM6Q58KZSJCFrILEenK8S5aCczJlKVa7RdzTEw=s88-c-k-c0x00ffffff-no-rj")</f>
        <v>https://yt3.ggpht.com/ytc/AAUvwniXrM6Q58KZSJCFrILEenK8S5aCczJlKVa7RdzTEw=s88-c-k-c0x00ffffff-no-rj</v>
      </c>
      <c r="AL262" s="80">
        <v>3</v>
      </c>
      <c r="AM262" s="80">
        <v>0</v>
      </c>
      <c r="AN262" s="80">
        <v>0</v>
      </c>
      <c r="AO262" s="80" t="b">
        <v>0</v>
      </c>
      <c r="AP262" s="80">
        <v>1</v>
      </c>
      <c r="AQ262" s="80"/>
      <c r="AR262" s="80"/>
      <c r="AS262" s="80" t="s">
        <v>2664</v>
      </c>
      <c r="AT262" s="85" t="str">
        <f>HYPERLINK("https://www.youtube.com/channel/UCb230vB4eVv_L-0M53yNGxQ")</f>
        <v>https://www.youtube.com/channel/UCb230vB4eVv_L-0M53yNGxQ</v>
      </c>
      <c r="AU262" s="80" t="str">
        <f>REPLACE(INDEX(GroupVertices[Group],MATCH(Vertices[[#This Row],[Vertex]],GroupVertices[Vertex],0)),1,1,"")</f>
        <v>7</v>
      </c>
      <c r="AV262" s="49">
        <v>1</v>
      </c>
      <c r="AW262" s="50">
        <v>20</v>
      </c>
      <c r="AX262" s="49">
        <v>0</v>
      </c>
      <c r="AY262" s="50">
        <v>0</v>
      </c>
      <c r="AZ262" s="49">
        <v>0</v>
      </c>
      <c r="BA262" s="50">
        <v>0</v>
      </c>
      <c r="BB262" s="49">
        <v>4</v>
      </c>
      <c r="BC262" s="50">
        <v>80</v>
      </c>
      <c r="BD262" s="49">
        <v>5</v>
      </c>
      <c r="BE262" s="49"/>
      <c r="BF262" s="49"/>
      <c r="BG262" s="49"/>
      <c r="BH262" s="49"/>
      <c r="BI262" s="49"/>
      <c r="BJ262" s="49"/>
      <c r="BK262" s="111" t="s">
        <v>3865</v>
      </c>
      <c r="BL262" s="111" t="s">
        <v>3865</v>
      </c>
      <c r="BM262" s="111" t="s">
        <v>4329</v>
      </c>
      <c r="BN262" s="111" t="s">
        <v>4329</v>
      </c>
      <c r="BO262" s="2"/>
      <c r="BP262" s="3"/>
      <c r="BQ262" s="3"/>
      <c r="BR262" s="3"/>
      <c r="BS262" s="3"/>
    </row>
    <row r="263" spans="1:71" ht="15">
      <c r="A263" s="65" t="s">
        <v>466</v>
      </c>
      <c r="B263" s="66"/>
      <c r="C263" s="66"/>
      <c r="D263" s="67">
        <v>433.3333333333333</v>
      </c>
      <c r="E263" s="69"/>
      <c r="F263" s="103" t="str">
        <f>HYPERLINK("https://yt3.ggpht.com/ytc/AAUvwngYTIX4N1hayH3n0aO5lKKHSR2X0LX6ZvKEmV7a2WY=s88-c-k-c0x00ffffff-no-rj")</f>
        <v>https://yt3.ggpht.com/ytc/AAUvwngYTIX4N1hayH3n0aO5lKKHSR2X0LX6ZvKEmV7a2WY=s88-c-k-c0x00ffffff-no-rj</v>
      </c>
      <c r="G263" s="66"/>
      <c r="H263" s="70" t="s">
        <v>1825</v>
      </c>
      <c r="I263" s="71"/>
      <c r="J263" s="71" t="s">
        <v>75</v>
      </c>
      <c r="K263" s="70" t="s">
        <v>1825</v>
      </c>
      <c r="L263" s="74">
        <v>191.43809523809523</v>
      </c>
      <c r="M263" s="75">
        <v>6675.99560546875</v>
      </c>
      <c r="N263" s="75">
        <v>5708.49462890625</v>
      </c>
      <c r="O263" s="76"/>
      <c r="P263" s="77"/>
      <c r="Q263" s="77"/>
      <c r="R263" s="89"/>
      <c r="S263" s="49">
        <v>2</v>
      </c>
      <c r="T263" s="49">
        <v>2</v>
      </c>
      <c r="U263" s="50">
        <v>0</v>
      </c>
      <c r="V263" s="50">
        <v>0.015873</v>
      </c>
      <c r="W263" s="50">
        <v>0</v>
      </c>
      <c r="X263" s="50">
        <v>0.918444</v>
      </c>
      <c r="Y263" s="50">
        <v>0</v>
      </c>
      <c r="Z263" s="50">
        <v>1</v>
      </c>
      <c r="AA263" s="72">
        <v>263</v>
      </c>
      <c r="AB263" s="72"/>
      <c r="AC263" s="73"/>
      <c r="AD263" s="80" t="s">
        <v>1825</v>
      </c>
      <c r="AE263" s="80" t="s">
        <v>2510</v>
      </c>
      <c r="AF263" s="80"/>
      <c r="AG263" s="80"/>
      <c r="AH263" s="80"/>
      <c r="AI263" s="80"/>
      <c r="AJ263" s="87">
        <v>42731.82634259259</v>
      </c>
      <c r="AK263" s="85" t="str">
        <f>HYPERLINK("https://yt3.ggpht.com/ytc/AAUvwngYTIX4N1hayH3n0aO5lKKHSR2X0LX6ZvKEmV7a2WY=s88-c-k-c0x00ffffff-no-rj")</f>
        <v>https://yt3.ggpht.com/ytc/AAUvwngYTIX4N1hayH3n0aO5lKKHSR2X0LX6ZvKEmV7a2WY=s88-c-k-c0x00ffffff-no-rj</v>
      </c>
      <c r="AL263" s="80">
        <v>83492</v>
      </c>
      <c r="AM263" s="80">
        <v>0</v>
      </c>
      <c r="AN263" s="80">
        <v>0</v>
      </c>
      <c r="AO263" s="80" t="b">
        <v>1</v>
      </c>
      <c r="AP263" s="80">
        <v>53</v>
      </c>
      <c r="AQ263" s="80"/>
      <c r="AR263" s="80"/>
      <c r="AS263" s="80" t="s">
        <v>2664</v>
      </c>
      <c r="AT263" s="85" t="str">
        <f>HYPERLINK("https://www.youtube.com/channel/UCraN_8sc6GDjLQeDT22OAFw")</f>
        <v>https://www.youtube.com/channel/UCraN_8sc6GDjLQeDT22OAFw</v>
      </c>
      <c r="AU263" s="80" t="str">
        <f>REPLACE(INDEX(GroupVertices[Group],MATCH(Vertices[[#This Row],[Vertex]],GroupVertices[Vertex],0)),1,1,"")</f>
        <v>7</v>
      </c>
      <c r="AV263" s="49">
        <v>0</v>
      </c>
      <c r="AW263" s="50">
        <v>0</v>
      </c>
      <c r="AX263" s="49">
        <v>0</v>
      </c>
      <c r="AY263" s="50">
        <v>0</v>
      </c>
      <c r="AZ263" s="49">
        <v>0</v>
      </c>
      <c r="BA263" s="50">
        <v>0</v>
      </c>
      <c r="BB263" s="49">
        <v>16</v>
      </c>
      <c r="BC263" s="50">
        <v>100</v>
      </c>
      <c r="BD263" s="49">
        <v>16</v>
      </c>
      <c r="BE263" s="49"/>
      <c r="BF263" s="49"/>
      <c r="BG263" s="49"/>
      <c r="BH263" s="49"/>
      <c r="BI263" s="49"/>
      <c r="BJ263" s="49"/>
      <c r="BK263" s="111" t="s">
        <v>3866</v>
      </c>
      <c r="BL263" s="111" t="s">
        <v>4129</v>
      </c>
      <c r="BM263" s="111" t="s">
        <v>4330</v>
      </c>
      <c r="BN263" s="111" t="s">
        <v>4330</v>
      </c>
      <c r="BO263" s="2"/>
      <c r="BP263" s="3"/>
      <c r="BQ263" s="3"/>
      <c r="BR263" s="3"/>
      <c r="BS263" s="3"/>
    </row>
    <row r="264" spans="1:71" ht="15">
      <c r="A264" s="65" t="s">
        <v>467</v>
      </c>
      <c r="B264" s="66"/>
      <c r="C264" s="66"/>
      <c r="D264" s="67">
        <v>150</v>
      </c>
      <c r="E264" s="69"/>
      <c r="F264" s="103" t="str">
        <f>HYPERLINK("https://yt3.ggpht.com/ytc/AAUvwnheet806w-Ks8I0nAd8h-5Yv74_o4YNPGp-SjGOwA=s88-c-k-c0x00ffffff-no-rj")</f>
        <v>https://yt3.ggpht.com/ytc/AAUvwnheet806w-Ks8I0nAd8h-5Yv74_o4YNPGp-SjGOwA=s88-c-k-c0x00ffffff-no-rj</v>
      </c>
      <c r="G264" s="66"/>
      <c r="H264" s="70" t="s">
        <v>1826</v>
      </c>
      <c r="I264" s="71"/>
      <c r="J264" s="71" t="s">
        <v>159</v>
      </c>
      <c r="K264" s="70" t="s">
        <v>1826</v>
      </c>
      <c r="L264" s="74">
        <v>1</v>
      </c>
      <c r="M264" s="75">
        <v>5740.06201171875</v>
      </c>
      <c r="N264" s="75">
        <v>5515.4326171875</v>
      </c>
      <c r="O264" s="76"/>
      <c r="P264" s="77"/>
      <c r="Q264" s="77"/>
      <c r="R264" s="89"/>
      <c r="S264" s="49">
        <v>0</v>
      </c>
      <c r="T264" s="49">
        <v>1</v>
      </c>
      <c r="U264" s="50">
        <v>0</v>
      </c>
      <c r="V264" s="50">
        <v>0.015873</v>
      </c>
      <c r="W264" s="50">
        <v>0</v>
      </c>
      <c r="X264" s="50">
        <v>0.528105</v>
      </c>
      <c r="Y264" s="50">
        <v>0</v>
      </c>
      <c r="Z264" s="50">
        <v>0</v>
      </c>
      <c r="AA264" s="72">
        <v>264</v>
      </c>
      <c r="AB264" s="72"/>
      <c r="AC264" s="73"/>
      <c r="AD264" s="80" t="s">
        <v>1826</v>
      </c>
      <c r="AE264" s="80"/>
      <c r="AF264" s="80"/>
      <c r="AG264" s="80"/>
      <c r="AH264" s="80"/>
      <c r="AI264" s="80"/>
      <c r="AJ264" s="87">
        <v>43630.27170138889</v>
      </c>
      <c r="AK264" s="85" t="str">
        <f>HYPERLINK("https://yt3.ggpht.com/ytc/AAUvwnheet806w-Ks8I0nAd8h-5Yv74_o4YNPGp-SjGOwA=s88-c-k-c0x00ffffff-no-rj")</f>
        <v>https://yt3.ggpht.com/ytc/AAUvwnheet806w-Ks8I0nAd8h-5Yv74_o4YNPGp-SjGOwA=s88-c-k-c0x00ffffff-no-rj</v>
      </c>
      <c r="AL264" s="80">
        <v>8</v>
      </c>
      <c r="AM264" s="80">
        <v>0</v>
      </c>
      <c r="AN264" s="80">
        <v>0</v>
      </c>
      <c r="AO264" s="80" t="b">
        <v>0</v>
      </c>
      <c r="AP264" s="80">
        <v>3</v>
      </c>
      <c r="AQ264" s="80"/>
      <c r="AR264" s="80"/>
      <c r="AS264" s="80" t="s">
        <v>2664</v>
      </c>
      <c r="AT264" s="85" t="str">
        <f>HYPERLINK("https://www.youtube.com/channel/UCYn8uPJhCUl9uolI0hLM2Qg")</f>
        <v>https://www.youtube.com/channel/UCYn8uPJhCUl9uolI0hLM2Qg</v>
      </c>
      <c r="AU264" s="80" t="str">
        <f>REPLACE(INDEX(GroupVertices[Group],MATCH(Vertices[[#This Row],[Vertex]],GroupVertices[Vertex],0)),1,1,"")</f>
        <v>7</v>
      </c>
      <c r="AV264" s="49">
        <v>0</v>
      </c>
      <c r="AW264" s="50">
        <v>0</v>
      </c>
      <c r="AX264" s="49">
        <v>0</v>
      </c>
      <c r="AY264" s="50">
        <v>0</v>
      </c>
      <c r="AZ264" s="49">
        <v>0</v>
      </c>
      <c r="BA264" s="50">
        <v>0</v>
      </c>
      <c r="BB264" s="49">
        <v>12</v>
      </c>
      <c r="BC264" s="50">
        <v>100</v>
      </c>
      <c r="BD264" s="49">
        <v>12</v>
      </c>
      <c r="BE264" s="49"/>
      <c r="BF264" s="49"/>
      <c r="BG264" s="49"/>
      <c r="BH264" s="49"/>
      <c r="BI264" s="49"/>
      <c r="BJ264" s="49"/>
      <c r="BK264" s="111" t="s">
        <v>3867</v>
      </c>
      <c r="BL264" s="111" t="s">
        <v>3867</v>
      </c>
      <c r="BM264" s="111" t="s">
        <v>4331</v>
      </c>
      <c r="BN264" s="111" t="s">
        <v>4331</v>
      </c>
      <c r="BO264" s="2"/>
      <c r="BP264" s="3"/>
      <c r="BQ264" s="3"/>
      <c r="BR264" s="3"/>
      <c r="BS264" s="3"/>
    </row>
    <row r="265" spans="1:71" ht="15">
      <c r="A265" s="65" t="s">
        <v>468</v>
      </c>
      <c r="B265" s="66"/>
      <c r="C265" s="66"/>
      <c r="D265" s="67">
        <v>150</v>
      </c>
      <c r="E265" s="69"/>
      <c r="F265" s="103" t="str">
        <f>HYPERLINK("https://yt3.ggpht.com/ytc/AAUvwnjwgerr513yG3GAMjGlJa2JlF4dox1AWc-cLCAE=s88-c-k-c0x00ffffff-no-rj")</f>
        <v>https://yt3.ggpht.com/ytc/AAUvwnjwgerr513yG3GAMjGlJa2JlF4dox1AWc-cLCAE=s88-c-k-c0x00ffffff-no-rj</v>
      </c>
      <c r="G265" s="66"/>
      <c r="H265" s="70" t="s">
        <v>1827</v>
      </c>
      <c r="I265" s="71"/>
      <c r="J265" s="71" t="s">
        <v>159</v>
      </c>
      <c r="K265" s="70" t="s">
        <v>1827</v>
      </c>
      <c r="L265" s="74">
        <v>1</v>
      </c>
      <c r="M265" s="75">
        <v>5540.30322265625</v>
      </c>
      <c r="N265" s="75">
        <v>5178.73486328125</v>
      </c>
      <c r="O265" s="76"/>
      <c r="P265" s="77"/>
      <c r="Q265" s="77"/>
      <c r="R265" s="89"/>
      <c r="S265" s="49">
        <v>0</v>
      </c>
      <c r="T265" s="49">
        <v>1</v>
      </c>
      <c r="U265" s="50">
        <v>0</v>
      </c>
      <c r="V265" s="50">
        <v>0.015873</v>
      </c>
      <c r="W265" s="50">
        <v>0</v>
      </c>
      <c r="X265" s="50">
        <v>0.528105</v>
      </c>
      <c r="Y265" s="50">
        <v>0</v>
      </c>
      <c r="Z265" s="50">
        <v>0</v>
      </c>
      <c r="AA265" s="72">
        <v>265</v>
      </c>
      <c r="AB265" s="72"/>
      <c r="AC265" s="73"/>
      <c r="AD265" s="80" t="s">
        <v>1827</v>
      </c>
      <c r="AE265" s="80"/>
      <c r="AF265" s="80"/>
      <c r="AG265" s="80"/>
      <c r="AH265" s="80"/>
      <c r="AI265" s="80"/>
      <c r="AJ265" s="87">
        <v>43480.57545138889</v>
      </c>
      <c r="AK265" s="85" t="str">
        <f>HYPERLINK("https://yt3.ggpht.com/ytc/AAUvwnjwgerr513yG3GAMjGlJa2JlF4dox1AWc-cLCAE=s88-c-k-c0x00ffffff-no-rj")</f>
        <v>https://yt3.ggpht.com/ytc/AAUvwnjwgerr513yG3GAMjGlJa2JlF4dox1AWc-cLCAE=s88-c-k-c0x00ffffff-no-rj</v>
      </c>
      <c r="AL265" s="80">
        <v>0</v>
      </c>
      <c r="AM265" s="80">
        <v>0</v>
      </c>
      <c r="AN265" s="80">
        <v>0</v>
      </c>
      <c r="AO265" s="80" t="b">
        <v>0</v>
      </c>
      <c r="AP265" s="80">
        <v>0</v>
      </c>
      <c r="AQ265" s="80"/>
      <c r="AR265" s="80"/>
      <c r="AS265" s="80" t="s">
        <v>2664</v>
      </c>
      <c r="AT265" s="85" t="str">
        <f>HYPERLINK("https://www.youtube.com/channel/UCapJ7xVlHB20PKPeJFFCeOQ")</f>
        <v>https://www.youtube.com/channel/UCapJ7xVlHB20PKPeJFFCeOQ</v>
      </c>
      <c r="AU265" s="80" t="str">
        <f>REPLACE(INDEX(GroupVertices[Group],MATCH(Vertices[[#This Row],[Vertex]],GroupVertices[Vertex],0)),1,1,"")</f>
        <v>7</v>
      </c>
      <c r="AV265" s="49">
        <v>0</v>
      </c>
      <c r="AW265" s="50">
        <v>0</v>
      </c>
      <c r="AX265" s="49">
        <v>0</v>
      </c>
      <c r="AY265" s="50">
        <v>0</v>
      </c>
      <c r="AZ265" s="49">
        <v>0</v>
      </c>
      <c r="BA265" s="50">
        <v>0</v>
      </c>
      <c r="BB265" s="49">
        <v>4</v>
      </c>
      <c r="BC265" s="50">
        <v>100</v>
      </c>
      <c r="BD265" s="49">
        <v>4</v>
      </c>
      <c r="BE265" s="49"/>
      <c r="BF265" s="49"/>
      <c r="BG265" s="49"/>
      <c r="BH265" s="49"/>
      <c r="BI265" s="49"/>
      <c r="BJ265" s="49"/>
      <c r="BK265" s="111" t="s">
        <v>3868</v>
      </c>
      <c r="BL265" s="111" t="s">
        <v>3868</v>
      </c>
      <c r="BM265" s="111" t="s">
        <v>4332</v>
      </c>
      <c r="BN265" s="111" t="s">
        <v>4332</v>
      </c>
      <c r="BO265" s="2"/>
      <c r="BP265" s="3"/>
      <c r="BQ265" s="3"/>
      <c r="BR265" s="3"/>
      <c r="BS265" s="3"/>
    </row>
    <row r="266" spans="1:71" ht="15">
      <c r="A266" s="65" t="s">
        <v>469</v>
      </c>
      <c r="B266" s="66"/>
      <c r="C266" s="66"/>
      <c r="D266" s="67">
        <v>150</v>
      </c>
      <c r="E266" s="69"/>
      <c r="F266" s="103" t="str">
        <f>HYPERLINK("https://yt3.ggpht.com/ytc/AAUvwnjk4vpGDDt1EqGks_c7GCwX2DUd1XiqcX79qA=s88-c-k-c0x00ffffff-no-rj")</f>
        <v>https://yt3.ggpht.com/ytc/AAUvwnjk4vpGDDt1EqGks_c7GCwX2DUd1XiqcX79qA=s88-c-k-c0x00ffffff-no-rj</v>
      </c>
      <c r="G266" s="66"/>
      <c r="H266" s="70" t="s">
        <v>1828</v>
      </c>
      <c r="I266" s="71"/>
      <c r="J266" s="71" t="s">
        <v>159</v>
      </c>
      <c r="K266" s="70" t="s">
        <v>1828</v>
      </c>
      <c r="L266" s="74">
        <v>1</v>
      </c>
      <c r="M266" s="75">
        <v>5763.04736328125</v>
      </c>
      <c r="N266" s="75">
        <v>5027.36279296875</v>
      </c>
      <c r="O266" s="76"/>
      <c r="P266" s="77"/>
      <c r="Q266" s="77"/>
      <c r="R266" s="89"/>
      <c r="S266" s="49">
        <v>0</v>
      </c>
      <c r="T266" s="49">
        <v>1</v>
      </c>
      <c r="U266" s="50">
        <v>0</v>
      </c>
      <c r="V266" s="50">
        <v>0.015873</v>
      </c>
      <c r="W266" s="50">
        <v>0</v>
      </c>
      <c r="X266" s="50">
        <v>0.528105</v>
      </c>
      <c r="Y266" s="50">
        <v>0</v>
      </c>
      <c r="Z266" s="50">
        <v>0</v>
      </c>
      <c r="AA266" s="72">
        <v>266</v>
      </c>
      <c r="AB266" s="72"/>
      <c r="AC266" s="73"/>
      <c r="AD266" s="80" t="s">
        <v>1828</v>
      </c>
      <c r="AE266" s="80"/>
      <c r="AF266" s="80"/>
      <c r="AG266" s="80"/>
      <c r="AH266" s="80"/>
      <c r="AI266" s="80"/>
      <c r="AJ266" s="87">
        <v>43866.11173611111</v>
      </c>
      <c r="AK266" s="85" t="str">
        <f>HYPERLINK("https://yt3.ggpht.com/ytc/AAUvwnjk4vpGDDt1EqGks_c7GCwX2DUd1XiqcX79qA=s88-c-k-c0x00ffffff-no-rj")</f>
        <v>https://yt3.ggpht.com/ytc/AAUvwnjk4vpGDDt1EqGks_c7GCwX2DUd1XiqcX79qA=s88-c-k-c0x00ffffff-no-rj</v>
      </c>
      <c r="AL266" s="80">
        <v>0</v>
      </c>
      <c r="AM266" s="80">
        <v>0</v>
      </c>
      <c r="AN266" s="80">
        <v>0</v>
      </c>
      <c r="AO266" s="80" t="b">
        <v>0</v>
      </c>
      <c r="AP266" s="80">
        <v>0</v>
      </c>
      <c r="AQ266" s="80"/>
      <c r="AR266" s="80"/>
      <c r="AS266" s="80" t="s">
        <v>2664</v>
      </c>
      <c r="AT266" s="85" t="str">
        <f>HYPERLINK("https://www.youtube.com/channel/UCBL7PZewOdecU9J_-LkUefg")</f>
        <v>https://www.youtube.com/channel/UCBL7PZewOdecU9J_-LkUefg</v>
      </c>
      <c r="AU266" s="80" t="str">
        <f>REPLACE(INDEX(GroupVertices[Group],MATCH(Vertices[[#This Row],[Vertex]],GroupVertices[Vertex],0)),1,1,"")</f>
        <v>7</v>
      </c>
      <c r="AV266" s="49">
        <v>1</v>
      </c>
      <c r="AW266" s="50">
        <v>33.333333333333336</v>
      </c>
      <c r="AX266" s="49">
        <v>0</v>
      </c>
      <c r="AY266" s="50">
        <v>0</v>
      </c>
      <c r="AZ266" s="49">
        <v>0</v>
      </c>
      <c r="BA266" s="50">
        <v>0</v>
      </c>
      <c r="BB266" s="49">
        <v>2</v>
      </c>
      <c r="BC266" s="50">
        <v>66.66666666666667</v>
      </c>
      <c r="BD266" s="49">
        <v>3</v>
      </c>
      <c r="BE266" s="49"/>
      <c r="BF266" s="49"/>
      <c r="BG266" s="49"/>
      <c r="BH266" s="49"/>
      <c r="BI266" s="49"/>
      <c r="BJ266" s="49"/>
      <c r="BK266" s="111" t="s">
        <v>2716</v>
      </c>
      <c r="BL266" s="111" t="s">
        <v>2716</v>
      </c>
      <c r="BM266" s="111" t="s">
        <v>2390</v>
      </c>
      <c r="BN266" s="111" t="s">
        <v>2390</v>
      </c>
      <c r="BO266" s="2"/>
      <c r="BP266" s="3"/>
      <c r="BQ266" s="3"/>
      <c r="BR266" s="3"/>
      <c r="BS266" s="3"/>
    </row>
    <row r="267" spans="1:71" ht="15">
      <c r="A267" s="65" t="s">
        <v>470</v>
      </c>
      <c r="B267" s="66"/>
      <c r="C267" s="66"/>
      <c r="D267" s="67">
        <v>150</v>
      </c>
      <c r="E267" s="69"/>
      <c r="F267" s="103" t="str">
        <f>HYPERLINK("https://yt3.ggpht.com/ytc/AAUvwnhVyTqDzytoSMyEqMMmoWuSq_6PRpR7ghH7aA=s88-c-k-c0x00ffffff-no-rj")</f>
        <v>https://yt3.ggpht.com/ytc/AAUvwnhVyTqDzytoSMyEqMMmoWuSq_6PRpR7ghH7aA=s88-c-k-c0x00ffffff-no-rj</v>
      </c>
      <c r="G267" s="66"/>
      <c r="H267" s="70" t="s">
        <v>1829</v>
      </c>
      <c r="I267" s="71"/>
      <c r="J267" s="71" t="s">
        <v>159</v>
      </c>
      <c r="K267" s="70" t="s">
        <v>1829</v>
      </c>
      <c r="L267" s="74">
        <v>1</v>
      </c>
      <c r="M267" s="75">
        <v>6122.6728515625</v>
      </c>
      <c r="N267" s="75">
        <v>6275.419921875</v>
      </c>
      <c r="O267" s="76"/>
      <c r="P267" s="77"/>
      <c r="Q267" s="77"/>
      <c r="R267" s="89"/>
      <c r="S267" s="49">
        <v>0</v>
      </c>
      <c r="T267" s="49">
        <v>1</v>
      </c>
      <c r="U267" s="50">
        <v>0</v>
      </c>
      <c r="V267" s="50">
        <v>0.015873</v>
      </c>
      <c r="W267" s="50">
        <v>0</v>
      </c>
      <c r="X267" s="50">
        <v>0.528105</v>
      </c>
      <c r="Y267" s="50">
        <v>0</v>
      </c>
      <c r="Z267" s="50">
        <v>0</v>
      </c>
      <c r="AA267" s="72">
        <v>267</v>
      </c>
      <c r="AB267" s="72"/>
      <c r="AC267" s="73"/>
      <c r="AD267" s="80" t="s">
        <v>1829</v>
      </c>
      <c r="AE267" s="80"/>
      <c r="AF267" s="80"/>
      <c r="AG267" s="80"/>
      <c r="AH267" s="80"/>
      <c r="AI267" s="80"/>
      <c r="AJ267" s="87">
        <v>42219.77209490741</v>
      </c>
      <c r="AK267" s="85" t="str">
        <f>HYPERLINK("https://yt3.ggpht.com/ytc/AAUvwnhVyTqDzytoSMyEqMMmoWuSq_6PRpR7ghH7aA=s88-c-k-c0x00ffffff-no-rj")</f>
        <v>https://yt3.ggpht.com/ytc/AAUvwnhVyTqDzytoSMyEqMMmoWuSq_6PRpR7ghH7aA=s88-c-k-c0x00ffffff-no-rj</v>
      </c>
      <c r="AL267" s="80">
        <v>0</v>
      </c>
      <c r="AM267" s="80">
        <v>0</v>
      </c>
      <c r="AN267" s="80">
        <v>0</v>
      </c>
      <c r="AO267" s="80" t="b">
        <v>0</v>
      </c>
      <c r="AP267" s="80">
        <v>0</v>
      </c>
      <c r="AQ267" s="80"/>
      <c r="AR267" s="80"/>
      <c r="AS267" s="80" t="s">
        <v>2664</v>
      </c>
      <c r="AT267" s="85" t="str">
        <f>HYPERLINK("https://www.youtube.com/channel/UC2J5M9P0rhxNR7GHdQMBKmw")</f>
        <v>https://www.youtube.com/channel/UC2J5M9P0rhxNR7GHdQMBKmw</v>
      </c>
      <c r="AU267" s="80" t="str">
        <f>REPLACE(INDEX(GroupVertices[Group],MATCH(Vertices[[#This Row],[Vertex]],GroupVertices[Vertex],0)),1,1,"")</f>
        <v>7</v>
      </c>
      <c r="AV267" s="49">
        <v>0</v>
      </c>
      <c r="AW267" s="50">
        <v>0</v>
      </c>
      <c r="AX267" s="49">
        <v>0</v>
      </c>
      <c r="AY267" s="50">
        <v>0</v>
      </c>
      <c r="AZ267" s="49">
        <v>0</v>
      </c>
      <c r="BA267" s="50">
        <v>0</v>
      </c>
      <c r="BB267" s="49">
        <v>8</v>
      </c>
      <c r="BC267" s="50">
        <v>100</v>
      </c>
      <c r="BD267" s="49">
        <v>8</v>
      </c>
      <c r="BE267" s="49"/>
      <c r="BF267" s="49"/>
      <c r="BG267" s="49"/>
      <c r="BH267" s="49"/>
      <c r="BI267" s="49"/>
      <c r="BJ267" s="49"/>
      <c r="BK267" s="111" t="s">
        <v>3869</v>
      </c>
      <c r="BL267" s="111" t="s">
        <v>3869</v>
      </c>
      <c r="BM267" s="111" t="s">
        <v>4333</v>
      </c>
      <c r="BN267" s="111" t="s">
        <v>4333</v>
      </c>
      <c r="BO267" s="2"/>
      <c r="BP267" s="3"/>
      <c r="BQ267" s="3"/>
      <c r="BR267" s="3"/>
      <c r="BS267" s="3"/>
    </row>
    <row r="268" spans="1:71" ht="15">
      <c r="A268" s="65" t="s">
        <v>471</v>
      </c>
      <c r="B268" s="66"/>
      <c r="C268" s="66"/>
      <c r="D268" s="67">
        <v>291.66666666666663</v>
      </c>
      <c r="E268" s="69"/>
      <c r="F268" s="103" t="str">
        <f>HYPERLINK("https://yt3.ggpht.com/ytc/AAUvwnguAvv9i6q020y3dQFoHSO3hcUf8YtIYTbSayYH=s88-c-k-c0x00ffffff-no-rj")</f>
        <v>https://yt3.ggpht.com/ytc/AAUvwnguAvv9i6q020y3dQFoHSO3hcUf8YtIYTbSayYH=s88-c-k-c0x00ffffff-no-rj</v>
      </c>
      <c r="G268" s="66"/>
      <c r="H268" s="70" t="s">
        <v>1830</v>
      </c>
      <c r="I268" s="71"/>
      <c r="J268" s="71" t="s">
        <v>159</v>
      </c>
      <c r="K268" s="70" t="s">
        <v>1830</v>
      </c>
      <c r="L268" s="74">
        <v>96.21904761904761</v>
      </c>
      <c r="M268" s="75">
        <v>5844.6953125</v>
      </c>
      <c r="N268" s="75">
        <v>6225.57666015625</v>
      </c>
      <c r="O268" s="76"/>
      <c r="P268" s="77"/>
      <c r="Q268" s="77"/>
      <c r="R268" s="89"/>
      <c r="S268" s="49">
        <v>1</v>
      </c>
      <c r="T268" s="49">
        <v>1</v>
      </c>
      <c r="U268" s="50">
        <v>0</v>
      </c>
      <c r="V268" s="50">
        <v>0.015873</v>
      </c>
      <c r="W268" s="50">
        <v>0</v>
      </c>
      <c r="X268" s="50">
        <v>0.528105</v>
      </c>
      <c r="Y268" s="50">
        <v>0</v>
      </c>
      <c r="Z268" s="50">
        <v>1</v>
      </c>
      <c r="AA268" s="72">
        <v>268</v>
      </c>
      <c r="AB268" s="72"/>
      <c r="AC268" s="73"/>
      <c r="AD268" s="80" t="s">
        <v>1830</v>
      </c>
      <c r="AE268" s="80"/>
      <c r="AF268" s="80"/>
      <c r="AG268" s="80"/>
      <c r="AH268" s="80"/>
      <c r="AI268" s="80"/>
      <c r="AJ268" s="87">
        <v>42654.37275462963</v>
      </c>
      <c r="AK268" s="85" t="str">
        <f>HYPERLINK("https://yt3.ggpht.com/ytc/AAUvwnguAvv9i6q020y3dQFoHSO3hcUf8YtIYTbSayYH=s88-c-k-c0x00ffffff-no-rj")</f>
        <v>https://yt3.ggpht.com/ytc/AAUvwnguAvv9i6q020y3dQFoHSO3hcUf8YtIYTbSayYH=s88-c-k-c0x00ffffff-no-rj</v>
      </c>
      <c r="AL268" s="80">
        <v>0</v>
      </c>
      <c r="AM268" s="80">
        <v>0</v>
      </c>
      <c r="AN268" s="80">
        <v>2</v>
      </c>
      <c r="AO268" s="80" t="b">
        <v>0</v>
      </c>
      <c r="AP268" s="80">
        <v>0</v>
      </c>
      <c r="AQ268" s="80"/>
      <c r="AR268" s="80"/>
      <c r="AS268" s="80" t="s">
        <v>2664</v>
      </c>
      <c r="AT268" s="85" t="str">
        <f>HYPERLINK("https://www.youtube.com/channel/UCpp0iU7fUjHMhJutFJ5hqwQ")</f>
        <v>https://www.youtube.com/channel/UCpp0iU7fUjHMhJutFJ5hqwQ</v>
      </c>
      <c r="AU268" s="80" t="str">
        <f>REPLACE(INDEX(GroupVertices[Group],MATCH(Vertices[[#This Row],[Vertex]],GroupVertices[Vertex],0)),1,1,"")</f>
        <v>7</v>
      </c>
      <c r="AV268" s="49">
        <v>0</v>
      </c>
      <c r="AW268" s="50">
        <v>0</v>
      </c>
      <c r="AX268" s="49">
        <v>0</v>
      </c>
      <c r="AY268" s="50">
        <v>0</v>
      </c>
      <c r="AZ268" s="49">
        <v>0</v>
      </c>
      <c r="BA268" s="50">
        <v>0</v>
      </c>
      <c r="BB268" s="49">
        <v>10</v>
      </c>
      <c r="BC268" s="50">
        <v>100</v>
      </c>
      <c r="BD268" s="49">
        <v>10</v>
      </c>
      <c r="BE268" s="49"/>
      <c r="BF268" s="49"/>
      <c r="BG268" s="49"/>
      <c r="BH268" s="49"/>
      <c r="BI268" s="49"/>
      <c r="BJ268" s="49"/>
      <c r="BK268" s="111" t="s">
        <v>3870</v>
      </c>
      <c r="BL268" s="111" t="s">
        <v>3870</v>
      </c>
      <c r="BM268" s="111" t="s">
        <v>4334</v>
      </c>
      <c r="BN268" s="111" t="s">
        <v>4334</v>
      </c>
      <c r="BO268" s="2"/>
      <c r="BP268" s="3"/>
      <c r="BQ268" s="3"/>
      <c r="BR268" s="3"/>
      <c r="BS268" s="3"/>
    </row>
    <row r="269" spans="1:71" ht="15">
      <c r="A269" s="65" t="s">
        <v>472</v>
      </c>
      <c r="B269" s="66"/>
      <c r="C269" s="66"/>
      <c r="D269" s="67">
        <v>291.66666666666663</v>
      </c>
      <c r="E269" s="69"/>
      <c r="F269" s="103" t="str">
        <f>HYPERLINK("https://yt3.ggpht.com/ytc/AAUvwniO9SwlBNcFrm57H9Wcv1M2eJrtMqoVtAiO6G2wqg=s88-c-k-c0x00ffffff-no-rj")</f>
        <v>https://yt3.ggpht.com/ytc/AAUvwniO9SwlBNcFrm57H9Wcv1M2eJrtMqoVtAiO6G2wqg=s88-c-k-c0x00ffffff-no-rj</v>
      </c>
      <c r="G269" s="66"/>
      <c r="H269" s="70" t="s">
        <v>1831</v>
      </c>
      <c r="I269" s="71"/>
      <c r="J269" s="71" t="s">
        <v>159</v>
      </c>
      <c r="K269" s="70" t="s">
        <v>1831</v>
      </c>
      <c r="L269" s="74">
        <v>96.21904761904761</v>
      </c>
      <c r="M269" s="75">
        <v>6343.9130859375</v>
      </c>
      <c r="N269" s="75">
        <v>5936.560546875</v>
      </c>
      <c r="O269" s="76"/>
      <c r="P269" s="77"/>
      <c r="Q269" s="77"/>
      <c r="R269" s="89"/>
      <c r="S269" s="49">
        <v>1</v>
      </c>
      <c r="T269" s="49">
        <v>1</v>
      </c>
      <c r="U269" s="50">
        <v>0</v>
      </c>
      <c r="V269" s="50">
        <v>0.015873</v>
      </c>
      <c r="W269" s="50">
        <v>0</v>
      </c>
      <c r="X269" s="50">
        <v>0.528105</v>
      </c>
      <c r="Y269" s="50">
        <v>0</v>
      </c>
      <c r="Z269" s="50">
        <v>1</v>
      </c>
      <c r="AA269" s="72">
        <v>269</v>
      </c>
      <c r="AB269" s="72"/>
      <c r="AC269" s="73"/>
      <c r="AD269" s="80" t="s">
        <v>1831</v>
      </c>
      <c r="AE269" s="80"/>
      <c r="AF269" s="80"/>
      <c r="AG269" s="80"/>
      <c r="AH269" s="80"/>
      <c r="AI269" s="80"/>
      <c r="AJ269" s="87">
        <v>41568.11424768518</v>
      </c>
      <c r="AK269" s="85" t="str">
        <f>HYPERLINK("https://yt3.ggpht.com/ytc/AAUvwniO9SwlBNcFrm57H9Wcv1M2eJrtMqoVtAiO6G2wqg=s88-c-k-c0x00ffffff-no-rj")</f>
        <v>https://yt3.ggpht.com/ytc/AAUvwniO9SwlBNcFrm57H9Wcv1M2eJrtMqoVtAiO6G2wqg=s88-c-k-c0x00ffffff-no-rj</v>
      </c>
      <c r="AL269" s="80">
        <v>0</v>
      </c>
      <c r="AM269" s="80">
        <v>0</v>
      </c>
      <c r="AN269" s="80">
        <v>0</v>
      </c>
      <c r="AO269" s="80" t="b">
        <v>0</v>
      </c>
      <c r="AP269" s="80">
        <v>1</v>
      </c>
      <c r="AQ269" s="80"/>
      <c r="AR269" s="80"/>
      <c r="AS269" s="80" t="s">
        <v>2664</v>
      </c>
      <c r="AT269" s="85" t="str">
        <f>HYPERLINK("https://www.youtube.com/channel/UCkgiLQlD4U6Hz6srDd_ULHQ")</f>
        <v>https://www.youtube.com/channel/UCkgiLQlD4U6Hz6srDd_ULHQ</v>
      </c>
      <c r="AU269" s="80" t="str">
        <f>REPLACE(INDEX(GroupVertices[Group],MATCH(Vertices[[#This Row],[Vertex]],GroupVertices[Vertex],0)),1,1,"")</f>
        <v>7</v>
      </c>
      <c r="AV269" s="49">
        <v>0</v>
      </c>
      <c r="AW269" s="50">
        <v>0</v>
      </c>
      <c r="AX269" s="49">
        <v>0</v>
      </c>
      <c r="AY269" s="50">
        <v>0</v>
      </c>
      <c r="AZ269" s="49">
        <v>0</v>
      </c>
      <c r="BA269" s="50">
        <v>0</v>
      </c>
      <c r="BB269" s="49">
        <v>9</v>
      </c>
      <c r="BC269" s="50">
        <v>100</v>
      </c>
      <c r="BD269" s="49">
        <v>9</v>
      </c>
      <c r="BE269" s="49"/>
      <c r="BF269" s="49"/>
      <c r="BG269" s="49"/>
      <c r="BH269" s="49"/>
      <c r="BI269" s="49"/>
      <c r="BJ269" s="49"/>
      <c r="BK269" s="111" t="s">
        <v>3871</v>
      </c>
      <c r="BL269" s="111" t="s">
        <v>3871</v>
      </c>
      <c r="BM269" s="111" t="s">
        <v>4335</v>
      </c>
      <c r="BN269" s="111" t="s">
        <v>4335</v>
      </c>
      <c r="BO269" s="2"/>
      <c r="BP269" s="3"/>
      <c r="BQ269" s="3"/>
      <c r="BR269" s="3"/>
      <c r="BS269" s="3"/>
    </row>
    <row r="270" spans="1:71" ht="15">
      <c r="A270" s="65" t="s">
        <v>473</v>
      </c>
      <c r="B270" s="66"/>
      <c r="C270" s="66"/>
      <c r="D270" s="67">
        <v>433.3333333333333</v>
      </c>
      <c r="E270" s="69"/>
      <c r="F270" s="103" t="str">
        <f>HYPERLINK("https://yt3.ggpht.com/ytc/AAUvwnig58b9iwr7ePELWyuURW-bwOUG9SuXpqlBdbqAbw=s88-c-k-c0x00ffffff-no-rj")</f>
        <v>https://yt3.ggpht.com/ytc/AAUvwnig58b9iwr7ePELWyuURW-bwOUG9SuXpqlBdbqAbw=s88-c-k-c0x00ffffff-no-rj</v>
      </c>
      <c r="G270" s="66"/>
      <c r="H270" s="70" t="s">
        <v>1832</v>
      </c>
      <c r="I270" s="71"/>
      <c r="J270" s="71" t="s">
        <v>75</v>
      </c>
      <c r="K270" s="70" t="s">
        <v>1832</v>
      </c>
      <c r="L270" s="74">
        <v>191.43809523809523</v>
      </c>
      <c r="M270" s="75">
        <v>5996.70703125</v>
      </c>
      <c r="N270" s="75">
        <v>6006.21044921875</v>
      </c>
      <c r="O270" s="76"/>
      <c r="P270" s="77"/>
      <c r="Q270" s="77"/>
      <c r="R270" s="89"/>
      <c r="S270" s="49">
        <v>2</v>
      </c>
      <c r="T270" s="49">
        <v>2</v>
      </c>
      <c r="U270" s="50">
        <v>0</v>
      </c>
      <c r="V270" s="50">
        <v>0.015873</v>
      </c>
      <c r="W270" s="50">
        <v>0</v>
      </c>
      <c r="X270" s="50">
        <v>0.918444</v>
      </c>
      <c r="Y270" s="50">
        <v>0</v>
      </c>
      <c r="Z270" s="50">
        <v>1</v>
      </c>
      <c r="AA270" s="72">
        <v>270</v>
      </c>
      <c r="AB270" s="72"/>
      <c r="AC270" s="73"/>
      <c r="AD270" s="80" t="s">
        <v>1832</v>
      </c>
      <c r="AE270" s="80" t="s">
        <v>2511</v>
      </c>
      <c r="AF270" s="80"/>
      <c r="AG270" s="80"/>
      <c r="AH270" s="80"/>
      <c r="AI270" s="80"/>
      <c r="AJ270" s="87">
        <v>43254.43047453704</v>
      </c>
      <c r="AK270" s="85" t="str">
        <f>HYPERLINK("https://yt3.ggpht.com/ytc/AAUvwnig58b9iwr7ePELWyuURW-bwOUG9SuXpqlBdbqAbw=s88-c-k-c0x00ffffff-no-rj")</f>
        <v>https://yt3.ggpht.com/ytc/AAUvwnig58b9iwr7ePELWyuURW-bwOUG9SuXpqlBdbqAbw=s88-c-k-c0x00ffffff-no-rj</v>
      </c>
      <c r="AL270" s="80">
        <v>1938</v>
      </c>
      <c r="AM270" s="80">
        <v>0</v>
      </c>
      <c r="AN270" s="80">
        <v>0</v>
      </c>
      <c r="AO270" s="80" t="b">
        <v>1</v>
      </c>
      <c r="AP270" s="80">
        <v>7</v>
      </c>
      <c r="AQ270" s="80"/>
      <c r="AR270" s="80"/>
      <c r="AS270" s="80" t="s">
        <v>2664</v>
      </c>
      <c r="AT270" s="85" t="str">
        <f>HYPERLINK("https://www.youtube.com/channel/UCosx9YdqYSNwk9N7QU_jTaA")</f>
        <v>https://www.youtube.com/channel/UCosx9YdqYSNwk9N7QU_jTaA</v>
      </c>
      <c r="AU270" s="80" t="str">
        <f>REPLACE(INDEX(GroupVertices[Group],MATCH(Vertices[[#This Row],[Vertex]],GroupVertices[Vertex],0)),1,1,"")</f>
        <v>7</v>
      </c>
      <c r="AV270" s="49">
        <v>1</v>
      </c>
      <c r="AW270" s="50">
        <v>3.8461538461538463</v>
      </c>
      <c r="AX270" s="49">
        <v>0</v>
      </c>
      <c r="AY270" s="50">
        <v>0</v>
      </c>
      <c r="AZ270" s="49">
        <v>0</v>
      </c>
      <c r="BA270" s="50">
        <v>0</v>
      </c>
      <c r="BB270" s="49">
        <v>25</v>
      </c>
      <c r="BC270" s="50">
        <v>96.15384615384616</v>
      </c>
      <c r="BD270" s="49">
        <v>26</v>
      </c>
      <c r="BE270" s="49"/>
      <c r="BF270" s="49"/>
      <c r="BG270" s="49"/>
      <c r="BH270" s="49"/>
      <c r="BI270" s="49"/>
      <c r="BJ270" s="49"/>
      <c r="BK270" s="111" t="s">
        <v>3872</v>
      </c>
      <c r="BL270" s="111" t="s">
        <v>4130</v>
      </c>
      <c r="BM270" s="111" t="s">
        <v>4336</v>
      </c>
      <c r="BN270" s="111" t="s">
        <v>4336</v>
      </c>
      <c r="BO270" s="2"/>
      <c r="BP270" s="3"/>
      <c r="BQ270" s="3"/>
      <c r="BR270" s="3"/>
      <c r="BS270" s="3"/>
    </row>
    <row r="271" spans="1:71" ht="15">
      <c r="A271" s="65" t="s">
        <v>474</v>
      </c>
      <c r="B271" s="66"/>
      <c r="C271" s="66"/>
      <c r="D271" s="67">
        <v>150</v>
      </c>
      <c r="E271" s="69"/>
      <c r="F271" s="103" t="str">
        <f>HYPERLINK("https://yt3.ggpht.com/ytc/AAUvwniZVlrVH1anNHToweae_hQGkoOaufgJnb25Ygka=s88-c-k-c0x00ffffff-no-rj")</f>
        <v>https://yt3.ggpht.com/ytc/AAUvwniZVlrVH1anNHToweae_hQGkoOaufgJnb25Ygka=s88-c-k-c0x00ffffff-no-rj</v>
      </c>
      <c r="G271" s="66"/>
      <c r="H271" s="70" t="s">
        <v>1833</v>
      </c>
      <c r="I271" s="71"/>
      <c r="J271" s="71" t="s">
        <v>159</v>
      </c>
      <c r="K271" s="70" t="s">
        <v>1833</v>
      </c>
      <c r="L271" s="74">
        <v>1</v>
      </c>
      <c r="M271" s="75">
        <v>5411.5185546875</v>
      </c>
      <c r="N271" s="75">
        <v>5358.21630859375</v>
      </c>
      <c r="O271" s="76"/>
      <c r="P271" s="77"/>
      <c r="Q271" s="77"/>
      <c r="R271" s="89"/>
      <c r="S271" s="49">
        <v>0</v>
      </c>
      <c r="T271" s="49">
        <v>1</v>
      </c>
      <c r="U271" s="50">
        <v>0</v>
      </c>
      <c r="V271" s="50">
        <v>0.015873</v>
      </c>
      <c r="W271" s="50">
        <v>0</v>
      </c>
      <c r="X271" s="50">
        <v>0.528105</v>
      </c>
      <c r="Y271" s="50">
        <v>0</v>
      </c>
      <c r="Z271" s="50">
        <v>0</v>
      </c>
      <c r="AA271" s="72">
        <v>271</v>
      </c>
      <c r="AB271" s="72"/>
      <c r="AC271" s="73"/>
      <c r="AD271" s="80" t="s">
        <v>1833</v>
      </c>
      <c r="AE271" s="80"/>
      <c r="AF271" s="80"/>
      <c r="AG271" s="80"/>
      <c r="AH271" s="80"/>
      <c r="AI271" s="80"/>
      <c r="AJ271" s="87">
        <v>42038.353993055556</v>
      </c>
      <c r="AK271" s="85" t="str">
        <f>HYPERLINK("https://yt3.ggpht.com/ytc/AAUvwniZVlrVH1anNHToweae_hQGkoOaufgJnb25Ygka=s88-c-k-c0x00ffffff-no-rj")</f>
        <v>https://yt3.ggpht.com/ytc/AAUvwniZVlrVH1anNHToweae_hQGkoOaufgJnb25Ygka=s88-c-k-c0x00ffffff-no-rj</v>
      </c>
      <c r="AL271" s="80">
        <v>0</v>
      </c>
      <c r="AM271" s="80">
        <v>0</v>
      </c>
      <c r="AN271" s="80">
        <v>0</v>
      </c>
      <c r="AO271" s="80" t="b">
        <v>0</v>
      </c>
      <c r="AP271" s="80">
        <v>0</v>
      </c>
      <c r="AQ271" s="80"/>
      <c r="AR271" s="80"/>
      <c r="AS271" s="80" t="s">
        <v>2664</v>
      </c>
      <c r="AT271" s="85" t="str">
        <f>HYPERLINK("https://www.youtube.com/channel/UC-jkgnXBbcyl-ltsL2wQvFQ")</f>
        <v>https://www.youtube.com/channel/UC-jkgnXBbcyl-ltsL2wQvFQ</v>
      </c>
      <c r="AU271" s="80" t="str">
        <f>REPLACE(INDEX(GroupVertices[Group],MATCH(Vertices[[#This Row],[Vertex]],GroupVertices[Vertex],0)),1,1,"")</f>
        <v>7</v>
      </c>
      <c r="AV271" s="49">
        <v>1</v>
      </c>
      <c r="AW271" s="50">
        <v>9.090909090909092</v>
      </c>
      <c r="AX271" s="49">
        <v>0</v>
      </c>
      <c r="AY271" s="50">
        <v>0</v>
      </c>
      <c r="AZ271" s="49">
        <v>0</v>
      </c>
      <c r="BA271" s="50">
        <v>0</v>
      </c>
      <c r="BB271" s="49">
        <v>10</v>
      </c>
      <c r="BC271" s="50">
        <v>90.9090909090909</v>
      </c>
      <c r="BD271" s="49">
        <v>11</v>
      </c>
      <c r="BE271" s="49"/>
      <c r="BF271" s="49"/>
      <c r="BG271" s="49"/>
      <c r="BH271" s="49"/>
      <c r="BI271" s="49"/>
      <c r="BJ271" s="49"/>
      <c r="BK271" s="111" t="s">
        <v>3873</v>
      </c>
      <c r="BL271" s="111" t="s">
        <v>3873</v>
      </c>
      <c r="BM271" s="111" t="s">
        <v>4337</v>
      </c>
      <c r="BN271" s="111" t="s">
        <v>4337</v>
      </c>
      <c r="BO271" s="2"/>
      <c r="BP271" s="3"/>
      <c r="BQ271" s="3"/>
      <c r="BR271" s="3"/>
      <c r="BS271" s="3"/>
    </row>
    <row r="272" spans="1:71" ht="15">
      <c r="A272" s="65" t="s">
        <v>475</v>
      </c>
      <c r="B272" s="66"/>
      <c r="C272" s="66"/>
      <c r="D272" s="67">
        <v>291.66666666666663</v>
      </c>
      <c r="E272" s="69"/>
      <c r="F272" s="103" t="str">
        <f>HYPERLINK("https://yt3.ggpht.com/ytc/AAUvwngF6iRcMT-BQoanE5BheDdCUONgcKGsO59TMVwh=s88-c-k-c0x00ffffff-no-rj")</f>
        <v>https://yt3.ggpht.com/ytc/AAUvwngF6iRcMT-BQoanE5BheDdCUONgcKGsO59TMVwh=s88-c-k-c0x00ffffff-no-rj</v>
      </c>
      <c r="G272" s="66"/>
      <c r="H272" s="70" t="s">
        <v>1834</v>
      </c>
      <c r="I272" s="71"/>
      <c r="J272" s="71" t="s">
        <v>159</v>
      </c>
      <c r="K272" s="70" t="s">
        <v>1834</v>
      </c>
      <c r="L272" s="74">
        <v>96.21904761904761</v>
      </c>
      <c r="M272" s="75">
        <v>5621.19482421875</v>
      </c>
      <c r="N272" s="75">
        <v>6092.61328125</v>
      </c>
      <c r="O272" s="76"/>
      <c r="P272" s="77"/>
      <c r="Q272" s="77"/>
      <c r="R272" s="89"/>
      <c r="S272" s="49">
        <v>1</v>
      </c>
      <c r="T272" s="49">
        <v>1</v>
      </c>
      <c r="U272" s="50">
        <v>0</v>
      </c>
      <c r="V272" s="50">
        <v>0.015873</v>
      </c>
      <c r="W272" s="50">
        <v>0</v>
      </c>
      <c r="X272" s="50">
        <v>0.528105</v>
      </c>
      <c r="Y272" s="50">
        <v>0</v>
      </c>
      <c r="Z272" s="50">
        <v>1</v>
      </c>
      <c r="AA272" s="72">
        <v>272</v>
      </c>
      <c r="AB272" s="72"/>
      <c r="AC272" s="73"/>
      <c r="AD272" s="80" t="s">
        <v>1834</v>
      </c>
      <c r="AE272" s="80"/>
      <c r="AF272" s="80"/>
      <c r="AG272" s="80"/>
      <c r="AH272" s="80"/>
      <c r="AI272" s="80"/>
      <c r="AJ272" s="87">
        <v>42918.50001157408</v>
      </c>
      <c r="AK272" s="85" t="str">
        <f>HYPERLINK("https://yt3.ggpht.com/ytc/AAUvwngF6iRcMT-BQoanE5BheDdCUONgcKGsO59TMVwh=s88-c-k-c0x00ffffff-no-rj")</f>
        <v>https://yt3.ggpht.com/ytc/AAUvwngF6iRcMT-BQoanE5BheDdCUONgcKGsO59TMVwh=s88-c-k-c0x00ffffff-no-rj</v>
      </c>
      <c r="AL272" s="80">
        <v>0</v>
      </c>
      <c r="AM272" s="80">
        <v>0</v>
      </c>
      <c r="AN272" s="80">
        <v>6</v>
      </c>
      <c r="AO272" s="80" t="b">
        <v>0</v>
      </c>
      <c r="AP272" s="80">
        <v>0</v>
      </c>
      <c r="AQ272" s="80"/>
      <c r="AR272" s="80"/>
      <c r="AS272" s="80" t="s">
        <v>2664</v>
      </c>
      <c r="AT272" s="85" t="str">
        <f>HYPERLINK("https://www.youtube.com/channel/UC4b5UQmRxkVpw80Pvt5G46w")</f>
        <v>https://www.youtube.com/channel/UC4b5UQmRxkVpw80Pvt5G46w</v>
      </c>
      <c r="AU272" s="80" t="str">
        <f>REPLACE(INDEX(GroupVertices[Group],MATCH(Vertices[[#This Row],[Vertex]],GroupVertices[Vertex],0)),1,1,"")</f>
        <v>7</v>
      </c>
      <c r="AV272" s="49">
        <v>0</v>
      </c>
      <c r="AW272" s="50">
        <v>0</v>
      </c>
      <c r="AX272" s="49">
        <v>0</v>
      </c>
      <c r="AY272" s="50">
        <v>0</v>
      </c>
      <c r="AZ272" s="49">
        <v>0</v>
      </c>
      <c r="BA272" s="50">
        <v>0</v>
      </c>
      <c r="BB272" s="49">
        <v>6</v>
      </c>
      <c r="BC272" s="50">
        <v>100</v>
      </c>
      <c r="BD272" s="49">
        <v>6</v>
      </c>
      <c r="BE272" s="49"/>
      <c r="BF272" s="49"/>
      <c r="BG272" s="49"/>
      <c r="BH272" s="49"/>
      <c r="BI272" s="49"/>
      <c r="BJ272" s="49"/>
      <c r="BK272" s="111" t="s">
        <v>3874</v>
      </c>
      <c r="BL272" s="111" t="s">
        <v>3874</v>
      </c>
      <c r="BM272" s="111" t="s">
        <v>4338</v>
      </c>
      <c r="BN272" s="111" t="s">
        <v>4338</v>
      </c>
      <c r="BO272" s="2"/>
      <c r="BP272" s="3"/>
      <c r="BQ272" s="3"/>
      <c r="BR272" s="3"/>
      <c r="BS272" s="3"/>
    </row>
    <row r="273" spans="1:71" ht="15">
      <c r="A273" s="65" t="s">
        <v>476</v>
      </c>
      <c r="B273" s="66"/>
      <c r="C273" s="66"/>
      <c r="D273" s="67">
        <v>150</v>
      </c>
      <c r="E273" s="69"/>
      <c r="F273" s="103" t="str">
        <f>HYPERLINK("https://yt3.ggpht.com/ytc/AAUvwngYtP2Y_ljo79Dxs_5mdsqhnZSAqpZVqTdovFsuJQ=s88-c-k-c0x00ffffff-no-rj")</f>
        <v>https://yt3.ggpht.com/ytc/AAUvwngYtP2Y_ljo79Dxs_5mdsqhnZSAqpZVqTdovFsuJQ=s88-c-k-c0x00ffffff-no-rj</v>
      </c>
      <c r="G273" s="66"/>
      <c r="H273" s="70" t="s">
        <v>1835</v>
      </c>
      <c r="I273" s="71"/>
      <c r="J273" s="71" t="s">
        <v>159</v>
      </c>
      <c r="K273" s="70" t="s">
        <v>1835</v>
      </c>
      <c r="L273" s="74">
        <v>1</v>
      </c>
      <c r="M273" s="75">
        <v>5788.744140625</v>
      </c>
      <c r="N273" s="75">
        <v>5778.794921875</v>
      </c>
      <c r="O273" s="76"/>
      <c r="P273" s="77"/>
      <c r="Q273" s="77"/>
      <c r="R273" s="89"/>
      <c r="S273" s="49">
        <v>0</v>
      </c>
      <c r="T273" s="49">
        <v>1</v>
      </c>
      <c r="U273" s="50">
        <v>0</v>
      </c>
      <c r="V273" s="50">
        <v>0.015873</v>
      </c>
      <c r="W273" s="50">
        <v>0</v>
      </c>
      <c r="X273" s="50">
        <v>0.528105</v>
      </c>
      <c r="Y273" s="50">
        <v>0</v>
      </c>
      <c r="Z273" s="50">
        <v>0</v>
      </c>
      <c r="AA273" s="72">
        <v>273</v>
      </c>
      <c r="AB273" s="72"/>
      <c r="AC273" s="73"/>
      <c r="AD273" s="80" t="s">
        <v>1835</v>
      </c>
      <c r="AE273" s="80"/>
      <c r="AF273" s="80"/>
      <c r="AG273" s="80"/>
      <c r="AH273" s="80"/>
      <c r="AI273" s="80"/>
      <c r="AJ273" s="87">
        <v>42664.42266203704</v>
      </c>
      <c r="AK273" s="85" t="str">
        <f>HYPERLINK("https://yt3.ggpht.com/ytc/AAUvwngYtP2Y_ljo79Dxs_5mdsqhnZSAqpZVqTdovFsuJQ=s88-c-k-c0x00ffffff-no-rj")</f>
        <v>https://yt3.ggpht.com/ytc/AAUvwngYtP2Y_ljo79Dxs_5mdsqhnZSAqpZVqTdovFsuJQ=s88-c-k-c0x00ffffff-no-rj</v>
      </c>
      <c r="AL273" s="80">
        <v>0</v>
      </c>
      <c r="AM273" s="80">
        <v>0</v>
      </c>
      <c r="AN273" s="80">
        <v>0</v>
      </c>
      <c r="AO273" s="80" t="b">
        <v>0</v>
      </c>
      <c r="AP273" s="80">
        <v>0</v>
      </c>
      <c r="AQ273" s="80"/>
      <c r="AR273" s="80"/>
      <c r="AS273" s="80" t="s">
        <v>2664</v>
      </c>
      <c r="AT273" s="85" t="str">
        <f>HYPERLINK("https://www.youtube.com/channel/UC8Dzjd3fPgqbSNyL4U9nqoQ")</f>
        <v>https://www.youtube.com/channel/UC8Dzjd3fPgqbSNyL4U9nqoQ</v>
      </c>
      <c r="AU273" s="80" t="str">
        <f>REPLACE(INDEX(GroupVertices[Group],MATCH(Vertices[[#This Row],[Vertex]],GroupVertices[Vertex],0)),1,1,"")</f>
        <v>7</v>
      </c>
      <c r="AV273" s="49">
        <v>0</v>
      </c>
      <c r="AW273" s="50">
        <v>0</v>
      </c>
      <c r="AX273" s="49">
        <v>0</v>
      </c>
      <c r="AY273" s="50">
        <v>0</v>
      </c>
      <c r="AZ273" s="49">
        <v>0</v>
      </c>
      <c r="BA273" s="50">
        <v>0</v>
      </c>
      <c r="BB273" s="49">
        <v>7</v>
      </c>
      <c r="BC273" s="50">
        <v>100</v>
      </c>
      <c r="BD273" s="49">
        <v>7</v>
      </c>
      <c r="BE273" s="49"/>
      <c r="BF273" s="49"/>
      <c r="BG273" s="49"/>
      <c r="BH273" s="49"/>
      <c r="BI273" s="49"/>
      <c r="BJ273" s="49"/>
      <c r="BK273" s="111" t="s">
        <v>3875</v>
      </c>
      <c r="BL273" s="111" t="s">
        <v>3875</v>
      </c>
      <c r="BM273" s="111" t="s">
        <v>4339</v>
      </c>
      <c r="BN273" s="111" t="s">
        <v>4339</v>
      </c>
      <c r="BO273" s="2"/>
      <c r="BP273" s="3"/>
      <c r="BQ273" s="3"/>
      <c r="BR273" s="3"/>
      <c r="BS273" s="3"/>
    </row>
    <row r="274" spans="1:71" ht="15">
      <c r="A274" s="65" t="s">
        <v>477</v>
      </c>
      <c r="B274" s="66"/>
      <c r="C274" s="66"/>
      <c r="D274" s="67">
        <v>150</v>
      </c>
      <c r="E274" s="69"/>
      <c r="F274" s="103" t="str">
        <f>HYPERLINK("https://yt3.ggpht.com/ytc/AAUvwni_SOZxrSC7oNHkZdtza4np5Sv5fnSTzAZhbJxEFw=s88-c-k-c0x00ffffff-no-rj")</f>
        <v>https://yt3.ggpht.com/ytc/AAUvwni_SOZxrSC7oNHkZdtza4np5Sv5fnSTzAZhbJxEFw=s88-c-k-c0x00ffffff-no-rj</v>
      </c>
      <c r="G274" s="66"/>
      <c r="H274" s="70" t="s">
        <v>1836</v>
      </c>
      <c r="I274" s="71"/>
      <c r="J274" s="71" t="s">
        <v>159</v>
      </c>
      <c r="K274" s="70" t="s">
        <v>1836</v>
      </c>
      <c r="L274" s="74">
        <v>1</v>
      </c>
      <c r="M274" s="75">
        <v>5458.63671875</v>
      </c>
      <c r="N274" s="75">
        <v>5935.10205078125</v>
      </c>
      <c r="O274" s="76"/>
      <c r="P274" s="77"/>
      <c r="Q274" s="77"/>
      <c r="R274" s="89"/>
      <c r="S274" s="49">
        <v>0</v>
      </c>
      <c r="T274" s="49">
        <v>1</v>
      </c>
      <c r="U274" s="50">
        <v>0</v>
      </c>
      <c r="V274" s="50">
        <v>0.015873</v>
      </c>
      <c r="W274" s="50">
        <v>0</v>
      </c>
      <c r="X274" s="50">
        <v>0.528105</v>
      </c>
      <c r="Y274" s="50">
        <v>0</v>
      </c>
      <c r="Z274" s="50">
        <v>0</v>
      </c>
      <c r="AA274" s="72">
        <v>274</v>
      </c>
      <c r="AB274" s="72"/>
      <c r="AC274" s="73"/>
      <c r="AD274" s="80" t="s">
        <v>1836</v>
      </c>
      <c r="AE274" s="80" t="s">
        <v>2512</v>
      </c>
      <c r="AF274" s="80"/>
      <c r="AG274" s="80"/>
      <c r="AH274" s="80"/>
      <c r="AI274" s="80"/>
      <c r="AJ274" s="87">
        <v>43238.360138888886</v>
      </c>
      <c r="AK274" s="85" t="str">
        <f>HYPERLINK("https://yt3.ggpht.com/ytc/AAUvwni_SOZxrSC7oNHkZdtza4np5Sv5fnSTzAZhbJxEFw=s88-c-k-c0x00ffffff-no-rj")</f>
        <v>https://yt3.ggpht.com/ytc/AAUvwni_SOZxrSC7oNHkZdtza4np5Sv5fnSTzAZhbJxEFw=s88-c-k-c0x00ffffff-no-rj</v>
      </c>
      <c r="AL274" s="80">
        <v>1</v>
      </c>
      <c r="AM274" s="80">
        <v>0</v>
      </c>
      <c r="AN274" s="80">
        <v>20</v>
      </c>
      <c r="AO274" s="80" t="b">
        <v>0</v>
      </c>
      <c r="AP274" s="80">
        <v>1</v>
      </c>
      <c r="AQ274" s="80"/>
      <c r="AR274" s="80"/>
      <c r="AS274" s="80" t="s">
        <v>2664</v>
      </c>
      <c r="AT274" s="85" t="str">
        <f>HYPERLINK("https://www.youtube.com/channel/UCB2VhTqhEoxcgWBy4mXQCwA")</f>
        <v>https://www.youtube.com/channel/UCB2VhTqhEoxcgWBy4mXQCwA</v>
      </c>
      <c r="AU274" s="80" t="str">
        <f>REPLACE(INDEX(GroupVertices[Group],MATCH(Vertices[[#This Row],[Vertex]],GroupVertices[Vertex],0)),1,1,"")</f>
        <v>7</v>
      </c>
      <c r="AV274" s="49">
        <v>1</v>
      </c>
      <c r="AW274" s="50">
        <v>100</v>
      </c>
      <c r="AX274" s="49">
        <v>0</v>
      </c>
      <c r="AY274" s="50">
        <v>0</v>
      </c>
      <c r="AZ274" s="49">
        <v>0</v>
      </c>
      <c r="BA274" s="50">
        <v>0</v>
      </c>
      <c r="BB274" s="49">
        <v>0</v>
      </c>
      <c r="BC274" s="50">
        <v>0</v>
      </c>
      <c r="BD274" s="49">
        <v>1</v>
      </c>
      <c r="BE274" s="49"/>
      <c r="BF274" s="49"/>
      <c r="BG274" s="49"/>
      <c r="BH274" s="49"/>
      <c r="BI274" s="49"/>
      <c r="BJ274" s="49"/>
      <c r="BK274" s="111" t="s">
        <v>1421</v>
      </c>
      <c r="BL274" s="111" t="s">
        <v>1421</v>
      </c>
      <c r="BM274" s="111" t="s">
        <v>2390</v>
      </c>
      <c r="BN274" s="111" t="s">
        <v>2390</v>
      </c>
      <c r="BO274" s="2"/>
      <c r="BP274" s="3"/>
      <c r="BQ274" s="3"/>
      <c r="BR274" s="3"/>
      <c r="BS274" s="3"/>
    </row>
    <row r="275" spans="1:71" ht="15">
      <c r="A275" s="65" t="s">
        <v>478</v>
      </c>
      <c r="B275" s="66"/>
      <c r="C275" s="66"/>
      <c r="D275" s="67">
        <v>291.66666666666663</v>
      </c>
      <c r="E275" s="69"/>
      <c r="F275" s="103" t="str">
        <f>HYPERLINK("https://yt3.ggpht.com/ytc/AAUvwniPTMfUHJeWNBpyNub7BBiD2NFRGRnlzrGHBQ=s88-c-k-c0x00ffffff-no-rj")</f>
        <v>https://yt3.ggpht.com/ytc/AAUvwniPTMfUHJeWNBpyNub7BBiD2NFRGRnlzrGHBQ=s88-c-k-c0x00ffffff-no-rj</v>
      </c>
      <c r="G275" s="66"/>
      <c r="H275" s="70" t="s">
        <v>1837</v>
      </c>
      <c r="I275" s="71"/>
      <c r="J275" s="71" t="s">
        <v>159</v>
      </c>
      <c r="K275" s="70" t="s">
        <v>1837</v>
      </c>
      <c r="L275" s="74">
        <v>96.21904761904761</v>
      </c>
      <c r="M275" s="75">
        <v>7123.9072265625</v>
      </c>
      <c r="N275" s="75">
        <v>5564.54345703125</v>
      </c>
      <c r="O275" s="76"/>
      <c r="P275" s="77"/>
      <c r="Q275" s="77"/>
      <c r="R275" s="89"/>
      <c r="S275" s="49">
        <v>1</v>
      </c>
      <c r="T275" s="49">
        <v>1</v>
      </c>
      <c r="U275" s="50">
        <v>0</v>
      </c>
      <c r="V275" s="50">
        <v>0.015873</v>
      </c>
      <c r="W275" s="50">
        <v>0</v>
      </c>
      <c r="X275" s="50">
        <v>0.528105</v>
      </c>
      <c r="Y275" s="50">
        <v>0</v>
      </c>
      <c r="Z275" s="50">
        <v>1</v>
      </c>
      <c r="AA275" s="72">
        <v>275</v>
      </c>
      <c r="AB275" s="72"/>
      <c r="AC275" s="73"/>
      <c r="AD275" s="80" t="s">
        <v>1837</v>
      </c>
      <c r="AE275" s="80"/>
      <c r="AF275" s="80"/>
      <c r="AG275" s="80"/>
      <c r="AH275" s="80"/>
      <c r="AI275" s="80"/>
      <c r="AJ275" s="87">
        <v>43690.37913194444</v>
      </c>
      <c r="AK275" s="85" t="str">
        <f>HYPERLINK("https://yt3.ggpht.com/ytc/AAUvwniPTMfUHJeWNBpyNub7BBiD2NFRGRnlzrGHBQ=s88-c-k-c0x00ffffff-no-rj")</f>
        <v>https://yt3.ggpht.com/ytc/AAUvwniPTMfUHJeWNBpyNub7BBiD2NFRGRnlzrGHBQ=s88-c-k-c0x00ffffff-no-rj</v>
      </c>
      <c r="AL275" s="80">
        <v>258</v>
      </c>
      <c r="AM275" s="80">
        <v>0</v>
      </c>
      <c r="AN275" s="80">
        <v>2</v>
      </c>
      <c r="AO275" s="80" t="b">
        <v>0</v>
      </c>
      <c r="AP275" s="80">
        <v>2</v>
      </c>
      <c r="AQ275" s="80"/>
      <c r="AR275" s="80"/>
      <c r="AS275" s="80" t="s">
        <v>2664</v>
      </c>
      <c r="AT275" s="85" t="str">
        <f>HYPERLINK("https://www.youtube.com/channel/UCLFvswvwPxHnO35giE2ez0w")</f>
        <v>https://www.youtube.com/channel/UCLFvswvwPxHnO35giE2ez0w</v>
      </c>
      <c r="AU275" s="80" t="str">
        <f>REPLACE(INDEX(GroupVertices[Group],MATCH(Vertices[[#This Row],[Vertex]],GroupVertices[Vertex],0)),1,1,"")</f>
        <v>7</v>
      </c>
      <c r="AV275" s="49">
        <v>0</v>
      </c>
      <c r="AW275" s="50">
        <v>0</v>
      </c>
      <c r="AX275" s="49">
        <v>0</v>
      </c>
      <c r="AY275" s="50">
        <v>0</v>
      </c>
      <c r="AZ275" s="49">
        <v>0</v>
      </c>
      <c r="BA275" s="50">
        <v>0</v>
      </c>
      <c r="BB275" s="49">
        <v>27</v>
      </c>
      <c r="BC275" s="50">
        <v>100</v>
      </c>
      <c r="BD275" s="49">
        <v>27</v>
      </c>
      <c r="BE275" s="49"/>
      <c r="BF275" s="49"/>
      <c r="BG275" s="49"/>
      <c r="BH275" s="49"/>
      <c r="BI275" s="49"/>
      <c r="BJ275" s="49"/>
      <c r="BK275" s="111" t="s">
        <v>3876</v>
      </c>
      <c r="BL275" s="111" t="s">
        <v>3876</v>
      </c>
      <c r="BM275" s="111" t="s">
        <v>4340</v>
      </c>
      <c r="BN275" s="111" t="s">
        <v>4340</v>
      </c>
      <c r="BO275" s="2"/>
      <c r="BP275" s="3"/>
      <c r="BQ275" s="3"/>
      <c r="BR275" s="3"/>
      <c r="BS275" s="3"/>
    </row>
    <row r="276" spans="1:71" ht="15">
      <c r="A276" s="65" t="s">
        <v>479</v>
      </c>
      <c r="B276" s="66"/>
      <c r="C276" s="66"/>
      <c r="D276" s="67">
        <v>150</v>
      </c>
      <c r="E276" s="69"/>
      <c r="F276" s="103" t="str">
        <f>HYPERLINK("https://yt3.ggpht.com/ytc/AAUvwnjPlCLADHPD_iT1ljSLTNMZAr9DVLxETnnnYdGQaA=s88-c-k-c0x00ffffff-no-rj")</f>
        <v>https://yt3.ggpht.com/ytc/AAUvwnjPlCLADHPD_iT1ljSLTNMZAr9DVLxETnnnYdGQaA=s88-c-k-c0x00ffffff-no-rj</v>
      </c>
      <c r="G276" s="66"/>
      <c r="H276" s="70" t="s">
        <v>1838</v>
      </c>
      <c r="I276" s="71"/>
      <c r="J276" s="71" t="s">
        <v>159</v>
      </c>
      <c r="K276" s="70" t="s">
        <v>1838</v>
      </c>
      <c r="L276" s="74">
        <v>1</v>
      </c>
      <c r="M276" s="75">
        <v>5349.783203125</v>
      </c>
      <c r="N276" s="75">
        <v>5553.9912109375</v>
      </c>
      <c r="O276" s="76"/>
      <c r="P276" s="77"/>
      <c r="Q276" s="77"/>
      <c r="R276" s="89"/>
      <c r="S276" s="49">
        <v>0</v>
      </c>
      <c r="T276" s="49">
        <v>1</v>
      </c>
      <c r="U276" s="50">
        <v>0</v>
      </c>
      <c r="V276" s="50">
        <v>0.015873</v>
      </c>
      <c r="W276" s="50">
        <v>0</v>
      </c>
      <c r="X276" s="50">
        <v>0.528105</v>
      </c>
      <c r="Y276" s="50">
        <v>0</v>
      </c>
      <c r="Z276" s="50">
        <v>0</v>
      </c>
      <c r="AA276" s="72">
        <v>276</v>
      </c>
      <c r="AB276" s="72"/>
      <c r="AC276" s="73"/>
      <c r="AD276" s="80" t="s">
        <v>1838</v>
      </c>
      <c r="AE276" s="80"/>
      <c r="AF276" s="80"/>
      <c r="AG276" s="80"/>
      <c r="AH276" s="80"/>
      <c r="AI276" s="80"/>
      <c r="AJ276" s="87">
        <v>42024.703148148146</v>
      </c>
      <c r="AK276" s="85" t="str">
        <f>HYPERLINK("https://yt3.ggpht.com/ytc/AAUvwnjPlCLADHPD_iT1ljSLTNMZAr9DVLxETnnnYdGQaA=s88-c-k-c0x00ffffff-no-rj")</f>
        <v>https://yt3.ggpht.com/ytc/AAUvwnjPlCLADHPD_iT1ljSLTNMZAr9DVLxETnnnYdGQaA=s88-c-k-c0x00ffffff-no-rj</v>
      </c>
      <c r="AL276" s="80">
        <v>1140</v>
      </c>
      <c r="AM276" s="80">
        <v>0</v>
      </c>
      <c r="AN276" s="80">
        <v>26</v>
      </c>
      <c r="AO276" s="80" t="b">
        <v>0</v>
      </c>
      <c r="AP276" s="80">
        <v>12</v>
      </c>
      <c r="AQ276" s="80"/>
      <c r="AR276" s="80"/>
      <c r="AS276" s="80" t="s">
        <v>2664</v>
      </c>
      <c r="AT276" s="85" t="str">
        <f>HYPERLINK("https://www.youtube.com/channel/UCcclz3LfM5N7tD6YClELfvw")</f>
        <v>https://www.youtube.com/channel/UCcclz3LfM5N7tD6YClELfvw</v>
      </c>
      <c r="AU276" s="80" t="str">
        <f>REPLACE(INDEX(GroupVertices[Group],MATCH(Vertices[[#This Row],[Vertex]],GroupVertices[Vertex],0)),1,1,"")</f>
        <v>7</v>
      </c>
      <c r="AV276" s="49">
        <v>0</v>
      </c>
      <c r="AW276" s="50">
        <v>0</v>
      </c>
      <c r="AX276" s="49">
        <v>0</v>
      </c>
      <c r="AY276" s="50">
        <v>0</v>
      </c>
      <c r="AZ276" s="49">
        <v>0</v>
      </c>
      <c r="BA276" s="50">
        <v>0</v>
      </c>
      <c r="BB276" s="49">
        <v>5</v>
      </c>
      <c r="BC276" s="50">
        <v>100</v>
      </c>
      <c r="BD276" s="49">
        <v>5</v>
      </c>
      <c r="BE276" s="49"/>
      <c r="BF276" s="49"/>
      <c r="BG276" s="49"/>
      <c r="BH276" s="49"/>
      <c r="BI276" s="49"/>
      <c r="BJ276" s="49"/>
      <c r="BK276" s="111" t="s">
        <v>1169</v>
      </c>
      <c r="BL276" s="111" t="s">
        <v>1169</v>
      </c>
      <c r="BM276" s="111" t="s">
        <v>4341</v>
      </c>
      <c r="BN276" s="111" t="s">
        <v>4341</v>
      </c>
      <c r="BO276" s="2"/>
      <c r="BP276" s="3"/>
      <c r="BQ276" s="3"/>
      <c r="BR276" s="3"/>
      <c r="BS276" s="3"/>
    </row>
    <row r="277" spans="1:71" ht="15">
      <c r="A277" s="65" t="s">
        <v>480</v>
      </c>
      <c r="B277" s="66"/>
      <c r="C277" s="66"/>
      <c r="D277" s="67">
        <v>150</v>
      </c>
      <c r="E277" s="69"/>
      <c r="F277" s="103" t="str">
        <f>HYPERLINK("https://yt3.ggpht.com/ytc/AAUvwng1375lHG6rkicb7rMdfyc0fZowcL8zdx_Maw=s88-c-k-c0x00ffffff-no-rj")</f>
        <v>https://yt3.ggpht.com/ytc/AAUvwng1375lHG6rkicb7rMdfyc0fZowcL8zdx_Maw=s88-c-k-c0x00ffffff-no-rj</v>
      </c>
      <c r="G277" s="66"/>
      <c r="H277" s="70" t="s">
        <v>1839</v>
      </c>
      <c r="I277" s="71"/>
      <c r="J277" s="71" t="s">
        <v>159</v>
      </c>
      <c r="K277" s="70" t="s">
        <v>1839</v>
      </c>
      <c r="L277" s="74">
        <v>1</v>
      </c>
      <c r="M277" s="75">
        <v>8682.3740234375</v>
      </c>
      <c r="N277" s="75">
        <v>8940.548828125</v>
      </c>
      <c r="O277" s="76"/>
      <c r="P277" s="77"/>
      <c r="Q277" s="77"/>
      <c r="R277" s="89"/>
      <c r="S277" s="49">
        <v>0</v>
      </c>
      <c r="T277" s="49">
        <v>1</v>
      </c>
      <c r="U277" s="50">
        <v>0</v>
      </c>
      <c r="V277" s="50">
        <v>0.000859</v>
      </c>
      <c r="W277" s="50">
        <v>0</v>
      </c>
      <c r="X277" s="50">
        <v>0.50924</v>
      </c>
      <c r="Y277" s="50">
        <v>0</v>
      </c>
      <c r="Z277" s="50">
        <v>0</v>
      </c>
      <c r="AA277" s="72">
        <v>277</v>
      </c>
      <c r="AB277" s="72"/>
      <c r="AC277" s="73"/>
      <c r="AD277" s="80" t="s">
        <v>1839</v>
      </c>
      <c r="AE277" s="80"/>
      <c r="AF277" s="80"/>
      <c r="AG277" s="80"/>
      <c r="AH277" s="80"/>
      <c r="AI277" s="80"/>
      <c r="AJ277" s="87">
        <v>42006.729375</v>
      </c>
      <c r="AK277" s="85" t="str">
        <f>HYPERLINK("https://yt3.ggpht.com/ytc/AAUvwng1375lHG6rkicb7rMdfyc0fZowcL8zdx_Maw=s88-c-k-c0x00ffffff-no-rj")</f>
        <v>https://yt3.ggpht.com/ytc/AAUvwng1375lHG6rkicb7rMdfyc0fZowcL8zdx_Maw=s88-c-k-c0x00ffffff-no-rj</v>
      </c>
      <c r="AL277" s="80">
        <v>74</v>
      </c>
      <c r="AM277" s="80">
        <v>0</v>
      </c>
      <c r="AN277" s="80">
        <v>0</v>
      </c>
      <c r="AO277" s="80" t="b">
        <v>0</v>
      </c>
      <c r="AP277" s="80">
        <v>20</v>
      </c>
      <c r="AQ277" s="80"/>
      <c r="AR277" s="80"/>
      <c r="AS277" s="80" t="s">
        <v>2664</v>
      </c>
      <c r="AT277" s="85" t="str">
        <f>HYPERLINK("https://www.youtube.com/channel/UCemdRq8VR5OiophHxaKdFfA")</f>
        <v>https://www.youtube.com/channel/UCemdRq8VR5OiophHxaKdFfA</v>
      </c>
      <c r="AU277" s="80" t="str">
        <f>REPLACE(INDEX(GroupVertices[Group],MATCH(Vertices[[#This Row],[Vertex]],GroupVertices[Vertex],0)),1,1,"")</f>
        <v>4</v>
      </c>
      <c r="AV277" s="49">
        <v>2</v>
      </c>
      <c r="AW277" s="50">
        <v>20</v>
      </c>
      <c r="AX277" s="49">
        <v>0</v>
      </c>
      <c r="AY277" s="50">
        <v>0</v>
      </c>
      <c r="AZ277" s="49">
        <v>0</v>
      </c>
      <c r="BA277" s="50">
        <v>0</v>
      </c>
      <c r="BB277" s="49">
        <v>8</v>
      </c>
      <c r="BC277" s="50">
        <v>80</v>
      </c>
      <c r="BD277" s="49">
        <v>10</v>
      </c>
      <c r="BE277" s="49"/>
      <c r="BF277" s="49"/>
      <c r="BG277" s="49"/>
      <c r="BH277" s="49"/>
      <c r="BI277" s="49"/>
      <c r="BJ277" s="49"/>
      <c r="BK277" s="111" t="s">
        <v>3877</v>
      </c>
      <c r="BL277" s="111" t="s">
        <v>3877</v>
      </c>
      <c r="BM277" s="111" t="s">
        <v>4342</v>
      </c>
      <c r="BN277" s="111" t="s">
        <v>4342</v>
      </c>
      <c r="BO277" s="2"/>
      <c r="BP277" s="3"/>
      <c r="BQ277" s="3"/>
      <c r="BR277" s="3"/>
      <c r="BS277" s="3"/>
    </row>
    <row r="278" spans="1:71" ht="15">
      <c r="A278" s="65" t="s">
        <v>481</v>
      </c>
      <c r="B278" s="66"/>
      <c r="C278" s="66"/>
      <c r="D278" s="67">
        <v>150</v>
      </c>
      <c r="E278" s="69"/>
      <c r="F278" s="103" t="str">
        <f>HYPERLINK("https://yt3.ggpht.com/ytc/AAUvwnjXlpehdzovbTeMZ2ExBs3l0czy2xZSg9g4uQ=s88-c-k-c0x00ffffff-no-rj")</f>
        <v>https://yt3.ggpht.com/ytc/AAUvwnjXlpehdzovbTeMZ2ExBs3l0czy2xZSg9g4uQ=s88-c-k-c0x00ffffff-no-rj</v>
      </c>
      <c r="G278" s="66"/>
      <c r="H278" s="70" t="s">
        <v>1840</v>
      </c>
      <c r="I278" s="71"/>
      <c r="J278" s="71" t="s">
        <v>159</v>
      </c>
      <c r="K278" s="70" t="s">
        <v>1840</v>
      </c>
      <c r="L278" s="74">
        <v>1</v>
      </c>
      <c r="M278" s="75">
        <v>7835.486328125</v>
      </c>
      <c r="N278" s="75">
        <v>8737.904296875</v>
      </c>
      <c r="O278" s="76"/>
      <c r="P278" s="77"/>
      <c r="Q278" s="77"/>
      <c r="R278" s="89"/>
      <c r="S278" s="49">
        <v>0</v>
      </c>
      <c r="T278" s="49">
        <v>1</v>
      </c>
      <c r="U278" s="50">
        <v>0</v>
      </c>
      <c r="V278" s="50">
        <v>0.000859</v>
      </c>
      <c r="W278" s="50">
        <v>0</v>
      </c>
      <c r="X278" s="50">
        <v>0.50924</v>
      </c>
      <c r="Y278" s="50">
        <v>0</v>
      </c>
      <c r="Z278" s="50">
        <v>0</v>
      </c>
      <c r="AA278" s="72">
        <v>278</v>
      </c>
      <c r="AB278" s="72"/>
      <c r="AC278" s="73"/>
      <c r="AD278" s="80" t="s">
        <v>1840</v>
      </c>
      <c r="AE278" s="80"/>
      <c r="AF278" s="80"/>
      <c r="AG278" s="80"/>
      <c r="AH278" s="80"/>
      <c r="AI278" s="80"/>
      <c r="AJ278" s="87">
        <v>42704.13594907407</v>
      </c>
      <c r="AK278" s="85" t="str">
        <f>HYPERLINK("https://yt3.ggpht.com/ytc/AAUvwnjXlpehdzovbTeMZ2ExBs3l0czy2xZSg9g4uQ=s88-c-k-c0x00ffffff-no-rj")</f>
        <v>https://yt3.ggpht.com/ytc/AAUvwnjXlpehdzovbTeMZ2ExBs3l0czy2xZSg9g4uQ=s88-c-k-c0x00ffffff-no-rj</v>
      </c>
      <c r="AL278" s="80">
        <v>0</v>
      </c>
      <c r="AM278" s="80">
        <v>0</v>
      </c>
      <c r="AN278" s="80">
        <v>0</v>
      </c>
      <c r="AO278" s="80" t="b">
        <v>0</v>
      </c>
      <c r="AP278" s="80">
        <v>0</v>
      </c>
      <c r="AQ278" s="80"/>
      <c r="AR278" s="80"/>
      <c r="AS278" s="80" t="s">
        <v>2664</v>
      </c>
      <c r="AT278" s="85" t="str">
        <f>HYPERLINK("https://www.youtube.com/channel/UChq4mVpPVEDxRxXtT-rBX1w")</f>
        <v>https://www.youtube.com/channel/UChq4mVpPVEDxRxXtT-rBX1w</v>
      </c>
      <c r="AU278" s="80" t="str">
        <f>REPLACE(INDEX(GroupVertices[Group],MATCH(Vertices[[#This Row],[Vertex]],GroupVertices[Vertex],0)),1,1,"")</f>
        <v>4</v>
      </c>
      <c r="AV278" s="49">
        <v>0</v>
      </c>
      <c r="AW278" s="50">
        <v>0</v>
      </c>
      <c r="AX278" s="49">
        <v>0</v>
      </c>
      <c r="AY278" s="50">
        <v>0</v>
      </c>
      <c r="AZ278" s="49">
        <v>0</v>
      </c>
      <c r="BA278" s="50">
        <v>0</v>
      </c>
      <c r="BB278" s="49">
        <v>1</v>
      </c>
      <c r="BC278" s="50">
        <v>100</v>
      </c>
      <c r="BD278" s="49">
        <v>1</v>
      </c>
      <c r="BE278" s="49"/>
      <c r="BF278" s="49"/>
      <c r="BG278" s="49"/>
      <c r="BH278" s="49"/>
      <c r="BI278" s="49"/>
      <c r="BJ278" s="49"/>
      <c r="BK278" s="111" t="s">
        <v>2390</v>
      </c>
      <c r="BL278" s="111" t="s">
        <v>2390</v>
      </c>
      <c r="BM278" s="111" t="s">
        <v>2390</v>
      </c>
      <c r="BN278" s="111" t="s">
        <v>2390</v>
      </c>
      <c r="BO278" s="2"/>
      <c r="BP278" s="3"/>
      <c r="BQ278" s="3"/>
      <c r="BR278" s="3"/>
      <c r="BS278" s="3"/>
    </row>
    <row r="279" spans="1:71" ht="15">
      <c r="A279" s="65" t="s">
        <v>482</v>
      </c>
      <c r="B279" s="66"/>
      <c r="C279" s="66"/>
      <c r="D279" s="67">
        <v>150</v>
      </c>
      <c r="E279" s="69"/>
      <c r="F279" s="103" t="str">
        <f>HYPERLINK("https://yt3.ggpht.com/ytc/AAUvwnhHjwtN5tOocSbG3GXzMzEBeEbelU6JZu-wvXVMyA=s88-c-k-c0x00ffffff-no-rj")</f>
        <v>https://yt3.ggpht.com/ytc/AAUvwnhHjwtN5tOocSbG3GXzMzEBeEbelU6JZu-wvXVMyA=s88-c-k-c0x00ffffff-no-rj</v>
      </c>
      <c r="G279" s="66"/>
      <c r="H279" s="70" t="s">
        <v>1841</v>
      </c>
      <c r="I279" s="71"/>
      <c r="J279" s="71" t="s">
        <v>159</v>
      </c>
      <c r="K279" s="70" t="s">
        <v>1841</v>
      </c>
      <c r="L279" s="74">
        <v>1</v>
      </c>
      <c r="M279" s="75">
        <v>9190.2529296875</v>
      </c>
      <c r="N279" s="75">
        <v>8379.6904296875</v>
      </c>
      <c r="O279" s="76"/>
      <c r="P279" s="77"/>
      <c r="Q279" s="77"/>
      <c r="R279" s="89"/>
      <c r="S279" s="49">
        <v>0</v>
      </c>
      <c r="T279" s="49">
        <v>1</v>
      </c>
      <c r="U279" s="50">
        <v>0</v>
      </c>
      <c r="V279" s="50">
        <v>0.000859</v>
      </c>
      <c r="W279" s="50">
        <v>0</v>
      </c>
      <c r="X279" s="50">
        <v>0.50924</v>
      </c>
      <c r="Y279" s="50">
        <v>0</v>
      </c>
      <c r="Z279" s="50">
        <v>0</v>
      </c>
      <c r="AA279" s="72">
        <v>279</v>
      </c>
      <c r="AB279" s="72"/>
      <c r="AC279" s="73"/>
      <c r="AD279" s="80" t="s">
        <v>1841</v>
      </c>
      <c r="AE279" s="80"/>
      <c r="AF279" s="80"/>
      <c r="AG279" s="80"/>
      <c r="AH279" s="80"/>
      <c r="AI279" s="80"/>
      <c r="AJ279" s="87">
        <v>42623.66633101852</v>
      </c>
      <c r="AK279" s="85" t="str">
        <f>HYPERLINK("https://yt3.ggpht.com/ytc/AAUvwnhHjwtN5tOocSbG3GXzMzEBeEbelU6JZu-wvXVMyA=s88-c-k-c0x00ffffff-no-rj")</f>
        <v>https://yt3.ggpht.com/ytc/AAUvwnhHjwtN5tOocSbG3GXzMzEBeEbelU6JZu-wvXVMyA=s88-c-k-c0x00ffffff-no-rj</v>
      </c>
      <c r="AL279" s="80">
        <v>0</v>
      </c>
      <c r="AM279" s="80">
        <v>0</v>
      </c>
      <c r="AN279" s="80">
        <v>0</v>
      </c>
      <c r="AO279" s="80" t="b">
        <v>0</v>
      </c>
      <c r="AP279" s="80">
        <v>0</v>
      </c>
      <c r="AQ279" s="80"/>
      <c r="AR279" s="80"/>
      <c r="AS279" s="80" t="s">
        <v>2664</v>
      </c>
      <c r="AT279" s="85" t="str">
        <f>HYPERLINK("https://www.youtube.com/channel/UCQ2Lgfym1M6v50JEm5P7uJw")</f>
        <v>https://www.youtube.com/channel/UCQ2Lgfym1M6v50JEm5P7uJw</v>
      </c>
      <c r="AU279" s="80" t="str">
        <f>REPLACE(INDEX(GroupVertices[Group],MATCH(Vertices[[#This Row],[Vertex]],GroupVertices[Vertex],0)),1,1,"")</f>
        <v>4</v>
      </c>
      <c r="AV279" s="49">
        <v>3</v>
      </c>
      <c r="AW279" s="50">
        <v>60</v>
      </c>
      <c r="AX279" s="49">
        <v>0</v>
      </c>
      <c r="AY279" s="50">
        <v>0</v>
      </c>
      <c r="AZ279" s="49">
        <v>0</v>
      </c>
      <c r="BA279" s="50">
        <v>0</v>
      </c>
      <c r="BB279" s="49">
        <v>2</v>
      </c>
      <c r="BC279" s="50">
        <v>40</v>
      </c>
      <c r="BD279" s="49">
        <v>5</v>
      </c>
      <c r="BE279" s="49"/>
      <c r="BF279" s="49"/>
      <c r="BG279" s="49"/>
      <c r="BH279" s="49"/>
      <c r="BI279" s="49"/>
      <c r="BJ279" s="49"/>
      <c r="BK279" s="111" t="s">
        <v>3878</v>
      </c>
      <c r="BL279" s="111" t="s">
        <v>3878</v>
      </c>
      <c r="BM279" s="111" t="s">
        <v>4343</v>
      </c>
      <c r="BN279" s="111" t="s">
        <v>4343</v>
      </c>
      <c r="BO279" s="2"/>
      <c r="BP279" s="3"/>
      <c r="BQ279" s="3"/>
      <c r="BR279" s="3"/>
      <c r="BS279" s="3"/>
    </row>
    <row r="280" spans="1:71" ht="15">
      <c r="A280" s="65" t="s">
        <v>483</v>
      </c>
      <c r="B280" s="66"/>
      <c r="C280" s="66"/>
      <c r="D280" s="67">
        <v>150</v>
      </c>
      <c r="E280" s="69"/>
      <c r="F280" s="103" t="str">
        <f>HYPERLINK("https://yt3.ggpht.com/ytc/AAUvwniFVDsm9DvL1CkN3bg3VX7hLzBrtB9r1AUkxmy1=s88-c-k-c0x00ffffff-no-rj")</f>
        <v>https://yt3.ggpht.com/ytc/AAUvwniFVDsm9DvL1CkN3bg3VX7hLzBrtB9r1AUkxmy1=s88-c-k-c0x00ffffff-no-rj</v>
      </c>
      <c r="G280" s="66"/>
      <c r="H280" s="70" t="s">
        <v>1842</v>
      </c>
      <c r="I280" s="71"/>
      <c r="J280" s="71" t="s">
        <v>159</v>
      </c>
      <c r="K280" s="70" t="s">
        <v>1842</v>
      </c>
      <c r="L280" s="74">
        <v>1</v>
      </c>
      <c r="M280" s="75">
        <v>8835.783203125</v>
      </c>
      <c r="N280" s="75">
        <v>8636.5234375</v>
      </c>
      <c r="O280" s="76"/>
      <c r="P280" s="77"/>
      <c r="Q280" s="77"/>
      <c r="R280" s="89"/>
      <c r="S280" s="49">
        <v>0</v>
      </c>
      <c r="T280" s="49">
        <v>1</v>
      </c>
      <c r="U280" s="50">
        <v>0</v>
      </c>
      <c r="V280" s="50">
        <v>0.000859</v>
      </c>
      <c r="W280" s="50">
        <v>0</v>
      </c>
      <c r="X280" s="50">
        <v>0.50924</v>
      </c>
      <c r="Y280" s="50">
        <v>0</v>
      </c>
      <c r="Z280" s="50">
        <v>0</v>
      </c>
      <c r="AA280" s="72">
        <v>280</v>
      </c>
      <c r="AB280" s="72"/>
      <c r="AC280" s="73"/>
      <c r="AD280" s="80" t="s">
        <v>1842</v>
      </c>
      <c r="AE280" s="80"/>
      <c r="AF280" s="80"/>
      <c r="AG280" s="80"/>
      <c r="AH280" s="80"/>
      <c r="AI280" s="80"/>
      <c r="AJ280" s="87">
        <v>44089.66371527778</v>
      </c>
      <c r="AK280" s="85" t="str">
        <f>HYPERLINK("https://yt3.ggpht.com/ytc/AAUvwniFVDsm9DvL1CkN3bg3VX7hLzBrtB9r1AUkxmy1=s88-c-k-c0x00ffffff-no-rj")</f>
        <v>https://yt3.ggpht.com/ytc/AAUvwniFVDsm9DvL1CkN3bg3VX7hLzBrtB9r1AUkxmy1=s88-c-k-c0x00ffffff-no-rj</v>
      </c>
      <c r="AL280" s="80">
        <v>0</v>
      </c>
      <c r="AM280" s="80">
        <v>0</v>
      </c>
      <c r="AN280" s="80">
        <v>1</v>
      </c>
      <c r="AO280" s="80" t="b">
        <v>0</v>
      </c>
      <c r="AP280" s="80">
        <v>0</v>
      </c>
      <c r="AQ280" s="80"/>
      <c r="AR280" s="80"/>
      <c r="AS280" s="80" t="s">
        <v>2664</v>
      </c>
      <c r="AT280" s="85" t="str">
        <f>HYPERLINK("https://www.youtube.com/channel/UCS0bq3n9kirVOTorva8UKJg")</f>
        <v>https://www.youtube.com/channel/UCS0bq3n9kirVOTorva8UKJg</v>
      </c>
      <c r="AU280" s="80" t="str">
        <f>REPLACE(INDEX(GroupVertices[Group],MATCH(Vertices[[#This Row],[Vertex]],GroupVertices[Vertex],0)),1,1,"")</f>
        <v>4</v>
      </c>
      <c r="AV280" s="49">
        <v>0</v>
      </c>
      <c r="AW280" s="50">
        <v>0</v>
      </c>
      <c r="AX280" s="49">
        <v>0</v>
      </c>
      <c r="AY280" s="50">
        <v>0</v>
      </c>
      <c r="AZ280" s="49">
        <v>0</v>
      </c>
      <c r="BA280" s="50">
        <v>0</v>
      </c>
      <c r="BB280" s="49">
        <v>1</v>
      </c>
      <c r="BC280" s="50">
        <v>100</v>
      </c>
      <c r="BD280" s="49">
        <v>1</v>
      </c>
      <c r="BE280" s="49"/>
      <c r="BF280" s="49"/>
      <c r="BG280" s="49"/>
      <c r="BH280" s="49"/>
      <c r="BI280" s="49"/>
      <c r="BJ280" s="49"/>
      <c r="BK280" s="111" t="s">
        <v>2390</v>
      </c>
      <c r="BL280" s="111" t="s">
        <v>2390</v>
      </c>
      <c r="BM280" s="111" t="s">
        <v>2390</v>
      </c>
      <c r="BN280" s="111" t="s">
        <v>2390</v>
      </c>
      <c r="BO280" s="2"/>
      <c r="BP280" s="3"/>
      <c r="BQ280" s="3"/>
      <c r="BR280" s="3"/>
      <c r="BS280" s="3"/>
    </row>
    <row r="281" spans="1:71" ht="15">
      <c r="A281" s="65" t="s">
        <v>484</v>
      </c>
      <c r="B281" s="66"/>
      <c r="C281" s="66"/>
      <c r="D281" s="67">
        <v>150</v>
      </c>
      <c r="E281" s="69"/>
      <c r="F281" s="103" t="str">
        <f>HYPERLINK("https://yt3.ggpht.com/ytc/AAUvwniu9z1XdxGyuPfoaiimr-XHmFfY4falCOI2z_eh=s88-c-k-c0x00ffffff-no-rj")</f>
        <v>https://yt3.ggpht.com/ytc/AAUvwniu9z1XdxGyuPfoaiimr-XHmFfY4falCOI2z_eh=s88-c-k-c0x00ffffff-no-rj</v>
      </c>
      <c r="G281" s="66"/>
      <c r="H281" s="70" t="s">
        <v>1843</v>
      </c>
      <c r="I281" s="71"/>
      <c r="J281" s="71" t="s">
        <v>159</v>
      </c>
      <c r="K281" s="70" t="s">
        <v>1843</v>
      </c>
      <c r="L281" s="74">
        <v>1</v>
      </c>
      <c r="M281" s="75">
        <v>9760.169921875</v>
      </c>
      <c r="N281" s="75">
        <v>1072.86962890625</v>
      </c>
      <c r="O281" s="76"/>
      <c r="P281" s="77"/>
      <c r="Q281" s="77"/>
      <c r="R281" s="89"/>
      <c r="S281" s="49">
        <v>0</v>
      </c>
      <c r="T281" s="49">
        <v>1</v>
      </c>
      <c r="U281" s="50">
        <v>0</v>
      </c>
      <c r="V281" s="50">
        <v>1</v>
      </c>
      <c r="W281" s="50">
        <v>0</v>
      </c>
      <c r="X281" s="50">
        <v>0.701754</v>
      </c>
      <c r="Y281" s="50">
        <v>0</v>
      </c>
      <c r="Z281" s="50">
        <v>0</v>
      </c>
      <c r="AA281" s="72">
        <v>281</v>
      </c>
      <c r="AB281" s="72"/>
      <c r="AC281" s="73"/>
      <c r="AD281" s="80" t="s">
        <v>1843</v>
      </c>
      <c r="AE281" s="80" t="s">
        <v>2513</v>
      </c>
      <c r="AF281" s="80"/>
      <c r="AG281" s="80"/>
      <c r="AH281" s="80"/>
      <c r="AI281" s="80"/>
      <c r="AJ281" s="87">
        <v>43912.379965277774</v>
      </c>
      <c r="AK281" s="85" t="str">
        <f>HYPERLINK("https://yt3.ggpht.com/ytc/AAUvwniu9z1XdxGyuPfoaiimr-XHmFfY4falCOI2z_eh=s88-c-k-c0x00ffffff-no-rj")</f>
        <v>https://yt3.ggpht.com/ytc/AAUvwniu9z1XdxGyuPfoaiimr-XHmFfY4falCOI2z_eh=s88-c-k-c0x00ffffff-no-rj</v>
      </c>
      <c r="AL281" s="80">
        <v>409</v>
      </c>
      <c r="AM281" s="80">
        <v>0</v>
      </c>
      <c r="AN281" s="80">
        <v>26</v>
      </c>
      <c r="AO281" s="80" t="b">
        <v>0</v>
      </c>
      <c r="AP281" s="80">
        <v>16</v>
      </c>
      <c r="AQ281" s="80"/>
      <c r="AR281" s="80"/>
      <c r="AS281" s="80" t="s">
        <v>2664</v>
      </c>
      <c r="AT281" s="85" t="str">
        <f>HYPERLINK("https://www.youtube.com/channel/UC4JxCdHEY3pnZFueFf7Irug")</f>
        <v>https://www.youtube.com/channel/UC4JxCdHEY3pnZFueFf7Irug</v>
      </c>
      <c r="AU281" s="80" t="str">
        <f>REPLACE(INDEX(GroupVertices[Group],MATCH(Vertices[[#This Row],[Vertex]],GroupVertices[Vertex],0)),1,1,"")</f>
        <v>23</v>
      </c>
      <c r="AV281" s="49">
        <v>1</v>
      </c>
      <c r="AW281" s="50">
        <v>100</v>
      </c>
      <c r="AX281" s="49">
        <v>0</v>
      </c>
      <c r="AY281" s="50">
        <v>0</v>
      </c>
      <c r="AZ281" s="49">
        <v>0</v>
      </c>
      <c r="BA281" s="50">
        <v>0</v>
      </c>
      <c r="BB281" s="49">
        <v>0</v>
      </c>
      <c r="BC281" s="50">
        <v>0</v>
      </c>
      <c r="BD281" s="49">
        <v>1</v>
      </c>
      <c r="BE281" s="49"/>
      <c r="BF281" s="49"/>
      <c r="BG281" s="49"/>
      <c r="BH281" s="49"/>
      <c r="BI281" s="49"/>
      <c r="BJ281" s="49"/>
      <c r="BK281" s="111" t="s">
        <v>1110</v>
      </c>
      <c r="BL281" s="111" t="s">
        <v>1110</v>
      </c>
      <c r="BM281" s="111" t="s">
        <v>2390</v>
      </c>
      <c r="BN281" s="111" t="s">
        <v>2390</v>
      </c>
      <c r="BO281" s="2"/>
      <c r="BP281" s="3"/>
      <c r="BQ281" s="3"/>
      <c r="BR281" s="3"/>
      <c r="BS281" s="3"/>
    </row>
    <row r="282" spans="1:71" ht="15">
      <c r="A282" s="65" t="s">
        <v>833</v>
      </c>
      <c r="B282" s="66"/>
      <c r="C282" s="66"/>
      <c r="D282" s="67">
        <v>433.3333333333333</v>
      </c>
      <c r="E282" s="69"/>
      <c r="F282" s="103" t="str">
        <f>HYPERLINK("https://yt3.ggpht.com/ytc/AAUvwnjzknqgEqem6dm0FQw-BsTXKKrH-BA4NL4ACm8F=s88-c-k-c0x00ffffff-no-rj")</f>
        <v>https://yt3.ggpht.com/ytc/AAUvwnjzknqgEqem6dm0FQw-BsTXKKrH-BA4NL4ACm8F=s88-c-k-c0x00ffffff-no-rj</v>
      </c>
      <c r="G282" s="66"/>
      <c r="H282" s="70" t="s">
        <v>2409</v>
      </c>
      <c r="I282" s="71"/>
      <c r="J282" s="71" t="s">
        <v>75</v>
      </c>
      <c r="K282" s="70" t="s">
        <v>2409</v>
      </c>
      <c r="L282" s="74">
        <v>191.43809523809523</v>
      </c>
      <c r="M282" s="75">
        <v>9760.169921875</v>
      </c>
      <c r="N282" s="75">
        <v>733.3081665039062</v>
      </c>
      <c r="O282" s="76"/>
      <c r="P282" s="77"/>
      <c r="Q282" s="77"/>
      <c r="R282" s="89"/>
      <c r="S282" s="49">
        <v>2</v>
      </c>
      <c r="T282" s="49">
        <v>1</v>
      </c>
      <c r="U282" s="50">
        <v>0</v>
      </c>
      <c r="V282" s="50">
        <v>1</v>
      </c>
      <c r="W282" s="50">
        <v>0</v>
      </c>
      <c r="X282" s="50">
        <v>1.298244</v>
      </c>
      <c r="Y282" s="50">
        <v>0</v>
      </c>
      <c r="Z282" s="50">
        <v>0</v>
      </c>
      <c r="AA282" s="72">
        <v>282</v>
      </c>
      <c r="AB282" s="72"/>
      <c r="AC282" s="73"/>
      <c r="AD282" s="80" t="s">
        <v>2409</v>
      </c>
      <c r="AE282" s="80" t="s">
        <v>2514</v>
      </c>
      <c r="AF282" s="80"/>
      <c r="AG282" s="80"/>
      <c r="AH282" s="80"/>
      <c r="AI282" s="80"/>
      <c r="AJ282" s="87">
        <v>40294.69494212963</v>
      </c>
      <c r="AK282" s="85" t="str">
        <f>HYPERLINK("https://yt3.ggpht.com/ytc/AAUvwnjzknqgEqem6dm0FQw-BsTXKKrH-BA4NL4ACm8F=s88-c-k-c0x00ffffff-no-rj")</f>
        <v>https://yt3.ggpht.com/ytc/AAUvwnjzknqgEqem6dm0FQw-BsTXKKrH-BA4NL4ACm8F=s88-c-k-c0x00ffffff-no-rj</v>
      </c>
      <c r="AL282" s="80">
        <v>609979</v>
      </c>
      <c r="AM282" s="80">
        <v>0</v>
      </c>
      <c r="AN282" s="80">
        <v>3070</v>
      </c>
      <c r="AO282" s="80" t="b">
        <v>0</v>
      </c>
      <c r="AP282" s="80">
        <v>1186</v>
      </c>
      <c r="AQ282" s="80"/>
      <c r="AR282" s="80"/>
      <c r="AS282" s="80" t="s">
        <v>2664</v>
      </c>
      <c r="AT282" s="85" t="str">
        <f>HYPERLINK("https://www.youtube.com/channel/UCJqYJTdXhhFqLbJii990qQA")</f>
        <v>https://www.youtube.com/channel/UCJqYJTdXhhFqLbJii990qQA</v>
      </c>
      <c r="AU282" s="80" t="str">
        <f>REPLACE(INDEX(GroupVertices[Group],MATCH(Vertices[[#This Row],[Vertex]],GroupVertices[Vertex],0)),1,1,"")</f>
        <v>23</v>
      </c>
      <c r="AV282" s="49"/>
      <c r="AW282" s="50"/>
      <c r="AX282" s="49"/>
      <c r="AY282" s="50"/>
      <c r="AZ282" s="49"/>
      <c r="BA282" s="50"/>
      <c r="BB282" s="49"/>
      <c r="BC282" s="50"/>
      <c r="BD282" s="49"/>
      <c r="BE282" s="49"/>
      <c r="BF282" s="49"/>
      <c r="BG282" s="49"/>
      <c r="BH282" s="49"/>
      <c r="BI282" s="49"/>
      <c r="BJ282" s="49"/>
      <c r="BK282" s="111" t="s">
        <v>2390</v>
      </c>
      <c r="BL282" s="111" t="s">
        <v>2390</v>
      </c>
      <c r="BM282" s="111" t="s">
        <v>2390</v>
      </c>
      <c r="BN282" s="111" t="s">
        <v>2390</v>
      </c>
      <c r="BO282" s="2"/>
      <c r="BP282" s="3"/>
      <c r="BQ282" s="3"/>
      <c r="BR282" s="3"/>
      <c r="BS282" s="3"/>
    </row>
    <row r="283" spans="1:71" ht="15">
      <c r="A283" s="65" t="s">
        <v>485</v>
      </c>
      <c r="B283" s="66"/>
      <c r="C283" s="66"/>
      <c r="D283" s="67">
        <v>150</v>
      </c>
      <c r="E283" s="69"/>
      <c r="F283" s="103" t="str">
        <f>HYPERLINK("https://yt3.ggpht.com/ytc/AAUvwnhrO2mAzWBqpnHPt-bEZzvwIlpyV-NYx4xGgg=s88-c-k-c0x00ffffff-no-rj")</f>
        <v>https://yt3.ggpht.com/ytc/AAUvwnhrO2mAzWBqpnHPt-bEZzvwIlpyV-NYx4xGgg=s88-c-k-c0x00ffffff-no-rj</v>
      </c>
      <c r="G283" s="66"/>
      <c r="H283" s="70" t="s">
        <v>1844</v>
      </c>
      <c r="I283" s="71"/>
      <c r="J283" s="71" t="s">
        <v>159</v>
      </c>
      <c r="K283" s="70" t="s">
        <v>1844</v>
      </c>
      <c r="L283" s="74">
        <v>1</v>
      </c>
      <c r="M283" s="75">
        <v>6856.44970703125</v>
      </c>
      <c r="N283" s="75">
        <v>910.92919921875</v>
      </c>
      <c r="O283" s="76"/>
      <c r="P283" s="77"/>
      <c r="Q283" s="77"/>
      <c r="R283" s="89"/>
      <c r="S283" s="49">
        <v>0</v>
      </c>
      <c r="T283" s="49">
        <v>1</v>
      </c>
      <c r="U283" s="50">
        <v>0</v>
      </c>
      <c r="V283" s="50">
        <v>0.023256</v>
      </c>
      <c r="W283" s="50">
        <v>0</v>
      </c>
      <c r="X283" s="50">
        <v>0.525922</v>
      </c>
      <c r="Y283" s="50">
        <v>0</v>
      </c>
      <c r="Z283" s="50">
        <v>0</v>
      </c>
      <c r="AA283" s="72">
        <v>283</v>
      </c>
      <c r="AB283" s="72"/>
      <c r="AC283" s="73"/>
      <c r="AD283" s="80" t="s">
        <v>1844</v>
      </c>
      <c r="AE283" s="80"/>
      <c r="AF283" s="80"/>
      <c r="AG283" s="80"/>
      <c r="AH283" s="80"/>
      <c r="AI283" s="80"/>
      <c r="AJ283" s="87">
        <v>40827.07564814815</v>
      </c>
      <c r="AK283" s="85" t="str">
        <f>HYPERLINK("https://yt3.ggpht.com/ytc/AAUvwnhrO2mAzWBqpnHPt-bEZzvwIlpyV-NYx4xGgg=s88-c-k-c0x00ffffff-no-rj")</f>
        <v>https://yt3.ggpht.com/ytc/AAUvwnhrO2mAzWBqpnHPt-bEZzvwIlpyV-NYx4xGgg=s88-c-k-c0x00ffffff-no-rj</v>
      </c>
      <c r="AL283" s="80">
        <v>0</v>
      </c>
      <c r="AM283" s="80">
        <v>0</v>
      </c>
      <c r="AN283" s="80">
        <v>0</v>
      </c>
      <c r="AO283" s="80" t="b">
        <v>0</v>
      </c>
      <c r="AP283" s="80">
        <v>0</v>
      </c>
      <c r="AQ283" s="80"/>
      <c r="AR283" s="80"/>
      <c r="AS283" s="80" t="s">
        <v>2664</v>
      </c>
      <c r="AT283" s="85" t="str">
        <f>HYPERLINK("https://www.youtube.com/channel/UCABafRXyzThI13jVSDdTMBA")</f>
        <v>https://www.youtube.com/channel/UCABafRXyzThI13jVSDdTMBA</v>
      </c>
      <c r="AU283" s="80" t="str">
        <f>REPLACE(INDEX(GroupVertices[Group],MATCH(Vertices[[#This Row],[Vertex]],GroupVertices[Vertex],0)),1,1,"")</f>
        <v>10</v>
      </c>
      <c r="AV283" s="49">
        <v>2</v>
      </c>
      <c r="AW283" s="50">
        <v>14.285714285714286</v>
      </c>
      <c r="AX283" s="49">
        <v>0</v>
      </c>
      <c r="AY283" s="50">
        <v>0</v>
      </c>
      <c r="AZ283" s="49">
        <v>0</v>
      </c>
      <c r="BA283" s="50">
        <v>0</v>
      </c>
      <c r="BB283" s="49">
        <v>12</v>
      </c>
      <c r="BC283" s="50">
        <v>85.71428571428571</v>
      </c>
      <c r="BD283" s="49">
        <v>14</v>
      </c>
      <c r="BE283" s="49"/>
      <c r="BF283" s="49"/>
      <c r="BG283" s="49"/>
      <c r="BH283" s="49"/>
      <c r="BI283" s="49"/>
      <c r="BJ283" s="49"/>
      <c r="BK283" s="111" t="s">
        <v>3879</v>
      </c>
      <c r="BL283" s="111" t="s">
        <v>3879</v>
      </c>
      <c r="BM283" s="111" t="s">
        <v>4344</v>
      </c>
      <c r="BN283" s="111" t="s">
        <v>4344</v>
      </c>
      <c r="BO283" s="2"/>
      <c r="BP283" s="3"/>
      <c r="BQ283" s="3"/>
      <c r="BR283" s="3"/>
      <c r="BS283" s="3"/>
    </row>
    <row r="284" spans="1:71" ht="15">
      <c r="A284" s="65" t="s">
        <v>834</v>
      </c>
      <c r="B284" s="66"/>
      <c r="C284" s="66"/>
      <c r="D284" s="67">
        <v>1000</v>
      </c>
      <c r="E284" s="69"/>
      <c r="F284" s="103" t="str">
        <f>HYPERLINK("https://yt3.ggpht.com/ytc/AAUvwngdP3okXEWSNOV0jPGYSd7ulTVjYg3cJ3ENrvxU5w=s88-c-k-c0x00ffffff-no-rj")</f>
        <v>https://yt3.ggpht.com/ytc/AAUvwngdP3okXEWSNOV0jPGYSd7ulTVjYg3cJ3ENrvxU5w=s88-c-k-c0x00ffffff-no-rj</v>
      </c>
      <c r="G284" s="66"/>
      <c r="H284" s="70" t="s">
        <v>2410</v>
      </c>
      <c r="I284" s="71"/>
      <c r="J284" s="71" t="s">
        <v>75</v>
      </c>
      <c r="K284" s="70" t="s">
        <v>2410</v>
      </c>
      <c r="L284" s="74">
        <v>1905.3809523809523</v>
      </c>
      <c r="M284" s="75">
        <v>6127.51708984375</v>
      </c>
      <c r="N284" s="75">
        <v>777.4536743164062</v>
      </c>
      <c r="O284" s="76"/>
      <c r="P284" s="77"/>
      <c r="Q284" s="77"/>
      <c r="R284" s="89"/>
      <c r="S284" s="49">
        <v>20</v>
      </c>
      <c r="T284" s="49">
        <v>1</v>
      </c>
      <c r="U284" s="50">
        <v>412</v>
      </c>
      <c r="V284" s="50">
        <v>0.043478</v>
      </c>
      <c r="W284" s="50">
        <v>0</v>
      </c>
      <c r="X284" s="50">
        <v>8.845227</v>
      </c>
      <c r="Y284" s="50">
        <v>0.0029239766081871343</v>
      </c>
      <c r="Z284" s="50">
        <v>0</v>
      </c>
      <c r="AA284" s="72">
        <v>284</v>
      </c>
      <c r="AB284" s="72"/>
      <c r="AC284" s="73"/>
      <c r="AD284" s="80" t="s">
        <v>2410</v>
      </c>
      <c r="AE284" s="80" t="s">
        <v>2515</v>
      </c>
      <c r="AF284" s="80"/>
      <c r="AG284" s="80"/>
      <c r="AH284" s="80"/>
      <c r="AI284" s="80"/>
      <c r="AJ284" s="87">
        <v>39987.750555555554</v>
      </c>
      <c r="AK284" s="85" t="str">
        <f>HYPERLINK("https://yt3.ggpht.com/ytc/AAUvwngdP3okXEWSNOV0jPGYSd7ulTVjYg3cJ3ENrvxU5w=s88-c-k-c0x00ffffff-no-rj")</f>
        <v>https://yt3.ggpht.com/ytc/AAUvwngdP3okXEWSNOV0jPGYSd7ulTVjYg3cJ3ENrvxU5w=s88-c-k-c0x00ffffff-no-rj</v>
      </c>
      <c r="AL284" s="80">
        <v>5687509544</v>
      </c>
      <c r="AM284" s="80">
        <v>0</v>
      </c>
      <c r="AN284" s="80">
        <v>31500000</v>
      </c>
      <c r="AO284" s="80" t="b">
        <v>0</v>
      </c>
      <c r="AP284" s="80">
        <v>167887</v>
      </c>
      <c r="AQ284" s="80"/>
      <c r="AR284" s="80"/>
      <c r="AS284" s="80" t="s">
        <v>2664</v>
      </c>
      <c r="AT284" s="85" t="str">
        <f>HYPERLINK("https://www.youtube.com/channel/UCsT0YIqwnpJCM-mx7-gSA4Q")</f>
        <v>https://www.youtube.com/channel/UCsT0YIqwnpJCM-mx7-gSA4Q</v>
      </c>
      <c r="AU284" s="80" t="str">
        <f>REPLACE(INDEX(GroupVertices[Group],MATCH(Vertices[[#This Row],[Vertex]],GroupVertices[Vertex],0)),1,1,"")</f>
        <v>10</v>
      </c>
      <c r="AV284" s="49"/>
      <c r="AW284" s="50"/>
      <c r="AX284" s="49"/>
      <c r="AY284" s="50"/>
      <c r="AZ284" s="49"/>
      <c r="BA284" s="50"/>
      <c r="BB284" s="49"/>
      <c r="BC284" s="50"/>
      <c r="BD284" s="49"/>
      <c r="BE284" s="49"/>
      <c r="BF284" s="49"/>
      <c r="BG284" s="49"/>
      <c r="BH284" s="49"/>
      <c r="BI284" s="49"/>
      <c r="BJ284" s="49"/>
      <c r="BK284" s="111" t="s">
        <v>2390</v>
      </c>
      <c r="BL284" s="111" t="s">
        <v>2390</v>
      </c>
      <c r="BM284" s="111" t="s">
        <v>2390</v>
      </c>
      <c r="BN284" s="111" t="s">
        <v>2390</v>
      </c>
      <c r="BO284" s="2"/>
      <c r="BP284" s="3"/>
      <c r="BQ284" s="3"/>
      <c r="BR284" s="3"/>
      <c r="BS284" s="3"/>
    </row>
    <row r="285" spans="1:71" ht="15">
      <c r="A285" s="65" t="s">
        <v>486</v>
      </c>
      <c r="B285" s="66"/>
      <c r="C285" s="66"/>
      <c r="D285" s="67">
        <v>150</v>
      </c>
      <c r="E285" s="69"/>
      <c r="F285" s="103" t="str">
        <f>HYPERLINK("https://yt3.ggpht.com/ytc/AAUvwngq1RcxhV1llhJAGmpOPvYCaEi1VQ9cVP4GpA=s88-c-k-c0x00ffffff-no-rj")</f>
        <v>https://yt3.ggpht.com/ytc/AAUvwngq1RcxhV1llhJAGmpOPvYCaEi1VQ9cVP4GpA=s88-c-k-c0x00ffffff-no-rj</v>
      </c>
      <c r="G285" s="66"/>
      <c r="H285" s="70" t="s">
        <v>1845</v>
      </c>
      <c r="I285" s="71"/>
      <c r="J285" s="71" t="s">
        <v>159</v>
      </c>
      <c r="K285" s="70" t="s">
        <v>1845</v>
      </c>
      <c r="L285" s="74">
        <v>1</v>
      </c>
      <c r="M285" s="75">
        <v>5647.8798828125</v>
      </c>
      <c r="N285" s="75">
        <v>632.7019653320312</v>
      </c>
      <c r="O285" s="76"/>
      <c r="P285" s="77"/>
      <c r="Q285" s="77"/>
      <c r="R285" s="89"/>
      <c r="S285" s="49">
        <v>0</v>
      </c>
      <c r="T285" s="49">
        <v>2</v>
      </c>
      <c r="U285" s="50">
        <v>0</v>
      </c>
      <c r="V285" s="50">
        <v>0.02381</v>
      </c>
      <c r="W285" s="50">
        <v>0</v>
      </c>
      <c r="X285" s="50">
        <v>0.914647</v>
      </c>
      <c r="Y285" s="50">
        <v>0.5</v>
      </c>
      <c r="Z285" s="50">
        <v>0</v>
      </c>
      <c r="AA285" s="72">
        <v>285</v>
      </c>
      <c r="AB285" s="72"/>
      <c r="AC285" s="73"/>
      <c r="AD285" s="80" t="s">
        <v>1845</v>
      </c>
      <c r="AE285" s="80"/>
      <c r="AF285" s="80"/>
      <c r="AG285" s="80"/>
      <c r="AH285" s="80"/>
      <c r="AI285" s="80"/>
      <c r="AJ285" s="87">
        <v>41102.98940972222</v>
      </c>
      <c r="AK285" s="85" t="str">
        <f>HYPERLINK("https://yt3.ggpht.com/ytc/AAUvwngq1RcxhV1llhJAGmpOPvYCaEi1VQ9cVP4GpA=s88-c-k-c0x00ffffff-no-rj")</f>
        <v>https://yt3.ggpht.com/ytc/AAUvwngq1RcxhV1llhJAGmpOPvYCaEi1VQ9cVP4GpA=s88-c-k-c0x00ffffff-no-rj</v>
      </c>
      <c r="AL285" s="80">
        <v>0</v>
      </c>
      <c r="AM285" s="80">
        <v>0</v>
      </c>
      <c r="AN285" s="80">
        <v>4</v>
      </c>
      <c r="AO285" s="80" t="b">
        <v>0</v>
      </c>
      <c r="AP285" s="80">
        <v>0</v>
      </c>
      <c r="AQ285" s="80"/>
      <c r="AR285" s="80"/>
      <c r="AS285" s="80" t="s">
        <v>2664</v>
      </c>
      <c r="AT285" s="85" t="str">
        <f>HYPERLINK("https://www.youtube.com/channel/UCbwAbzjiQXy7VMT5cCINu2w")</f>
        <v>https://www.youtube.com/channel/UCbwAbzjiQXy7VMT5cCINu2w</v>
      </c>
      <c r="AU285" s="80" t="str">
        <f>REPLACE(INDEX(GroupVertices[Group],MATCH(Vertices[[#This Row],[Vertex]],GroupVertices[Vertex],0)),1,1,"")</f>
        <v>10</v>
      </c>
      <c r="AV285" s="49">
        <v>13</v>
      </c>
      <c r="AW285" s="50">
        <v>5.936073059360731</v>
      </c>
      <c r="AX285" s="49">
        <v>7</v>
      </c>
      <c r="AY285" s="50">
        <v>3.1963470319634704</v>
      </c>
      <c r="AZ285" s="49">
        <v>0</v>
      </c>
      <c r="BA285" s="50">
        <v>0</v>
      </c>
      <c r="BB285" s="49">
        <v>199</v>
      </c>
      <c r="BC285" s="50">
        <v>90.8675799086758</v>
      </c>
      <c r="BD285" s="49">
        <v>219</v>
      </c>
      <c r="BE285" s="49"/>
      <c r="BF285" s="49"/>
      <c r="BG285" s="49"/>
      <c r="BH285" s="49"/>
      <c r="BI285" s="49"/>
      <c r="BJ285" s="49"/>
      <c r="BK285" s="111" t="s">
        <v>3880</v>
      </c>
      <c r="BL285" s="111" t="s">
        <v>4131</v>
      </c>
      <c r="BM285" s="111" t="s">
        <v>4345</v>
      </c>
      <c r="BN285" s="111" t="s">
        <v>4583</v>
      </c>
      <c r="BO285" s="2"/>
      <c r="BP285" s="3"/>
      <c r="BQ285" s="3"/>
      <c r="BR285" s="3"/>
      <c r="BS285" s="3"/>
    </row>
    <row r="286" spans="1:71" ht="15">
      <c r="A286" s="65" t="s">
        <v>487</v>
      </c>
      <c r="B286" s="66"/>
      <c r="C286" s="66"/>
      <c r="D286" s="67">
        <v>291.66666666666663</v>
      </c>
      <c r="E286" s="69"/>
      <c r="F286" s="103" t="str">
        <f>HYPERLINK("https://yt3.ggpht.com/ytc/AAUvwngCakEDAB3kdfzPDdL0QlMaITJzMTxBrAiULvwimg=s88-c-k-c0x00ffffff-no-rj")</f>
        <v>https://yt3.ggpht.com/ytc/AAUvwngCakEDAB3kdfzPDdL0QlMaITJzMTxBrAiULvwimg=s88-c-k-c0x00ffffff-no-rj</v>
      </c>
      <c r="G286" s="66"/>
      <c r="H286" s="70" t="s">
        <v>1846</v>
      </c>
      <c r="I286" s="71"/>
      <c r="J286" s="71" t="s">
        <v>159</v>
      </c>
      <c r="K286" s="70" t="s">
        <v>1846</v>
      </c>
      <c r="L286" s="74">
        <v>96.21904761904761</v>
      </c>
      <c r="M286" s="75">
        <v>5827.2255859375</v>
      </c>
      <c r="N286" s="75">
        <v>458.7956237792969</v>
      </c>
      <c r="O286" s="76"/>
      <c r="P286" s="77"/>
      <c r="Q286" s="77"/>
      <c r="R286" s="89"/>
      <c r="S286" s="49">
        <v>1</v>
      </c>
      <c r="T286" s="49">
        <v>1</v>
      </c>
      <c r="U286" s="50">
        <v>0</v>
      </c>
      <c r="V286" s="50">
        <v>0.02381</v>
      </c>
      <c r="W286" s="50">
        <v>0</v>
      </c>
      <c r="X286" s="50">
        <v>0.914647</v>
      </c>
      <c r="Y286" s="50">
        <v>0.5</v>
      </c>
      <c r="Z286" s="50">
        <v>0</v>
      </c>
      <c r="AA286" s="72">
        <v>286</v>
      </c>
      <c r="AB286" s="72"/>
      <c r="AC286" s="73"/>
      <c r="AD286" s="80" t="s">
        <v>1846</v>
      </c>
      <c r="AE286" s="80"/>
      <c r="AF286" s="80"/>
      <c r="AG286" s="80"/>
      <c r="AH286" s="80"/>
      <c r="AI286" s="80"/>
      <c r="AJ286" s="87">
        <v>41249.877430555556</v>
      </c>
      <c r="AK286" s="85" t="str">
        <f>HYPERLINK("https://yt3.ggpht.com/ytc/AAUvwngCakEDAB3kdfzPDdL0QlMaITJzMTxBrAiULvwimg=s88-c-k-c0x00ffffff-no-rj")</f>
        <v>https://yt3.ggpht.com/ytc/AAUvwngCakEDAB3kdfzPDdL0QlMaITJzMTxBrAiULvwimg=s88-c-k-c0x00ffffff-no-rj</v>
      </c>
      <c r="AL286" s="80">
        <v>0</v>
      </c>
      <c r="AM286" s="80">
        <v>0</v>
      </c>
      <c r="AN286" s="80">
        <v>6</v>
      </c>
      <c r="AO286" s="80" t="b">
        <v>0</v>
      </c>
      <c r="AP286" s="80">
        <v>0</v>
      </c>
      <c r="AQ286" s="80"/>
      <c r="AR286" s="80"/>
      <c r="AS286" s="80" t="s">
        <v>2664</v>
      </c>
      <c r="AT286" s="85" t="str">
        <f>HYPERLINK("https://www.youtube.com/channel/UCQC4_qoaL5N9-AzVgjC_5-A")</f>
        <v>https://www.youtube.com/channel/UCQC4_qoaL5N9-AzVgjC_5-A</v>
      </c>
      <c r="AU286" s="80" t="str">
        <f>REPLACE(INDEX(GroupVertices[Group],MATCH(Vertices[[#This Row],[Vertex]],GroupVertices[Vertex],0)),1,1,"")</f>
        <v>10</v>
      </c>
      <c r="AV286" s="49">
        <v>0</v>
      </c>
      <c r="AW286" s="50">
        <v>0</v>
      </c>
      <c r="AX286" s="49">
        <v>1</v>
      </c>
      <c r="AY286" s="50">
        <v>10</v>
      </c>
      <c r="AZ286" s="49">
        <v>0</v>
      </c>
      <c r="BA286" s="50">
        <v>0</v>
      </c>
      <c r="BB286" s="49">
        <v>9</v>
      </c>
      <c r="BC286" s="50">
        <v>90</v>
      </c>
      <c r="BD286" s="49">
        <v>10</v>
      </c>
      <c r="BE286" s="49"/>
      <c r="BF286" s="49"/>
      <c r="BG286" s="49"/>
      <c r="BH286" s="49"/>
      <c r="BI286" s="49"/>
      <c r="BJ286" s="49"/>
      <c r="BK286" s="111" t="s">
        <v>3881</v>
      </c>
      <c r="BL286" s="111" t="s">
        <v>3881</v>
      </c>
      <c r="BM286" s="111" t="s">
        <v>4346</v>
      </c>
      <c r="BN286" s="111" t="s">
        <v>4346</v>
      </c>
      <c r="BO286" s="2"/>
      <c r="BP286" s="3"/>
      <c r="BQ286" s="3"/>
      <c r="BR286" s="3"/>
      <c r="BS286" s="3"/>
    </row>
    <row r="287" spans="1:71" ht="15">
      <c r="A287" s="65" t="s">
        <v>488</v>
      </c>
      <c r="B287" s="66"/>
      <c r="C287" s="66"/>
      <c r="D287" s="67">
        <v>150</v>
      </c>
      <c r="E287" s="69"/>
      <c r="F287" s="103" t="str">
        <f>HYPERLINK("https://yt3.ggpht.com/ytc/AAUvwnjlfkjsoj6hfKHjGFJO3SH47n0lzkSRcA6siA=s88-c-k-c0x00ffffff-no-rj")</f>
        <v>https://yt3.ggpht.com/ytc/AAUvwnjlfkjsoj6hfKHjGFJO3SH47n0lzkSRcA6siA=s88-c-k-c0x00ffffff-no-rj</v>
      </c>
      <c r="G287" s="66"/>
      <c r="H287" s="70" t="s">
        <v>1847</v>
      </c>
      <c r="I287" s="71"/>
      <c r="J287" s="71" t="s">
        <v>159</v>
      </c>
      <c r="K287" s="70" t="s">
        <v>1847</v>
      </c>
      <c r="L287" s="74">
        <v>1</v>
      </c>
      <c r="M287" s="75">
        <v>6555.3193359375</v>
      </c>
      <c r="N287" s="75">
        <v>737.820068359375</v>
      </c>
      <c r="O287" s="76"/>
      <c r="P287" s="77"/>
      <c r="Q287" s="77"/>
      <c r="R287" s="89"/>
      <c r="S287" s="49">
        <v>0</v>
      </c>
      <c r="T287" s="49">
        <v>1</v>
      </c>
      <c r="U287" s="50">
        <v>0</v>
      </c>
      <c r="V287" s="50">
        <v>0.023256</v>
      </c>
      <c r="W287" s="50">
        <v>0</v>
      </c>
      <c r="X287" s="50">
        <v>0.525922</v>
      </c>
      <c r="Y287" s="50">
        <v>0</v>
      </c>
      <c r="Z287" s="50">
        <v>0</v>
      </c>
      <c r="AA287" s="72">
        <v>287</v>
      </c>
      <c r="AB287" s="72"/>
      <c r="AC287" s="73"/>
      <c r="AD287" s="80" t="s">
        <v>1847</v>
      </c>
      <c r="AE287" s="80"/>
      <c r="AF287" s="80"/>
      <c r="AG287" s="80"/>
      <c r="AH287" s="80"/>
      <c r="AI287" s="80"/>
      <c r="AJ287" s="87">
        <v>41893.26321759259</v>
      </c>
      <c r="AK287" s="85" t="str">
        <f>HYPERLINK("https://yt3.ggpht.com/ytc/AAUvwnjlfkjsoj6hfKHjGFJO3SH47n0lzkSRcA6siA=s88-c-k-c0x00ffffff-no-rj")</f>
        <v>https://yt3.ggpht.com/ytc/AAUvwnjlfkjsoj6hfKHjGFJO3SH47n0lzkSRcA6siA=s88-c-k-c0x00ffffff-no-rj</v>
      </c>
      <c r="AL287" s="80">
        <v>0</v>
      </c>
      <c r="AM287" s="80">
        <v>0</v>
      </c>
      <c r="AN287" s="80">
        <v>0</v>
      </c>
      <c r="AO287" s="80" t="b">
        <v>0</v>
      </c>
      <c r="AP287" s="80">
        <v>0</v>
      </c>
      <c r="AQ287" s="80"/>
      <c r="AR287" s="80"/>
      <c r="AS287" s="80" t="s">
        <v>2664</v>
      </c>
      <c r="AT287" s="85" t="str">
        <f>HYPERLINK("https://www.youtube.com/channel/UCSzS5KSQvkpkPNiF8hmr0zw")</f>
        <v>https://www.youtube.com/channel/UCSzS5KSQvkpkPNiF8hmr0zw</v>
      </c>
      <c r="AU287" s="80" t="str">
        <f>REPLACE(INDEX(GroupVertices[Group],MATCH(Vertices[[#This Row],[Vertex]],GroupVertices[Vertex],0)),1,1,"")</f>
        <v>10</v>
      </c>
      <c r="AV287" s="49">
        <v>3</v>
      </c>
      <c r="AW287" s="50">
        <v>4.411764705882353</v>
      </c>
      <c r="AX287" s="49">
        <v>2</v>
      </c>
      <c r="AY287" s="50">
        <v>2.9411764705882355</v>
      </c>
      <c r="AZ287" s="49">
        <v>0</v>
      </c>
      <c r="BA287" s="50">
        <v>0</v>
      </c>
      <c r="BB287" s="49">
        <v>63</v>
      </c>
      <c r="BC287" s="50">
        <v>92.6470588235294</v>
      </c>
      <c r="BD287" s="49">
        <v>68</v>
      </c>
      <c r="BE287" s="49"/>
      <c r="BF287" s="49"/>
      <c r="BG287" s="49"/>
      <c r="BH287" s="49"/>
      <c r="BI287" s="49"/>
      <c r="BJ287" s="49"/>
      <c r="BK287" s="111" t="s">
        <v>3882</v>
      </c>
      <c r="BL287" s="111" t="s">
        <v>3882</v>
      </c>
      <c r="BM287" s="111" t="s">
        <v>4347</v>
      </c>
      <c r="BN287" s="111" t="s">
        <v>4347</v>
      </c>
      <c r="BO287" s="2"/>
      <c r="BP287" s="3"/>
      <c r="BQ287" s="3"/>
      <c r="BR287" s="3"/>
      <c r="BS287" s="3"/>
    </row>
    <row r="288" spans="1:71" ht="15">
      <c r="A288" s="65" t="s">
        <v>489</v>
      </c>
      <c r="B288" s="66"/>
      <c r="C288" s="66"/>
      <c r="D288" s="67">
        <v>150</v>
      </c>
      <c r="E288" s="69"/>
      <c r="F288" s="103" t="str">
        <f>HYPERLINK("https://yt3.ggpht.com/ytc/AAUvwnhehXxF_gmjh4J6Busgu9l9oNgOUEtsGRfDT6Qf=s88-c-k-c0x00ffffff-no-rj")</f>
        <v>https://yt3.ggpht.com/ytc/AAUvwnhehXxF_gmjh4J6Busgu9l9oNgOUEtsGRfDT6Qf=s88-c-k-c0x00ffffff-no-rj</v>
      </c>
      <c r="G288" s="66"/>
      <c r="H288" s="70" t="s">
        <v>1848</v>
      </c>
      <c r="I288" s="71"/>
      <c r="J288" s="71" t="s">
        <v>159</v>
      </c>
      <c r="K288" s="70" t="s">
        <v>1848</v>
      </c>
      <c r="L288" s="74">
        <v>1</v>
      </c>
      <c r="M288" s="75">
        <v>5407.12109375</v>
      </c>
      <c r="N288" s="75">
        <v>999.4821166992188</v>
      </c>
      <c r="O288" s="76"/>
      <c r="P288" s="77"/>
      <c r="Q288" s="77"/>
      <c r="R288" s="89"/>
      <c r="S288" s="49">
        <v>0</v>
      </c>
      <c r="T288" s="49">
        <v>1</v>
      </c>
      <c r="U288" s="50">
        <v>0</v>
      </c>
      <c r="V288" s="50">
        <v>0.023256</v>
      </c>
      <c r="W288" s="50">
        <v>0</v>
      </c>
      <c r="X288" s="50">
        <v>0.525922</v>
      </c>
      <c r="Y288" s="50">
        <v>0</v>
      </c>
      <c r="Z288" s="50">
        <v>0</v>
      </c>
      <c r="AA288" s="72">
        <v>288</v>
      </c>
      <c r="AB288" s="72"/>
      <c r="AC288" s="73"/>
      <c r="AD288" s="80" t="s">
        <v>1848</v>
      </c>
      <c r="AE288" s="80"/>
      <c r="AF288" s="80"/>
      <c r="AG288" s="80"/>
      <c r="AH288" s="80"/>
      <c r="AI288" s="80"/>
      <c r="AJ288" s="87">
        <v>41762.57409722222</v>
      </c>
      <c r="AK288" s="85" t="str">
        <f>HYPERLINK("https://yt3.ggpht.com/ytc/AAUvwnhehXxF_gmjh4J6Busgu9l9oNgOUEtsGRfDT6Qf=s88-c-k-c0x00ffffff-no-rj")</f>
        <v>https://yt3.ggpht.com/ytc/AAUvwnhehXxF_gmjh4J6Busgu9l9oNgOUEtsGRfDT6Qf=s88-c-k-c0x00ffffff-no-rj</v>
      </c>
      <c r="AL288" s="80">
        <v>0</v>
      </c>
      <c r="AM288" s="80">
        <v>0</v>
      </c>
      <c r="AN288" s="80">
        <v>2</v>
      </c>
      <c r="AO288" s="80" t="b">
        <v>0</v>
      </c>
      <c r="AP288" s="80">
        <v>0</v>
      </c>
      <c r="AQ288" s="80"/>
      <c r="AR288" s="80"/>
      <c r="AS288" s="80" t="s">
        <v>2664</v>
      </c>
      <c r="AT288" s="85" t="str">
        <f>HYPERLINK("https://www.youtube.com/channel/UCzur-Z2eeJUb_J3ELxWqO4w")</f>
        <v>https://www.youtube.com/channel/UCzur-Z2eeJUb_J3ELxWqO4w</v>
      </c>
      <c r="AU288" s="80" t="str">
        <f>REPLACE(INDEX(GroupVertices[Group],MATCH(Vertices[[#This Row],[Vertex]],GroupVertices[Vertex],0)),1,1,"")</f>
        <v>10</v>
      </c>
      <c r="AV288" s="49">
        <v>3</v>
      </c>
      <c r="AW288" s="50">
        <v>8.571428571428571</v>
      </c>
      <c r="AX288" s="49">
        <v>1</v>
      </c>
      <c r="AY288" s="50">
        <v>2.857142857142857</v>
      </c>
      <c r="AZ288" s="49">
        <v>0</v>
      </c>
      <c r="BA288" s="50">
        <v>0</v>
      </c>
      <c r="BB288" s="49">
        <v>31</v>
      </c>
      <c r="BC288" s="50">
        <v>88.57142857142857</v>
      </c>
      <c r="BD288" s="49">
        <v>35</v>
      </c>
      <c r="BE288" s="49"/>
      <c r="BF288" s="49"/>
      <c r="BG288" s="49"/>
      <c r="BH288" s="49"/>
      <c r="BI288" s="49"/>
      <c r="BJ288" s="49"/>
      <c r="BK288" s="111" t="s">
        <v>3883</v>
      </c>
      <c r="BL288" s="111" t="s">
        <v>3883</v>
      </c>
      <c r="BM288" s="111" t="s">
        <v>4348</v>
      </c>
      <c r="BN288" s="111" t="s">
        <v>4348</v>
      </c>
      <c r="BO288" s="2"/>
      <c r="BP288" s="3"/>
      <c r="BQ288" s="3"/>
      <c r="BR288" s="3"/>
      <c r="BS288" s="3"/>
    </row>
    <row r="289" spans="1:71" ht="15">
      <c r="A289" s="65" t="s">
        <v>490</v>
      </c>
      <c r="B289" s="66"/>
      <c r="C289" s="66"/>
      <c r="D289" s="67">
        <v>150</v>
      </c>
      <c r="E289" s="69"/>
      <c r="F289" s="103" t="str">
        <f>HYPERLINK("https://yt3.ggpht.com/ytc/AAUvwnj-2ig-Os9A_OpS18Xnsjz0ro3Uhp_MMxuSWw=s88-c-k-c0x00ffffff-no-rj")</f>
        <v>https://yt3.ggpht.com/ytc/AAUvwnj-2ig-Os9A_OpS18Xnsjz0ro3Uhp_MMxuSWw=s88-c-k-c0x00ffffff-no-rj</v>
      </c>
      <c r="G289" s="66"/>
      <c r="H289" s="70" t="s">
        <v>1849</v>
      </c>
      <c r="I289" s="71"/>
      <c r="J289" s="71" t="s">
        <v>159</v>
      </c>
      <c r="K289" s="70" t="s">
        <v>1849</v>
      </c>
      <c r="L289" s="74">
        <v>1</v>
      </c>
      <c r="M289" s="75">
        <v>6278.279296875</v>
      </c>
      <c r="N289" s="75">
        <v>1965.121337890625</v>
      </c>
      <c r="O289" s="76"/>
      <c r="P289" s="77"/>
      <c r="Q289" s="77"/>
      <c r="R289" s="89"/>
      <c r="S289" s="49">
        <v>0</v>
      </c>
      <c r="T289" s="49">
        <v>1</v>
      </c>
      <c r="U289" s="50">
        <v>0</v>
      </c>
      <c r="V289" s="50">
        <v>0.016949</v>
      </c>
      <c r="W289" s="50">
        <v>0</v>
      </c>
      <c r="X289" s="50">
        <v>0.539316</v>
      </c>
      <c r="Y289" s="50">
        <v>0</v>
      </c>
      <c r="Z289" s="50">
        <v>0</v>
      </c>
      <c r="AA289" s="72">
        <v>289</v>
      </c>
      <c r="AB289" s="72"/>
      <c r="AC289" s="73"/>
      <c r="AD289" s="80" t="s">
        <v>1849</v>
      </c>
      <c r="AE289" s="80"/>
      <c r="AF289" s="80"/>
      <c r="AG289" s="80"/>
      <c r="AH289" s="80"/>
      <c r="AI289" s="80"/>
      <c r="AJ289" s="87">
        <v>39380.30003472222</v>
      </c>
      <c r="AK289" s="85" t="str">
        <f>HYPERLINK("https://yt3.ggpht.com/ytc/AAUvwnj-2ig-Os9A_OpS18Xnsjz0ro3Uhp_MMxuSWw=s88-c-k-c0x00ffffff-no-rj")</f>
        <v>https://yt3.ggpht.com/ytc/AAUvwnj-2ig-Os9A_OpS18Xnsjz0ro3Uhp_MMxuSWw=s88-c-k-c0x00ffffff-no-rj</v>
      </c>
      <c r="AL289" s="80">
        <v>0</v>
      </c>
      <c r="AM289" s="80">
        <v>0</v>
      </c>
      <c r="AN289" s="80">
        <v>1</v>
      </c>
      <c r="AO289" s="80" t="b">
        <v>0</v>
      </c>
      <c r="AP289" s="80">
        <v>0</v>
      </c>
      <c r="AQ289" s="80"/>
      <c r="AR289" s="80"/>
      <c r="AS289" s="80" t="s">
        <v>2664</v>
      </c>
      <c r="AT289" s="85" t="str">
        <f>HYPERLINK("https://www.youtube.com/channel/UCqpfqBGy1f6H9b4WVeFAa9w")</f>
        <v>https://www.youtube.com/channel/UCqpfqBGy1f6H9b4WVeFAa9w</v>
      </c>
      <c r="AU289" s="80" t="str">
        <f>REPLACE(INDEX(GroupVertices[Group],MATCH(Vertices[[#This Row],[Vertex]],GroupVertices[Vertex],0)),1,1,"")</f>
        <v>10</v>
      </c>
      <c r="AV289" s="49">
        <v>2</v>
      </c>
      <c r="AW289" s="50">
        <v>5.714285714285714</v>
      </c>
      <c r="AX289" s="49">
        <v>0</v>
      </c>
      <c r="AY289" s="50">
        <v>0</v>
      </c>
      <c r="AZ289" s="49">
        <v>0</v>
      </c>
      <c r="BA289" s="50">
        <v>0</v>
      </c>
      <c r="BB289" s="49">
        <v>33</v>
      </c>
      <c r="BC289" s="50">
        <v>94.28571428571429</v>
      </c>
      <c r="BD289" s="49">
        <v>35</v>
      </c>
      <c r="BE289" s="49"/>
      <c r="BF289" s="49"/>
      <c r="BG289" s="49"/>
      <c r="BH289" s="49"/>
      <c r="BI289" s="49"/>
      <c r="BJ289" s="49"/>
      <c r="BK289" s="111" t="s">
        <v>3884</v>
      </c>
      <c r="BL289" s="111" t="s">
        <v>3884</v>
      </c>
      <c r="BM289" s="111" t="s">
        <v>4349</v>
      </c>
      <c r="BN289" s="111" t="s">
        <v>4349</v>
      </c>
      <c r="BO289" s="2"/>
      <c r="BP289" s="3"/>
      <c r="BQ289" s="3"/>
      <c r="BR289" s="3"/>
      <c r="BS289" s="3"/>
    </row>
    <row r="290" spans="1:71" ht="15">
      <c r="A290" s="65" t="s">
        <v>492</v>
      </c>
      <c r="B290" s="66"/>
      <c r="C290" s="66"/>
      <c r="D290" s="67">
        <v>575</v>
      </c>
      <c r="E290" s="69"/>
      <c r="F290" s="103" t="str">
        <f>HYPERLINK("https://yt3.ggpht.com/ytc/AAUvwnhD9ccv_p-EWnMzTAgkVxsyL_5AJps9Q8sqo_bX=s88-c-k-c0x00ffffff-no-rj")</f>
        <v>https://yt3.ggpht.com/ytc/AAUvwnhD9ccv_p-EWnMzTAgkVxsyL_5AJps9Q8sqo_bX=s88-c-k-c0x00ffffff-no-rj</v>
      </c>
      <c r="G290" s="66"/>
      <c r="H290" s="70" t="s">
        <v>1851</v>
      </c>
      <c r="I290" s="71"/>
      <c r="J290" s="71" t="s">
        <v>75</v>
      </c>
      <c r="K290" s="70" t="s">
        <v>1851</v>
      </c>
      <c r="L290" s="74">
        <v>286.65714285714284</v>
      </c>
      <c r="M290" s="75">
        <v>6417.99560546875</v>
      </c>
      <c r="N290" s="75">
        <v>1406.6844482421875</v>
      </c>
      <c r="O290" s="76"/>
      <c r="P290" s="77"/>
      <c r="Q290" s="77"/>
      <c r="R290" s="89"/>
      <c r="S290" s="49">
        <v>3</v>
      </c>
      <c r="T290" s="49">
        <v>2</v>
      </c>
      <c r="U290" s="50">
        <v>78</v>
      </c>
      <c r="V290" s="50">
        <v>0.025641</v>
      </c>
      <c r="W290" s="50">
        <v>0</v>
      </c>
      <c r="X290" s="50">
        <v>1.832075</v>
      </c>
      <c r="Y290" s="50">
        <v>0</v>
      </c>
      <c r="Z290" s="50">
        <v>0</v>
      </c>
      <c r="AA290" s="72">
        <v>290</v>
      </c>
      <c r="AB290" s="72"/>
      <c r="AC290" s="73"/>
      <c r="AD290" s="80" t="s">
        <v>1851</v>
      </c>
      <c r="AE290" s="80" t="s">
        <v>2516</v>
      </c>
      <c r="AF290" s="80"/>
      <c r="AG290" s="80"/>
      <c r="AH290" s="80"/>
      <c r="AI290" s="80"/>
      <c r="AJ290" s="87">
        <v>42494.17296296296</v>
      </c>
      <c r="AK290" s="85" t="str">
        <f>HYPERLINK("https://yt3.ggpht.com/ytc/AAUvwnhD9ccv_p-EWnMzTAgkVxsyL_5AJps9Q8sqo_bX=s88-c-k-c0x00ffffff-no-rj")</f>
        <v>https://yt3.ggpht.com/ytc/AAUvwnhD9ccv_p-EWnMzTAgkVxsyL_5AJps9Q8sqo_bX=s88-c-k-c0x00ffffff-no-rj</v>
      </c>
      <c r="AL290" s="80">
        <v>0</v>
      </c>
      <c r="AM290" s="80">
        <v>0</v>
      </c>
      <c r="AN290" s="80">
        <v>0</v>
      </c>
      <c r="AO290" s="80" t="b">
        <v>0</v>
      </c>
      <c r="AP290" s="80">
        <v>0</v>
      </c>
      <c r="AQ290" s="80"/>
      <c r="AR290" s="80"/>
      <c r="AS290" s="80" t="s">
        <v>2664</v>
      </c>
      <c r="AT290" s="85" t="str">
        <f>HYPERLINK("https://www.youtube.com/channel/UCKXwB75VUB7r9f9UfdNF7QQ")</f>
        <v>https://www.youtube.com/channel/UCKXwB75VUB7r9f9UfdNF7QQ</v>
      </c>
      <c r="AU290" s="80" t="str">
        <f>REPLACE(INDEX(GroupVertices[Group],MATCH(Vertices[[#This Row],[Vertex]],GroupVertices[Vertex],0)),1,1,"")</f>
        <v>10</v>
      </c>
      <c r="AV290" s="49">
        <v>4</v>
      </c>
      <c r="AW290" s="50">
        <v>3.4782608695652173</v>
      </c>
      <c r="AX290" s="49">
        <v>3</v>
      </c>
      <c r="AY290" s="50">
        <v>2.608695652173913</v>
      </c>
      <c r="AZ290" s="49">
        <v>0</v>
      </c>
      <c r="BA290" s="50">
        <v>0</v>
      </c>
      <c r="BB290" s="49">
        <v>108</v>
      </c>
      <c r="BC290" s="50">
        <v>93.91304347826087</v>
      </c>
      <c r="BD290" s="49">
        <v>115</v>
      </c>
      <c r="BE290" s="49"/>
      <c r="BF290" s="49"/>
      <c r="BG290" s="49"/>
      <c r="BH290" s="49"/>
      <c r="BI290" s="49"/>
      <c r="BJ290" s="49"/>
      <c r="BK290" s="111" t="s">
        <v>3885</v>
      </c>
      <c r="BL290" s="111" t="s">
        <v>3885</v>
      </c>
      <c r="BM290" s="111" t="s">
        <v>4350</v>
      </c>
      <c r="BN290" s="111" t="s">
        <v>4350</v>
      </c>
      <c r="BO290" s="2"/>
      <c r="BP290" s="3"/>
      <c r="BQ290" s="3"/>
      <c r="BR290" s="3"/>
      <c r="BS290" s="3"/>
    </row>
    <row r="291" spans="1:71" ht="15">
      <c r="A291" s="65" t="s">
        <v>491</v>
      </c>
      <c r="B291" s="66"/>
      <c r="C291" s="66"/>
      <c r="D291" s="67">
        <v>150</v>
      </c>
      <c r="E291" s="69"/>
      <c r="F291" s="103" t="str">
        <f>HYPERLINK("https://yt3.ggpht.com/ytc/AAUvwngs3-aSAFERK-QCCHEsSdGMKXHDPeqnQy8gTQQ=s88-c-k-c0x00ffffff-no-rj")</f>
        <v>https://yt3.ggpht.com/ytc/AAUvwngs3-aSAFERK-QCCHEsSdGMKXHDPeqnQy8gTQQ=s88-c-k-c0x00ffffff-no-rj</v>
      </c>
      <c r="G291" s="66"/>
      <c r="H291" s="70" t="s">
        <v>1850</v>
      </c>
      <c r="I291" s="71"/>
      <c r="J291" s="71" t="s">
        <v>159</v>
      </c>
      <c r="K291" s="70" t="s">
        <v>1850</v>
      </c>
      <c r="L291" s="74">
        <v>1</v>
      </c>
      <c r="M291" s="75">
        <v>6973.82470703125</v>
      </c>
      <c r="N291" s="75">
        <v>1732.4720458984375</v>
      </c>
      <c r="O291" s="76"/>
      <c r="P291" s="77"/>
      <c r="Q291" s="77"/>
      <c r="R291" s="89"/>
      <c r="S291" s="49">
        <v>0</v>
      </c>
      <c r="T291" s="49">
        <v>1</v>
      </c>
      <c r="U291" s="50">
        <v>0</v>
      </c>
      <c r="V291" s="50">
        <v>0.016949</v>
      </c>
      <c r="W291" s="50">
        <v>0</v>
      </c>
      <c r="X291" s="50">
        <v>0.539316</v>
      </c>
      <c r="Y291" s="50">
        <v>0</v>
      </c>
      <c r="Z291" s="50">
        <v>0</v>
      </c>
      <c r="AA291" s="72">
        <v>291</v>
      </c>
      <c r="AB291" s="72"/>
      <c r="AC291" s="73"/>
      <c r="AD291" s="80" t="s">
        <v>1850</v>
      </c>
      <c r="AE291" s="80"/>
      <c r="AF291" s="80"/>
      <c r="AG291" s="80"/>
      <c r="AH291" s="80"/>
      <c r="AI291" s="80"/>
      <c r="AJ291" s="87">
        <v>42494.14984953704</v>
      </c>
      <c r="AK291" s="85" t="str">
        <f>HYPERLINK("https://yt3.ggpht.com/ytc/AAUvwngs3-aSAFERK-QCCHEsSdGMKXHDPeqnQy8gTQQ=s88-c-k-c0x00ffffff-no-rj")</f>
        <v>https://yt3.ggpht.com/ytc/AAUvwngs3-aSAFERK-QCCHEsSdGMKXHDPeqnQy8gTQQ=s88-c-k-c0x00ffffff-no-rj</v>
      </c>
      <c r="AL291" s="80">
        <v>0</v>
      </c>
      <c r="AM291" s="80">
        <v>0</v>
      </c>
      <c r="AN291" s="80">
        <v>1</v>
      </c>
      <c r="AO291" s="80" t="b">
        <v>0</v>
      </c>
      <c r="AP291" s="80">
        <v>0</v>
      </c>
      <c r="AQ291" s="80"/>
      <c r="AR291" s="80"/>
      <c r="AS291" s="80" t="s">
        <v>2664</v>
      </c>
      <c r="AT291" s="85" t="str">
        <f>HYPERLINK("https://www.youtube.com/channel/UConxZesAFmzNl8tlMQfL4EQ")</f>
        <v>https://www.youtube.com/channel/UConxZesAFmzNl8tlMQfL4EQ</v>
      </c>
      <c r="AU291" s="80" t="str">
        <f>REPLACE(INDEX(GroupVertices[Group],MATCH(Vertices[[#This Row],[Vertex]],GroupVertices[Vertex],0)),1,1,"")</f>
        <v>10</v>
      </c>
      <c r="AV291" s="49">
        <v>1</v>
      </c>
      <c r="AW291" s="50">
        <v>4.761904761904762</v>
      </c>
      <c r="AX291" s="49">
        <v>1</v>
      </c>
      <c r="AY291" s="50">
        <v>4.761904761904762</v>
      </c>
      <c r="AZ291" s="49">
        <v>0</v>
      </c>
      <c r="BA291" s="50">
        <v>0</v>
      </c>
      <c r="BB291" s="49">
        <v>19</v>
      </c>
      <c r="BC291" s="50">
        <v>90.47619047619048</v>
      </c>
      <c r="BD291" s="49">
        <v>21</v>
      </c>
      <c r="BE291" s="49"/>
      <c r="BF291" s="49"/>
      <c r="BG291" s="49"/>
      <c r="BH291" s="49"/>
      <c r="BI291" s="49"/>
      <c r="BJ291" s="49"/>
      <c r="BK291" s="111" t="s">
        <v>3886</v>
      </c>
      <c r="BL291" s="111" t="s">
        <v>3886</v>
      </c>
      <c r="BM291" s="111" t="s">
        <v>4351</v>
      </c>
      <c r="BN291" s="111" t="s">
        <v>4351</v>
      </c>
      <c r="BO291" s="2"/>
      <c r="BP291" s="3"/>
      <c r="BQ291" s="3"/>
      <c r="BR291" s="3"/>
      <c r="BS291" s="3"/>
    </row>
    <row r="292" spans="1:71" ht="15">
      <c r="A292" s="65" t="s">
        <v>493</v>
      </c>
      <c r="B292" s="66"/>
      <c r="C292" s="66"/>
      <c r="D292" s="67">
        <v>150</v>
      </c>
      <c r="E292" s="69"/>
      <c r="F292" s="103" t="str">
        <f>HYPERLINK("https://yt3.ggpht.com/ytc/AAUvwnjE0QEXQXHsJLFz3V7xHSyIOxH1b6H_VurY32-Q=s88-c-k-c0x00ffffff-no-rj")</f>
        <v>https://yt3.ggpht.com/ytc/AAUvwnjE0QEXQXHsJLFz3V7xHSyIOxH1b6H_VurY32-Q=s88-c-k-c0x00ffffff-no-rj</v>
      </c>
      <c r="G292" s="66"/>
      <c r="H292" s="70" t="s">
        <v>1852</v>
      </c>
      <c r="I292" s="71"/>
      <c r="J292" s="71" t="s">
        <v>159</v>
      </c>
      <c r="K292" s="70" t="s">
        <v>1852</v>
      </c>
      <c r="L292" s="74">
        <v>1</v>
      </c>
      <c r="M292" s="75">
        <v>5586.43408203125</v>
      </c>
      <c r="N292" s="75">
        <v>1240.941162109375</v>
      </c>
      <c r="O292" s="76"/>
      <c r="P292" s="77"/>
      <c r="Q292" s="77"/>
      <c r="R292" s="89"/>
      <c r="S292" s="49">
        <v>0</v>
      </c>
      <c r="T292" s="49">
        <v>1</v>
      </c>
      <c r="U292" s="50">
        <v>0</v>
      </c>
      <c r="V292" s="50">
        <v>0.023256</v>
      </c>
      <c r="W292" s="50">
        <v>0</v>
      </c>
      <c r="X292" s="50">
        <v>0.525922</v>
      </c>
      <c r="Y292" s="50">
        <v>0</v>
      </c>
      <c r="Z292" s="50">
        <v>0</v>
      </c>
      <c r="AA292" s="72">
        <v>292</v>
      </c>
      <c r="AB292" s="72"/>
      <c r="AC292" s="73"/>
      <c r="AD292" s="80" t="s">
        <v>1852</v>
      </c>
      <c r="AE292" s="80"/>
      <c r="AF292" s="80"/>
      <c r="AG292" s="80"/>
      <c r="AH292" s="80"/>
      <c r="AI292" s="80"/>
      <c r="AJ292" s="87">
        <v>41042.96359953703</v>
      </c>
      <c r="AK292" s="85" t="str">
        <f>HYPERLINK("https://yt3.ggpht.com/ytc/AAUvwnjE0QEXQXHsJLFz3V7xHSyIOxH1b6H_VurY32-Q=s88-c-k-c0x00ffffff-no-rj")</f>
        <v>https://yt3.ggpht.com/ytc/AAUvwnjE0QEXQXHsJLFz3V7xHSyIOxH1b6H_VurY32-Q=s88-c-k-c0x00ffffff-no-rj</v>
      </c>
      <c r="AL292" s="80">
        <v>0</v>
      </c>
      <c r="AM292" s="80">
        <v>0</v>
      </c>
      <c r="AN292" s="80">
        <v>0</v>
      </c>
      <c r="AO292" s="80" t="b">
        <v>0</v>
      </c>
      <c r="AP292" s="80">
        <v>0</v>
      </c>
      <c r="AQ292" s="80"/>
      <c r="AR292" s="80"/>
      <c r="AS292" s="80" t="s">
        <v>2664</v>
      </c>
      <c r="AT292" s="85" t="str">
        <f>HYPERLINK("https://www.youtube.com/channel/UC-ZdhLrOmcewlverLd0xGkw")</f>
        <v>https://www.youtube.com/channel/UC-ZdhLrOmcewlverLd0xGkw</v>
      </c>
      <c r="AU292" s="80" t="str">
        <f>REPLACE(INDEX(GroupVertices[Group],MATCH(Vertices[[#This Row],[Vertex]],GroupVertices[Vertex],0)),1,1,"")</f>
        <v>10</v>
      </c>
      <c r="AV292" s="49">
        <v>1</v>
      </c>
      <c r="AW292" s="50">
        <v>3.8461538461538463</v>
      </c>
      <c r="AX292" s="49">
        <v>2</v>
      </c>
      <c r="AY292" s="50">
        <v>7.6923076923076925</v>
      </c>
      <c r="AZ292" s="49">
        <v>0</v>
      </c>
      <c r="BA292" s="50">
        <v>0</v>
      </c>
      <c r="BB292" s="49">
        <v>23</v>
      </c>
      <c r="BC292" s="50">
        <v>88.46153846153847</v>
      </c>
      <c r="BD292" s="49">
        <v>26</v>
      </c>
      <c r="BE292" s="49"/>
      <c r="BF292" s="49"/>
      <c r="BG292" s="49"/>
      <c r="BH292" s="49"/>
      <c r="BI292" s="49"/>
      <c r="BJ292" s="49"/>
      <c r="BK292" s="111" t="s">
        <v>3887</v>
      </c>
      <c r="BL292" s="111" t="s">
        <v>3887</v>
      </c>
      <c r="BM292" s="111" t="s">
        <v>4352</v>
      </c>
      <c r="BN292" s="111" t="s">
        <v>4352</v>
      </c>
      <c r="BO292" s="2"/>
      <c r="BP292" s="3"/>
      <c r="BQ292" s="3"/>
      <c r="BR292" s="3"/>
      <c r="BS292" s="3"/>
    </row>
    <row r="293" spans="1:71" ht="15">
      <c r="A293" s="65" t="s">
        <v>494</v>
      </c>
      <c r="B293" s="66"/>
      <c r="C293" s="66"/>
      <c r="D293" s="67">
        <v>150</v>
      </c>
      <c r="E293" s="69"/>
      <c r="F293" s="103" t="str">
        <f>HYPERLINK("https://yt3.ggpht.com/ytc/AAUvwniHkF9aU6l-F9KfsovmY_DQy_hpjjoXB8fAzwPsWA=s88-c-k-c0x00ffffff-no-rj")</f>
        <v>https://yt3.ggpht.com/ytc/AAUvwniHkF9aU6l-F9KfsovmY_DQy_hpjjoXB8fAzwPsWA=s88-c-k-c0x00ffffff-no-rj</v>
      </c>
      <c r="G293" s="66"/>
      <c r="H293" s="70" t="s">
        <v>1853</v>
      </c>
      <c r="I293" s="71"/>
      <c r="J293" s="71" t="s">
        <v>159</v>
      </c>
      <c r="K293" s="70" t="s">
        <v>1853</v>
      </c>
      <c r="L293" s="74">
        <v>1</v>
      </c>
      <c r="M293" s="75">
        <v>6210.41259765625</v>
      </c>
      <c r="N293" s="75">
        <v>1133.5582275390625</v>
      </c>
      <c r="O293" s="76"/>
      <c r="P293" s="77"/>
      <c r="Q293" s="77"/>
      <c r="R293" s="89"/>
      <c r="S293" s="49">
        <v>0</v>
      </c>
      <c r="T293" s="49">
        <v>1</v>
      </c>
      <c r="U293" s="50">
        <v>0</v>
      </c>
      <c r="V293" s="50">
        <v>0.023256</v>
      </c>
      <c r="W293" s="50">
        <v>0</v>
      </c>
      <c r="X293" s="50">
        <v>0.525922</v>
      </c>
      <c r="Y293" s="50">
        <v>0</v>
      </c>
      <c r="Z293" s="50">
        <v>0</v>
      </c>
      <c r="AA293" s="72">
        <v>293</v>
      </c>
      <c r="AB293" s="72"/>
      <c r="AC293" s="73"/>
      <c r="AD293" s="80" t="s">
        <v>1853</v>
      </c>
      <c r="AE293" s="80"/>
      <c r="AF293" s="80"/>
      <c r="AG293" s="80"/>
      <c r="AH293" s="80"/>
      <c r="AI293" s="80"/>
      <c r="AJ293" s="87">
        <v>42171.62857638889</v>
      </c>
      <c r="AK293" s="85" t="str">
        <f>HYPERLINK("https://yt3.ggpht.com/ytc/AAUvwniHkF9aU6l-F9KfsovmY_DQy_hpjjoXB8fAzwPsWA=s88-c-k-c0x00ffffff-no-rj")</f>
        <v>https://yt3.ggpht.com/ytc/AAUvwniHkF9aU6l-F9KfsovmY_DQy_hpjjoXB8fAzwPsWA=s88-c-k-c0x00ffffff-no-rj</v>
      </c>
      <c r="AL293" s="80">
        <v>1229</v>
      </c>
      <c r="AM293" s="80">
        <v>0</v>
      </c>
      <c r="AN293" s="80">
        <v>2</v>
      </c>
      <c r="AO293" s="80" t="b">
        <v>0</v>
      </c>
      <c r="AP293" s="80">
        <v>2</v>
      </c>
      <c r="AQ293" s="80"/>
      <c r="AR293" s="80"/>
      <c r="AS293" s="80" t="s">
        <v>2664</v>
      </c>
      <c r="AT293" s="85" t="str">
        <f>HYPERLINK("https://www.youtube.com/channel/UCtEIxnWLQaJKNvsM3kgdv-A")</f>
        <v>https://www.youtube.com/channel/UCtEIxnWLQaJKNvsM3kgdv-A</v>
      </c>
      <c r="AU293" s="80" t="str">
        <f>REPLACE(INDEX(GroupVertices[Group],MATCH(Vertices[[#This Row],[Vertex]],GroupVertices[Vertex],0)),1,1,"")</f>
        <v>10</v>
      </c>
      <c r="AV293" s="49">
        <v>1</v>
      </c>
      <c r="AW293" s="50">
        <v>8.333333333333334</v>
      </c>
      <c r="AX293" s="49">
        <v>0</v>
      </c>
      <c r="AY293" s="50">
        <v>0</v>
      </c>
      <c r="AZ293" s="49">
        <v>0</v>
      </c>
      <c r="BA293" s="50">
        <v>0</v>
      </c>
      <c r="BB293" s="49">
        <v>11</v>
      </c>
      <c r="BC293" s="50">
        <v>91.66666666666667</v>
      </c>
      <c r="BD293" s="49">
        <v>12</v>
      </c>
      <c r="BE293" s="49"/>
      <c r="BF293" s="49"/>
      <c r="BG293" s="49"/>
      <c r="BH293" s="49"/>
      <c r="BI293" s="49"/>
      <c r="BJ293" s="49"/>
      <c r="BK293" s="111" t="s">
        <v>3888</v>
      </c>
      <c r="BL293" s="111" t="s">
        <v>3888</v>
      </c>
      <c r="BM293" s="111" t="s">
        <v>2390</v>
      </c>
      <c r="BN293" s="111" t="s">
        <v>2390</v>
      </c>
      <c r="BO293" s="2"/>
      <c r="BP293" s="3"/>
      <c r="BQ293" s="3"/>
      <c r="BR293" s="3"/>
      <c r="BS293" s="3"/>
    </row>
    <row r="294" spans="1:71" ht="15">
      <c r="A294" s="65" t="s">
        <v>495</v>
      </c>
      <c r="B294" s="66"/>
      <c r="C294" s="66"/>
      <c r="D294" s="67">
        <v>150</v>
      </c>
      <c r="E294" s="69"/>
      <c r="F294" s="103" t="str">
        <f>HYPERLINK("https://yt3.ggpht.com/ytc/AAUvwnipLjghMDbpP2rVt5GvHFi4zxUPtjmR1OVeyoCCvg=s88-c-k-c0x00ffffff-no-rj")</f>
        <v>https://yt3.ggpht.com/ytc/AAUvwnipLjghMDbpP2rVt5GvHFi4zxUPtjmR1OVeyoCCvg=s88-c-k-c0x00ffffff-no-rj</v>
      </c>
      <c r="G294" s="66"/>
      <c r="H294" s="70" t="s">
        <v>1854</v>
      </c>
      <c r="I294" s="71"/>
      <c r="J294" s="71" t="s">
        <v>159</v>
      </c>
      <c r="K294" s="70" t="s">
        <v>1854</v>
      </c>
      <c r="L294" s="74">
        <v>1</v>
      </c>
      <c r="M294" s="75">
        <v>5775.388671875</v>
      </c>
      <c r="N294" s="75">
        <v>1013.8407592773438</v>
      </c>
      <c r="O294" s="76"/>
      <c r="P294" s="77"/>
      <c r="Q294" s="77"/>
      <c r="R294" s="89"/>
      <c r="S294" s="49">
        <v>0</v>
      </c>
      <c r="T294" s="49">
        <v>1</v>
      </c>
      <c r="U294" s="50">
        <v>0</v>
      </c>
      <c r="V294" s="50">
        <v>0.023256</v>
      </c>
      <c r="W294" s="50">
        <v>0</v>
      </c>
      <c r="X294" s="50">
        <v>0.525922</v>
      </c>
      <c r="Y294" s="50">
        <v>0</v>
      </c>
      <c r="Z294" s="50">
        <v>0</v>
      </c>
      <c r="AA294" s="72">
        <v>294</v>
      </c>
      <c r="AB294" s="72"/>
      <c r="AC294" s="73"/>
      <c r="AD294" s="80" t="s">
        <v>1854</v>
      </c>
      <c r="AE294" s="80"/>
      <c r="AF294" s="80"/>
      <c r="AG294" s="80"/>
      <c r="AH294" s="80"/>
      <c r="AI294" s="80"/>
      <c r="AJ294" s="87">
        <v>41954.39331018519</v>
      </c>
      <c r="AK294" s="85" t="str">
        <f>HYPERLINK("https://yt3.ggpht.com/ytc/AAUvwnipLjghMDbpP2rVt5GvHFi4zxUPtjmR1OVeyoCCvg=s88-c-k-c0x00ffffff-no-rj")</f>
        <v>https://yt3.ggpht.com/ytc/AAUvwnipLjghMDbpP2rVt5GvHFi4zxUPtjmR1OVeyoCCvg=s88-c-k-c0x00ffffff-no-rj</v>
      </c>
      <c r="AL294" s="80">
        <v>297</v>
      </c>
      <c r="AM294" s="80">
        <v>0</v>
      </c>
      <c r="AN294" s="80">
        <v>4</v>
      </c>
      <c r="AO294" s="80" t="b">
        <v>0</v>
      </c>
      <c r="AP294" s="80">
        <v>3</v>
      </c>
      <c r="AQ294" s="80"/>
      <c r="AR294" s="80"/>
      <c r="AS294" s="80" t="s">
        <v>2664</v>
      </c>
      <c r="AT294" s="85" t="str">
        <f>HYPERLINK("https://www.youtube.com/channel/UCjcG2FUpnj3wTx3rmW3fT_w")</f>
        <v>https://www.youtube.com/channel/UCjcG2FUpnj3wTx3rmW3fT_w</v>
      </c>
      <c r="AU294" s="80" t="str">
        <f>REPLACE(INDEX(GroupVertices[Group],MATCH(Vertices[[#This Row],[Vertex]],GroupVertices[Vertex],0)),1,1,"")</f>
        <v>10</v>
      </c>
      <c r="AV294" s="49">
        <v>0</v>
      </c>
      <c r="AW294" s="50">
        <v>0</v>
      </c>
      <c r="AX294" s="49">
        <v>0</v>
      </c>
      <c r="AY294" s="50">
        <v>0</v>
      </c>
      <c r="AZ294" s="49">
        <v>0</v>
      </c>
      <c r="BA294" s="50">
        <v>0</v>
      </c>
      <c r="BB294" s="49">
        <v>3</v>
      </c>
      <c r="BC294" s="50">
        <v>100</v>
      </c>
      <c r="BD294" s="49">
        <v>3</v>
      </c>
      <c r="BE294" s="49"/>
      <c r="BF294" s="49"/>
      <c r="BG294" s="49"/>
      <c r="BH294" s="49"/>
      <c r="BI294" s="49"/>
      <c r="BJ294" s="49"/>
      <c r="BK294" s="111" t="s">
        <v>3889</v>
      </c>
      <c r="BL294" s="111" t="s">
        <v>3889</v>
      </c>
      <c r="BM294" s="111" t="s">
        <v>4353</v>
      </c>
      <c r="BN294" s="111" t="s">
        <v>4353</v>
      </c>
      <c r="BO294" s="2"/>
      <c r="BP294" s="3"/>
      <c r="BQ294" s="3"/>
      <c r="BR294" s="3"/>
      <c r="BS294" s="3"/>
    </row>
    <row r="295" spans="1:71" ht="15">
      <c r="A295" s="65" t="s">
        <v>496</v>
      </c>
      <c r="B295" s="66"/>
      <c r="C295" s="66"/>
      <c r="D295" s="67">
        <v>150</v>
      </c>
      <c r="E295" s="69"/>
      <c r="F295" s="103" t="str">
        <f>HYPERLINK("https://yt3.ggpht.com/ytc/AAUvwngLji-afWyws-ddOd4sSe6ax-_yfiHkAXqbksZUU2U=s88-c-k-c0x00ffffff-no-rj")</f>
        <v>https://yt3.ggpht.com/ytc/AAUvwngLji-afWyws-ddOd4sSe6ax-_yfiHkAXqbksZUU2U=s88-c-k-c0x00ffffff-no-rj</v>
      </c>
      <c r="G295" s="66"/>
      <c r="H295" s="70" t="s">
        <v>1855</v>
      </c>
      <c r="I295" s="71"/>
      <c r="J295" s="71" t="s">
        <v>159</v>
      </c>
      <c r="K295" s="70" t="s">
        <v>1855</v>
      </c>
      <c r="L295" s="74">
        <v>1</v>
      </c>
      <c r="M295" s="75">
        <v>5906.9501953125</v>
      </c>
      <c r="N295" s="75">
        <v>1320.3626708984375</v>
      </c>
      <c r="O295" s="76"/>
      <c r="P295" s="77"/>
      <c r="Q295" s="77"/>
      <c r="R295" s="89"/>
      <c r="S295" s="49">
        <v>0</v>
      </c>
      <c r="T295" s="49">
        <v>1</v>
      </c>
      <c r="U295" s="50">
        <v>0</v>
      </c>
      <c r="V295" s="50">
        <v>0.023256</v>
      </c>
      <c r="W295" s="50">
        <v>0</v>
      </c>
      <c r="X295" s="50">
        <v>0.525922</v>
      </c>
      <c r="Y295" s="50">
        <v>0</v>
      </c>
      <c r="Z295" s="50">
        <v>0</v>
      </c>
      <c r="AA295" s="72">
        <v>295</v>
      </c>
      <c r="AB295" s="72"/>
      <c r="AC295" s="73"/>
      <c r="AD295" s="80" t="s">
        <v>1855</v>
      </c>
      <c r="AE295" s="80"/>
      <c r="AF295" s="80"/>
      <c r="AG295" s="80"/>
      <c r="AH295" s="80"/>
      <c r="AI295" s="80"/>
      <c r="AJ295" s="87">
        <v>41578.11032407408</v>
      </c>
      <c r="AK295" s="85" t="str">
        <f>HYPERLINK("https://yt3.ggpht.com/ytc/AAUvwngLji-afWyws-ddOd4sSe6ax-_yfiHkAXqbksZUU2U=s88-c-k-c0x00ffffff-no-rj")</f>
        <v>https://yt3.ggpht.com/ytc/AAUvwngLji-afWyws-ddOd4sSe6ax-_yfiHkAXqbksZUU2U=s88-c-k-c0x00ffffff-no-rj</v>
      </c>
      <c r="AL295" s="80">
        <v>1366</v>
      </c>
      <c r="AM295" s="80">
        <v>0</v>
      </c>
      <c r="AN295" s="80">
        <v>14</v>
      </c>
      <c r="AO295" s="80" t="b">
        <v>0</v>
      </c>
      <c r="AP295" s="80">
        <v>43</v>
      </c>
      <c r="AQ295" s="80"/>
      <c r="AR295" s="80"/>
      <c r="AS295" s="80" t="s">
        <v>2664</v>
      </c>
      <c r="AT295" s="85" t="str">
        <f>HYPERLINK("https://www.youtube.com/channel/UCez-57V3o53c0ySZNCeqR2A")</f>
        <v>https://www.youtube.com/channel/UCez-57V3o53c0ySZNCeqR2A</v>
      </c>
      <c r="AU295" s="80" t="str">
        <f>REPLACE(INDEX(GroupVertices[Group],MATCH(Vertices[[#This Row],[Vertex]],GroupVertices[Vertex],0)),1,1,"")</f>
        <v>10</v>
      </c>
      <c r="AV295" s="49">
        <v>0</v>
      </c>
      <c r="AW295" s="50">
        <v>0</v>
      </c>
      <c r="AX295" s="49">
        <v>0</v>
      </c>
      <c r="AY295" s="50">
        <v>0</v>
      </c>
      <c r="AZ295" s="49">
        <v>0</v>
      </c>
      <c r="BA295" s="50">
        <v>0</v>
      </c>
      <c r="BB295" s="49">
        <v>2</v>
      </c>
      <c r="BC295" s="50">
        <v>100</v>
      </c>
      <c r="BD295" s="49">
        <v>2</v>
      </c>
      <c r="BE295" s="49"/>
      <c r="BF295" s="49"/>
      <c r="BG295" s="49"/>
      <c r="BH295" s="49"/>
      <c r="BI295" s="49"/>
      <c r="BJ295" s="49"/>
      <c r="BK295" s="111" t="s">
        <v>3890</v>
      </c>
      <c r="BL295" s="111" t="s">
        <v>3890</v>
      </c>
      <c r="BM295" s="111" t="s">
        <v>4354</v>
      </c>
      <c r="BN295" s="111" t="s">
        <v>4354</v>
      </c>
      <c r="BO295" s="2"/>
      <c r="BP295" s="3"/>
      <c r="BQ295" s="3"/>
      <c r="BR295" s="3"/>
      <c r="BS295" s="3"/>
    </row>
    <row r="296" spans="1:71" ht="15">
      <c r="A296" s="65" t="s">
        <v>497</v>
      </c>
      <c r="B296" s="66"/>
      <c r="C296" s="66"/>
      <c r="D296" s="67">
        <v>150</v>
      </c>
      <c r="E296" s="69"/>
      <c r="F296" s="103" t="str">
        <f>HYPERLINK("https://yt3.ggpht.com/ytc/AAUvwnjm2iDDRpgkV4XXC4KzXPa3hAwI5l7J81_GdGr5ig=s88-c-k-c0x00ffffff-no-rj")</f>
        <v>https://yt3.ggpht.com/ytc/AAUvwnjm2iDDRpgkV4XXC4KzXPa3hAwI5l7J81_GdGr5ig=s88-c-k-c0x00ffffff-no-rj</v>
      </c>
      <c r="G296" s="66"/>
      <c r="H296" s="70" t="s">
        <v>1856</v>
      </c>
      <c r="I296" s="71"/>
      <c r="J296" s="71" t="s">
        <v>159</v>
      </c>
      <c r="K296" s="70" t="s">
        <v>1856</v>
      </c>
      <c r="L296" s="74">
        <v>1</v>
      </c>
      <c r="M296" s="75">
        <v>5349.783203125</v>
      </c>
      <c r="N296" s="75">
        <v>731.1456909179688</v>
      </c>
      <c r="O296" s="76"/>
      <c r="P296" s="77"/>
      <c r="Q296" s="77"/>
      <c r="R296" s="89"/>
      <c r="S296" s="49">
        <v>0</v>
      </c>
      <c r="T296" s="49">
        <v>1</v>
      </c>
      <c r="U296" s="50">
        <v>0</v>
      </c>
      <c r="V296" s="50">
        <v>0.023256</v>
      </c>
      <c r="W296" s="50">
        <v>0</v>
      </c>
      <c r="X296" s="50">
        <v>0.525922</v>
      </c>
      <c r="Y296" s="50">
        <v>0</v>
      </c>
      <c r="Z296" s="50">
        <v>0</v>
      </c>
      <c r="AA296" s="72">
        <v>296</v>
      </c>
      <c r="AB296" s="72"/>
      <c r="AC296" s="73"/>
      <c r="AD296" s="80" t="s">
        <v>1856</v>
      </c>
      <c r="AE296" s="80" t="s">
        <v>2517</v>
      </c>
      <c r="AF296" s="80"/>
      <c r="AG296" s="80"/>
      <c r="AH296" s="80"/>
      <c r="AI296" s="80"/>
      <c r="AJ296" s="87">
        <v>39603.44232638889</v>
      </c>
      <c r="AK296" s="85" t="str">
        <f>HYPERLINK("https://yt3.ggpht.com/ytc/AAUvwnjm2iDDRpgkV4XXC4KzXPa3hAwI5l7J81_GdGr5ig=s88-c-k-c0x00ffffff-no-rj")</f>
        <v>https://yt3.ggpht.com/ytc/AAUvwnjm2iDDRpgkV4XXC4KzXPa3hAwI5l7J81_GdGr5ig=s88-c-k-c0x00ffffff-no-rj</v>
      </c>
      <c r="AL296" s="80">
        <v>51799</v>
      </c>
      <c r="AM296" s="80">
        <v>0</v>
      </c>
      <c r="AN296" s="80">
        <v>187</v>
      </c>
      <c r="AO296" s="80" t="b">
        <v>0</v>
      </c>
      <c r="AP296" s="80">
        <v>5</v>
      </c>
      <c r="AQ296" s="80"/>
      <c r="AR296" s="80"/>
      <c r="AS296" s="80" t="s">
        <v>2664</v>
      </c>
      <c r="AT296" s="85" t="str">
        <f>HYPERLINK("https://www.youtube.com/channel/UCnfuX9dN8a--5ptIge7wYJw")</f>
        <v>https://www.youtube.com/channel/UCnfuX9dN8a--5ptIge7wYJw</v>
      </c>
      <c r="AU296" s="80" t="str">
        <f>REPLACE(INDEX(GroupVertices[Group],MATCH(Vertices[[#This Row],[Vertex]],GroupVertices[Vertex],0)),1,1,"")</f>
        <v>10</v>
      </c>
      <c r="AV296" s="49">
        <v>0</v>
      </c>
      <c r="AW296" s="50">
        <v>0</v>
      </c>
      <c r="AX296" s="49">
        <v>0</v>
      </c>
      <c r="AY296" s="50">
        <v>0</v>
      </c>
      <c r="AZ296" s="49">
        <v>0</v>
      </c>
      <c r="BA296" s="50">
        <v>0</v>
      </c>
      <c r="BB296" s="49">
        <v>28</v>
      </c>
      <c r="BC296" s="50">
        <v>100</v>
      </c>
      <c r="BD296" s="49">
        <v>28</v>
      </c>
      <c r="BE296" s="49"/>
      <c r="BF296" s="49"/>
      <c r="BG296" s="49"/>
      <c r="BH296" s="49"/>
      <c r="BI296" s="49"/>
      <c r="BJ296" s="49"/>
      <c r="BK296" s="111" t="s">
        <v>3891</v>
      </c>
      <c r="BL296" s="111" t="s">
        <v>3891</v>
      </c>
      <c r="BM296" s="111" t="s">
        <v>4355</v>
      </c>
      <c r="BN296" s="111" t="s">
        <v>4355</v>
      </c>
      <c r="BO296" s="2"/>
      <c r="BP296" s="3"/>
      <c r="BQ296" s="3"/>
      <c r="BR296" s="3"/>
      <c r="BS296" s="3"/>
    </row>
    <row r="297" spans="1:71" ht="15">
      <c r="A297" s="65" t="s">
        <v>498</v>
      </c>
      <c r="B297" s="66"/>
      <c r="C297" s="66"/>
      <c r="D297" s="67">
        <v>150</v>
      </c>
      <c r="E297" s="69"/>
      <c r="F297" s="103" t="str">
        <f>HYPERLINK("https://yt3.ggpht.com/ytc/AAUvwnh6BiDRnPnFqKPcg8P5VP2xvBOsxI7xo8ellnBJ=s88-c-k-c0x00ffffff-no-rj")</f>
        <v>https://yt3.ggpht.com/ytc/AAUvwnh6BiDRnPnFqKPcg8P5VP2xvBOsxI7xo8ellnBJ=s88-c-k-c0x00ffffff-no-rj</v>
      </c>
      <c r="G297" s="66"/>
      <c r="H297" s="70" t="s">
        <v>1857</v>
      </c>
      <c r="I297" s="71"/>
      <c r="J297" s="71" t="s">
        <v>159</v>
      </c>
      <c r="K297" s="70" t="s">
        <v>1857</v>
      </c>
      <c r="L297" s="74">
        <v>1</v>
      </c>
      <c r="M297" s="75">
        <v>5838.2333984375</v>
      </c>
      <c r="N297" s="75">
        <v>180.3293914794922</v>
      </c>
      <c r="O297" s="76"/>
      <c r="P297" s="77"/>
      <c r="Q297" s="77"/>
      <c r="R297" s="89"/>
      <c r="S297" s="49">
        <v>0</v>
      </c>
      <c r="T297" s="49">
        <v>1</v>
      </c>
      <c r="U297" s="50">
        <v>0</v>
      </c>
      <c r="V297" s="50">
        <v>0.023256</v>
      </c>
      <c r="W297" s="50">
        <v>0</v>
      </c>
      <c r="X297" s="50">
        <v>0.525922</v>
      </c>
      <c r="Y297" s="50">
        <v>0</v>
      </c>
      <c r="Z297" s="50">
        <v>0</v>
      </c>
      <c r="AA297" s="72">
        <v>297</v>
      </c>
      <c r="AB297" s="72"/>
      <c r="AC297" s="73"/>
      <c r="AD297" s="80" t="s">
        <v>1857</v>
      </c>
      <c r="AE297" s="80"/>
      <c r="AF297" s="80"/>
      <c r="AG297" s="80"/>
      <c r="AH297" s="80"/>
      <c r="AI297" s="80"/>
      <c r="AJ297" s="87">
        <v>40577.466319444444</v>
      </c>
      <c r="AK297" s="85" t="str">
        <f>HYPERLINK("https://yt3.ggpht.com/ytc/AAUvwnh6BiDRnPnFqKPcg8P5VP2xvBOsxI7xo8ellnBJ=s88-c-k-c0x00ffffff-no-rj")</f>
        <v>https://yt3.ggpht.com/ytc/AAUvwnh6BiDRnPnFqKPcg8P5VP2xvBOsxI7xo8ellnBJ=s88-c-k-c0x00ffffff-no-rj</v>
      </c>
      <c r="AL297" s="80">
        <v>0</v>
      </c>
      <c r="AM297" s="80">
        <v>0</v>
      </c>
      <c r="AN297" s="80">
        <v>2</v>
      </c>
      <c r="AO297" s="80" t="b">
        <v>0</v>
      </c>
      <c r="AP297" s="80">
        <v>0</v>
      </c>
      <c r="AQ297" s="80"/>
      <c r="AR297" s="80"/>
      <c r="AS297" s="80" t="s">
        <v>2664</v>
      </c>
      <c r="AT297" s="85" t="str">
        <f>HYPERLINK("https://www.youtube.com/channel/UCcVY4PNhKTStBqbmWBBXJsw")</f>
        <v>https://www.youtube.com/channel/UCcVY4PNhKTStBqbmWBBXJsw</v>
      </c>
      <c r="AU297" s="80" t="str">
        <f>REPLACE(INDEX(GroupVertices[Group],MATCH(Vertices[[#This Row],[Vertex]],GroupVertices[Vertex],0)),1,1,"")</f>
        <v>10</v>
      </c>
      <c r="AV297" s="49">
        <v>0</v>
      </c>
      <c r="AW297" s="50">
        <v>0</v>
      </c>
      <c r="AX297" s="49">
        <v>0</v>
      </c>
      <c r="AY297" s="50">
        <v>0</v>
      </c>
      <c r="AZ297" s="49">
        <v>0</v>
      </c>
      <c r="BA297" s="50">
        <v>0</v>
      </c>
      <c r="BB297" s="49">
        <v>37</v>
      </c>
      <c r="BC297" s="50">
        <v>100</v>
      </c>
      <c r="BD297" s="49">
        <v>37</v>
      </c>
      <c r="BE297" s="49"/>
      <c r="BF297" s="49"/>
      <c r="BG297" s="49"/>
      <c r="BH297" s="49"/>
      <c r="BI297" s="49"/>
      <c r="BJ297" s="49"/>
      <c r="BK297" s="111" t="s">
        <v>3892</v>
      </c>
      <c r="BL297" s="111" t="s">
        <v>3892</v>
      </c>
      <c r="BM297" s="111" t="s">
        <v>4356</v>
      </c>
      <c r="BN297" s="111" t="s">
        <v>4356</v>
      </c>
      <c r="BO297" s="2"/>
      <c r="BP297" s="3"/>
      <c r="BQ297" s="3"/>
      <c r="BR297" s="3"/>
      <c r="BS297" s="3"/>
    </row>
    <row r="298" spans="1:71" ht="15">
      <c r="A298" s="65" t="s">
        <v>499</v>
      </c>
      <c r="B298" s="66"/>
      <c r="C298" s="66"/>
      <c r="D298" s="67">
        <v>150</v>
      </c>
      <c r="E298" s="69"/>
      <c r="F298" s="103" t="str">
        <f>HYPERLINK("https://yt3.ggpht.com/ytc/AAUvwnjbb0nEukrNDwRFmbBOcvxWdkry4MHUFpBlRYu_lg=s88-c-k-c0x00ffffff-no-rj")</f>
        <v>https://yt3.ggpht.com/ytc/AAUvwnjbb0nEukrNDwRFmbBOcvxWdkry4MHUFpBlRYu_lg=s88-c-k-c0x00ffffff-no-rj</v>
      </c>
      <c r="G298" s="66"/>
      <c r="H298" s="70" t="s">
        <v>1858</v>
      </c>
      <c r="I298" s="71"/>
      <c r="J298" s="71" t="s">
        <v>159</v>
      </c>
      <c r="K298" s="70" t="s">
        <v>1858</v>
      </c>
      <c r="L298" s="74">
        <v>1</v>
      </c>
      <c r="M298" s="75">
        <v>5491.39208984375</v>
      </c>
      <c r="N298" s="75">
        <v>381.5550537109375</v>
      </c>
      <c r="O298" s="76"/>
      <c r="P298" s="77"/>
      <c r="Q298" s="77"/>
      <c r="R298" s="89"/>
      <c r="S298" s="49">
        <v>0</v>
      </c>
      <c r="T298" s="49">
        <v>1</v>
      </c>
      <c r="U298" s="50">
        <v>0</v>
      </c>
      <c r="V298" s="50">
        <v>0.023256</v>
      </c>
      <c r="W298" s="50">
        <v>0</v>
      </c>
      <c r="X298" s="50">
        <v>0.525922</v>
      </c>
      <c r="Y298" s="50">
        <v>0</v>
      </c>
      <c r="Z298" s="50">
        <v>0</v>
      </c>
      <c r="AA298" s="72">
        <v>298</v>
      </c>
      <c r="AB298" s="72"/>
      <c r="AC298" s="73"/>
      <c r="AD298" s="80" t="s">
        <v>1858</v>
      </c>
      <c r="AE298" s="80"/>
      <c r="AF298" s="80"/>
      <c r="AG298" s="80"/>
      <c r="AH298" s="80"/>
      <c r="AI298" s="80"/>
      <c r="AJ298" s="87">
        <v>42786.222719907404</v>
      </c>
      <c r="AK298" s="85" t="str">
        <f>HYPERLINK("https://yt3.ggpht.com/ytc/AAUvwnjbb0nEukrNDwRFmbBOcvxWdkry4MHUFpBlRYu_lg=s88-c-k-c0x00ffffff-no-rj")</f>
        <v>https://yt3.ggpht.com/ytc/AAUvwnjbb0nEukrNDwRFmbBOcvxWdkry4MHUFpBlRYu_lg=s88-c-k-c0x00ffffff-no-rj</v>
      </c>
      <c r="AL298" s="80">
        <v>0</v>
      </c>
      <c r="AM298" s="80">
        <v>0</v>
      </c>
      <c r="AN298" s="80">
        <v>0</v>
      </c>
      <c r="AO298" s="80" t="b">
        <v>0</v>
      </c>
      <c r="AP298" s="80">
        <v>0</v>
      </c>
      <c r="AQ298" s="80"/>
      <c r="AR298" s="80"/>
      <c r="AS298" s="80" t="s">
        <v>2664</v>
      </c>
      <c r="AT298" s="85" t="str">
        <f>HYPERLINK("https://www.youtube.com/channel/UCoXa-0RdNxTdWehirvqAvbQ")</f>
        <v>https://www.youtube.com/channel/UCoXa-0RdNxTdWehirvqAvbQ</v>
      </c>
      <c r="AU298" s="80" t="str">
        <f>REPLACE(INDEX(GroupVertices[Group],MATCH(Vertices[[#This Row],[Vertex]],GroupVertices[Vertex],0)),1,1,"")</f>
        <v>10</v>
      </c>
      <c r="AV298" s="49">
        <v>0</v>
      </c>
      <c r="AW298" s="50">
        <v>0</v>
      </c>
      <c r="AX298" s="49">
        <v>0</v>
      </c>
      <c r="AY298" s="50">
        <v>0</v>
      </c>
      <c r="AZ298" s="49">
        <v>0</v>
      </c>
      <c r="BA298" s="50">
        <v>0</v>
      </c>
      <c r="BB298" s="49">
        <v>8</v>
      </c>
      <c r="BC298" s="50">
        <v>100</v>
      </c>
      <c r="BD298" s="49">
        <v>8</v>
      </c>
      <c r="BE298" s="49"/>
      <c r="BF298" s="49"/>
      <c r="BG298" s="49"/>
      <c r="BH298" s="49"/>
      <c r="BI298" s="49"/>
      <c r="BJ298" s="49"/>
      <c r="BK298" s="111" t="s">
        <v>3893</v>
      </c>
      <c r="BL298" s="111" t="s">
        <v>3893</v>
      </c>
      <c r="BM298" s="111" t="s">
        <v>4357</v>
      </c>
      <c r="BN298" s="111" t="s">
        <v>4357</v>
      </c>
      <c r="BO298" s="2"/>
      <c r="BP298" s="3"/>
      <c r="BQ298" s="3"/>
      <c r="BR298" s="3"/>
      <c r="BS298" s="3"/>
    </row>
    <row r="299" spans="1:71" ht="15">
      <c r="A299" s="65" t="s">
        <v>500</v>
      </c>
      <c r="B299" s="66"/>
      <c r="C299" s="66"/>
      <c r="D299" s="67">
        <v>150</v>
      </c>
      <c r="E299" s="69"/>
      <c r="F299" s="103" t="str">
        <f>HYPERLINK("https://yt3.ggpht.com/ytc/AAUvwnjeNwN0LALBGkw76Jv2COA988UttN78FZV_SQtt=s88-c-k-c0x00ffffff-no-rj")</f>
        <v>https://yt3.ggpht.com/ytc/AAUvwnjeNwN0LALBGkw76Jv2COA988UttN78FZV_SQtt=s88-c-k-c0x00ffffff-no-rj</v>
      </c>
      <c r="G299" s="66"/>
      <c r="H299" s="70" t="s">
        <v>1859</v>
      </c>
      <c r="I299" s="71"/>
      <c r="J299" s="71" t="s">
        <v>159</v>
      </c>
      <c r="K299" s="70" t="s">
        <v>1859</v>
      </c>
      <c r="L299" s="74">
        <v>1</v>
      </c>
      <c r="M299" s="75">
        <v>6610.3271484375</v>
      </c>
      <c r="N299" s="75">
        <v>1077.216552734375</v>
      </c>
      <c r="O299" s="76"/>
      <c r="P299" s="77"/>
      <c r="Q299" s="77"/>
      <c r="R299" s="89"/>
      <c r="S299" s="49">
        <v>0</v>
      </c>
      <c r="T299" s="49">
        <v>1</v>
      </c>
      <c r="U299" s="50">
        <v>0</v>
      </c>
      <c r="V299" s="50">
        <v>0.023256</v>
      </c>
      <c r="W299" s="50">
        <v>0</v>
      </c>
      <c r="X299" s="50">
        <v>0.525922</v>
      </c>
      <c r="Y299" s="50">
        <v>0</v>
      </c>
      <c r="Z299" s="50">
        <v>0</v>
      </c>
      <c r="AA299" s="72">
        <v>299</v>
      </c>
      <c r="AB299" s="72"/>
      <c r="AC299" s="73"/>
      <c r="AD299" s="80" t="s">
        <v>1859</v>
      </c>
      <c r="AE299" s="80" t="s">
        <v>2518</v>
      </c>
      <c r="AF299" s="80"/>
      <c r="AG299" s="80"/>
      <c r="AH299" s="80"/>
      <c r="AI299" s="80"/>
      <c r="AJ299" s="87">
        <v>42642.23815972222</v>
      </c>
      <c r="AK299" s="85" t="str">
        <f>HYPERLINK("https://yt3.ggpht.com/ytc/AAUvwnjeNwN0LALBGkw76Jv2COA988UttN78FZV_SQtt=s88-c-k-c0x00ffffff-no-rj")</f>
        <v>https://yt3.ggpht.com/ytc/AAUvwnjeNwN0LALBGkw76Jv2COA988UttN78FZV_SQtt=s88-c-k-c0x00ffffff-no-rj</v>
      </c>
      <c r="AL299" s="80">
        <v>0</v>
      </c>
      <c r="AM299" s="80">
        <v>0</v>
      </c>
      <c r="AN299" s="80">
        <v>3</v>
      </c>
      <c r="AO299" s="80" t="b">
        <v>0</v>
      </c>
      <c r="AP299" s="80">
        <v>0</v>
      </c>
      <c r="AQ299" s="80"/>
      <c r="AR299" s="80"/>
      <c r="AS299" s="80" t="s">
        <v>2664</v>
      </c>
      <c r="AT299" s="85" t="str">
        <f>HYPERLINK("https://www.youtube.com/channel/UCfcdeSgCO4v25ymgnOybN5g")</f>
        <v>https://www.youtube.com/channel/UCfcdeSgCO4v25ymgnOybN5g</v>
      </c>
      <c r="AU299" s="80" t="str">
        <f>REPLACE(INDEX(GroupVertices[Group],MATCH(Vertices[[#This Row],[Vertex]],GroupVertices[Vertex],0)),1,1,"")</f>
        <v>10</v>
      </c>
      <c r="AV299" s="49">
        <v>2</v>
      </c>
      <c r="AW299" s="50">
        <v>13.333333333333334</v>
      </c>
      <c r="AX299" s="49">
        <v>0</v>
      </c>
      <c r="AY299" s="50">
        <v>0</v>
      </c>
      <c r="AZ299" s="49">
        <v>0</v>
      </c>
      <c r="BA299" s="50">
        <v>0</v>
      </c>
      <c r="BB299" s="49">
        <v>13</v>
      </c>
      <c r="BC299" s="50">
        <v>86.66666666666667</v>
      </c>
      <c r="BD299" s="49">
        <v>15</v>
      </c>
      <c r="BE299" s="49"/>
      <c r="BF299" s="49"/>
      <c r="BG299" s="49"/>
      <c r="BH299" s="49"/>
      <c r="BI299" s="49"/>
      <c r="BJ299" s="49"/>
      <c r="BK299" s="111" t="s">
        <v>3894</v>
      </c>
      <c r="BL299" s="111" t="s">
        <v>3894</v>
      </c>
      <c r="BM299" s="111" t="s">
        <v>4358</v>
      </c>
      <c r="BN299" s="111" t="s">
        <v>4358</v>
      </c>
      <c r="BO299" s="2"/>
      <c r="BP299" s="3"/>
      <c r="BQ299" s="3"/>
      <c r="BR299" s="3"/>
      <c r="BS299" s="3"/>
    </row>
    <row r="300" spans="1:71" ht="15">
      <c r="A300" s="65" t="s">
        <v>501</v>
      </c>
      <c r="B300" s="66"/>
      <c r="C300" s="66"/>
      <c r="D300" s="67">
        <v>150</v>
      </c>
      <c r="E300" s="69"/>
      <c r="F300" s="103" t="str">
        <f>HYPERLINK("https://yt3.ggpht.com/ytc/AAUvwnhc8Ft6Br2bySb07Qd3AhWlvs1-XRN8kvPNmFcz-g=s88-c-k-c0x00ffffff-no-rj")</f>
        <v>https://yt3.ggpht.com/ytc/AAUvwnhc8Ft6Br2bySb07Qd3AhWlvs1-XRN8kvPNmFcz-g=s88-c-k-c0x00ffffff-no-rj</v>
      </c>
      <c r="G300" s="66"/>
      <c r="H300" s="70" t="s">
        <v>1860</v>
      </c>
      <c r="I300" s="71"/>
      <c r="J300" s="71" t="s">
        <v>159</v>
      </c>
      <c r="K300" s="70" t="s">
        <v>1860</v>
      </c>
      <c r="L300" s="74">
        <v>1</v>
      </c>
      <c r="M300" s="75">
        <v>6497.29541015625</v>
      </c>
      <c r="N300" s="75">
        <v>204.97119140625</v>
      </c>
      <c r="O300" s="76"/>
      <c r="P300" s="77"/>
      <c r="Q300" s="77"/>
      <c r="R300" s="89"/>
      <c r="S300" s="49">
        <v>0</v>
      </c>
      <c r="T300" s="49">
        <v>1</v>
      </c>
      <c r="U300" s="50">
        <v>0</v>
      </c>
      <c r="V300" s="50">
        <v>0.023256</v>
      </c>
      <c r="W300" s="50">
        <v>0</v>
      </c>
      <c r="X300" s="50">
        <v>0.525922</v>
      </c>
      <c r="Y300" s="50">
        <v>0</v>
      </c>
      <c r="Z300" s="50">
        <v>0</v>
      </c>
      <c r="AA300" s="72">
        <v>300</v>
      </c>
      <c r="AB300" s="72"/>
      <c r="AC300" s="73"/>
      <c r="AD300" s="80" t="s">
        <v>1860</v>
      </c>
      <c r="AE300" s="80"/>
      <c r="AF300" s="80"/>
      <c r="AG300" s="80"/>
      <c r="AH300" s="80"/>
      <c r="AI300" s="80"/>
      <c r="AJ300" s="87">
        <v>41915.376180555555</v>
      </c>
      <c r="AK300" s="85" t="str">
        <f>HYPERLINK("https://yt3.ggpht.com/ytc/AAUvwnhc8Ft6Br2bySb07Qd3AhWlvs1-XRN8kvPNmFcz-g=s88-c-k-c0x00ffffff-no-rj")</f>
        <v>https://yt3.ggpht.com/ytc/AAUvwnhc8Ft6Br2bySb07Qd3AhWlvs1-XRN8kvPNmFcz-g=s88-c-k-c0x00ffffff-no-rj</v>
      </c>
      <c r="AL300" s="80">
        <v>0</v>
      </c>
      <c r="AM300" s="80">
        <v>0</v>
      </c>
      <c r="AN300" s="80">
        <v>0</v>
      </c>
      <c r="AO300" s="80" t="b">
        <v>0</v>
      </c>
      <c r="AP300" s="80">
        <v>0</v>
      </c>
      <c r="AQ300" s="80"/>
      <c r="AR300" s="80"/>
      <c r="AS300" s="80" t="s">
        <v>2664</v>
      </c>
      <c r="AT300" s="85" t="str">
        <f>HYPERLINK("https://www.youtube.com/channel/UCjU5msKQEe1Bpc-z4WT6CsA")</f>
        <v>https://www.youtube.com/channel/UCjU5msKQEe1Bpc-z4WT6CsA</v>
      </c>
      <c r="AU300" s="80" t="str">
        <f>REPLACE(INDEX(GroupVertices[Group],MATCH(Vertices[[#This Row],[Vertex]],GroupVertices[Vertex],0)),1,1,"")</f>
        <v>10</v>
      </c>
      <c r="AV300" s="49">
        <v>1</v>
      </c>
      <c r="AW300" s="50">
        <v>50</v>
      </c>
      <c r="AX300" s="49">
        <v>0</v>
      </c>
      <c r="AY300" s="50">
        <v>0</v>
      </c>
      <c r="AZ300" s="49">
        <v>0</v>
      </c>
      <c r="BA300" s="50">
        <v>0</v>
      </c>
      <c r="BB300" s="49">
        <v>1</v>
      </c>
      <c r="BC300" s="50">
        <v>50</v>
      </c>
      <c r="BD300" s="49">
        <v>2</v>
      </c>
      <c r="BE300" s="49"/>
      <c r="BF300" s="49"/>
      <c r="BG300" s="49"/>
      <c r="BH300" s="49"/>
      <c r="BI300" s="49"/>
      <c r="BJ300" s="49"/>
      <c r="BK300" s="111" t="s">
        <v>2390</v>
      </c>
      <c r="BL300" s="111" t="s">
        <v>2390</v>
      </c>
      <c r="BM300" s="111" t="s">
        <v>2390</v>
      </c>
      <c r="BN300" s="111" t="s">
        <v>2390</v>
      </c>
      <c r="BO300" s="2"/>
      <c r="BP300" s="3"/>
      <c r="BQ300" s="3"/>
      <c r="BR300" s="3"/>
      <c r="BS300" s="3"/>
    </row>
    <row r="301" spans="1:71" ht="15">
      <c r="A301" s="65" t="s">
        <v>502</v>
      </c>
      <c r="B301" s="66"/>
      <c r="C301" s="66"/>
      <c r="D301" s="67">
        <v>150</v>
      </c>
      <c r="E301" s="69"/>
      <c r="F301" s="103" t="str">
        <f>HYPERLINK("https://yt3.ggpht.com/ytc/AAUvwnisroQMGx8lps-QutWyeWFN6Pdo_mmd6ReGdnYf=s88-c-k-c0x00ffffff-no-rj")</f>
        <v>https://yt3.ggpht.com/ytc/AAUvwnisroQMGx8lps-QutWyeWFN6Pdo_mmd6ReGdnYf=s88-c-k-c0x00ffffff-no-rj</v>
      </c>
      <c r="G301" s="66"/>
      <c r="H301" s="70" t="s">
        <v>1861</v>
      </c>
      <c r="I301" s="71"/>
      <c r="J301" s="71" t="s">
        <v>159</v>
      </c>
      <c r="K301" s="70" t="s">
        <v>1861</v>
      </c>
      <c r="L301" s="74">
        <v>1</v>
      </c>
      <c r="M301" s="75">
        <v>6309.52099609375</v>
      </c>
      <c r="N301" s="75">
        <v>425.1484680175781</v>
      </c>
      <c r="O301" s="76"/>
      <c r="P301" s="77"/>
      <c r="Q301" s="77"/>
      <c r="R301" s="89"/>
      <c r="S301" s="49">
        <v>0</v>
      </c>
      <c r="T301" s="49">
        <v>1</v>
      </c>
      <c r="U301" s="50">
        <v>0</v>
      </c>
      <c r="V301" s="50">
        <v>0.023256</v>
      </c>
      <c r="W301" s="50">
        <v>0</v>
      </c>
      <c r="X301" s="50">
        <v>0.525922</v>
      </c>
      <c r="Y301" s="50">
        <v>0</v>
      </c>
      <c r="Z301" s="50">
        <v>0</v>
      </c>
      <c r="AA301" s="72">
        <v>301</v>
      </c>
      <c r="AB301" s="72"/>
      <c r="AC301" s="73"/>
      <c r="AD301" s="80" t="s">
        <v>1861</v>
      </c>
      <c r="AE301" s="80"/>
      <c r="AF301" s="80"/>
      <c r="AG301" s="80"/>
      <c r="AH301" s="80"/>
      <c r="AI301" s="80"/>
      <c r="AJ301" s="87">
        <v>42227.053194444445</v>
      </c>
      <c r="AK301" s="85" t="str">
        <f>HYPERLINK("https://yt3.ggpht.com/ytc/AAUvwnisroQMGx8lps-QutWyeWFN6Pdo_mmd6ReGdnYf=s88-c-k-c0x00ffffff-no-rj")</f>
        <v>https://yt3.ggpht.com/ytc/AAUvwnisroQMGx8lps-QutWyeWFN6Pdo_mmd6ReGdnYf=s88-c-k-c0x00ffffff-no-rj</v>
      </c>
      <c r="AL301" s="80">
        <v>0</v>
      </c>
      <c r="AM301" s="80">
        <v>0</v>
      </c>
      <c r="AN301" s="80">
        <v>0</v>
      </c>
      <c r="AO301" s="80" t="b">
        <v>0</v>
      </c>
      <c r="AP301" s="80">
        <v>0</v>
      </c>
      <c r="AQ301" s="80"/>
      <c r="AR301" s="80"/>
      <c r="AS301" s="80" t="s">
        <v>2664</v>
      </c>
      <c r="AT301" s="85" t="str">
        <f>HYPERLINK("https://www.youtube.com/channel/UCc75Eb2KclgOOUnkerIIHjw")</f>
        <v>https://www.youtube.com/channel/UCc75Eb2KclgOOUnkerIIHjw</v>
      </c>
      <c r="AU301" s="80" t="str">
        <f>REPLACE(INDEX(GroupVertices[Group],MATCH(Vertices[[#This Row],[Vertex]],GroupVertices[Vertex],0)),1,1,"")</f>
        <v>10</v>
      </c>
      <c r="AV301" s="49">
        <v>2</v>
      </c>
      <c r="AW301" s="50">
        <v>33.333333333333336</v>
      </c>
      <c r="AX301" s="49">
        <v>0</v>
      </c>
      <c r="AY301" s="50">
        <v>0</v>
      </c>
      <c r="AZ301" s="49">
        <v>0</v>
      </c>
      <c r="BA301" s="50">
        <v>0</v>
      </c>
      <c r="BB301" s="49">
        <v>4</v>
      </c>
      <c r="BC301" s="50">
        <v>66.66666666666667</v>
      </c>
      <c r="BD301" s="49">
        <v>6</v>
      </c>
      <c r="BE301" s="49"/>
      <c r="BF301" s="49"/>
      <c r="BG301" s="49"/>
      <c r="BH301" s="49"/>
      <c r="BI301" s="49"/>
      <c r="BJ301" s="49"/>
      <c r="BK301" s="111" t="s">
        <v>3895</v>
      </c>
      <c r="BL301" s="111" t="s">
        <v>3895</v>
      </c>
      <c r="BM301" s="111" t="s">
        <v>4359</v>
      </c>
      <c r="BN301" s="111" t="s">
        <v>4359</v>
      </c>
      <c r="BO301" s="2"/>
      <c r="BP301" s="3"/>
      <c r="BQ301" s="3"/>
      <c r="BR301" s="3"/>
      <c r="BS301" s="3"/>
    </row>
    <row r="302" spans="1:71" ht="15">
      <c r="A302" s="65" t="s">
        <v>503</v>
      </c>
      <c r="B302" s="66"/>
      <c r="C302" s="66"/>
      <c r="D302" s="67">
        <v>150</v>
      </c>
      <c r="E302" s="69"/>
      <c r="F302" s="103" t="str">
        <f>HYPERLINK("https://yt3.ggpht.com/ytc/AAUvwnjsT3oYDnwDUisCsRGimbFAApmsqx0Ys7jfrQ=s88-c-k-c0x00ffffff-no-rj")</f>
        <v>https://yt3.ggpht.com/ytc/AAUvwnjsT3oYDnwDUisCsRGimbFAApmsqx0Ys7jfrQ=s88-c-k-c0x00ffffff-no-rj</v>
      </c>
      <c r="G302" s="66"/>
      <c r="H302" s="70" t="s">
        <v>1862</v>
      </c>
      <c r="I302" s="71"/>
      <c r="J302" s="71" t="s">
        <v>159</v>
      </c>
      <c r="K302" s="70" t="s">
        <v>1862</v>
      </c>
      <c r="L302" s="74">
        <v>1</v>
      </c>
      <c r="M302" s="75">
        <v>6732.5927734375</v>
      </c>
      <c r="N302" s="75">
        <v>394.4593505859375</v>
      </c>
      <c r="O302" s="76"/>
      <c r="P302" s="77"/>
      <c r="Q302" s="77"/>
      <c r="R302" s="89"/>
      <c r="S302" s="49">
        <v>0</v>
      </c>
      <c r="T302" s="49">
        <v>1</v>
      </c>
      <c r="U302" s="50">
        <v>0</v>
      </c>
      <c r="V302" s="50">
        <v>0.023256</v>
      </c>
      <c r="W302" s="50">
        <v>0</v>
      </c>
      <c r="X302" s="50">
        <v>0.525922</v>
      </c>
      <c r="Y302" s="50">
        <v>0</v>
      </c>
      <c r="Z302" s="50">
        <v>0</v>
      </c>
      <c r="AA302" s="72">
        <v>302</v>
      </c>
      <c r="AB302" s="72"/>
      <c r="AC302" s="73"/>
      <c r="AD302" s="80" t="s">
        <v>1862</v>
      </c>
      <c r="AE302" s="80"/>
      <c r="AF302" s="80"/>
      <c r="AG302" s="80"/>
      <c r="AH302" s="80"/>
      <c r="AI302" s="80"/>
      <c r="AJ302" s="87">
        <v>40831.8293287037</v>
      </c>
      <c r="AK302" s="85" t="str">
        <f>HYPERLINK("https://yt3.ggpht.com/ytc/AAUvwnjsT3oYDnwDUisCsRGimbFAApmsqx0Ys7jfrQ=s88-c-k-c0x00ffffff-no-rj")</f>
        <v>https://yt3.ggpht.com/ytc/AAUvwnjsT3oYDnwDUisCsRGimbFAApmsqx0Ys7jfrQ=s88-c-k-c0x00ffffff-no-rj</v>
      </c>
      <c r="AL302" s="80">
        <v>0</v>
      </c>
      <c r="AM302" s="80">
        <v>0</v>
      </c>
      <c r="AN302" s="80">
        <v>0</v>
      </c>
      <c r="AO302" s="80" t="b">
        <v>0</v>
      </c>
      <c r="AP302" s="80">
        <v>0</v>
      </c>
      <c r="AQ302" s="80"/>
      <c r="AR302" s="80"/>
      <c r="AS302" s="80" t="s">
        <v>2664</v>
      </c>
      <c r="AT302" s="85" t="str">
        <f>HYPERLINK("https://www.youtube.com/channel/UCwlIuUEYNSbAfoGgoEx2nIg")</f>
        <v>https://www.youtube.com/channel/UCwlIuUEYNSbAfoGgoEx2nIg</v>
      </c>
      <c r="AU302" s="80" t="str">
        <f>REPLACE(INDEX(GroupVertices[Group],MATCH(Vertices[[#This Row],[Vertex]],GroupVertices[Vertex],0)),1,1,"")</f>
        <v>10</v>
      </c>
      <c r="AV302" s="49">
        <v>2</v>
      </c>
      <c r="AW302" s="50">
        <v>33.333333333333336</v>
      </c>
      <c r="AX302" s="49">
        <v>0</v>
      </c>
      <c r="AY302" s="50">
        <v>0</v>
      </c>
      <c r="AZ302" s="49">
        <v>0</v>
      </c>
      <c r="BA302" s="50">
        <v>0</v>
      </c>
      <c r="BB302" s="49">
        <v>4</v>
      </c>
      <c r="BC302" s="50">
        <v>66.66666666666667</v>
      </c>
      <c r="BD302" s="49">
        <v>6</v>
      </c>
      <c r="BE302" s="49"/>
      <c r="BF302" s="49"/>
      <c r="BG302" s="49"/>
      <c r="BH302" s="49"/>
      <c r="BI302" s="49"/>
      <c r="BJ302" s="49"/>
      <c r="BK302" s="111" t="s">
        <v>3896</v>
      </c>
      <c r="BL302" s="111" t="s">
        <v>3896</v>
      </c>
      <c r="BM302" s="111" t="s">
        <v>4360</v>
      </c>
      <c r="BN302" s="111" t="s">
        <v>4360</v>
      </c>
      <c r="BO302" s="2"/>
      <c r="BP302" s="3"/>
      <c r="BQ302" s="3"/>
      <c r="BR302" s="3"/>
      <c r="BS302" s="3"/>
    </row>
    <row r="303" spans="1:71" ht="15">
      <c r="A303" s="65" t="s">
        <v>504</v>
      </c>
      <c r="B303" s="66"/>
      <c r="C303" s="66"/>
      <c r="D303" s="67">
        <v>150</v>
      </c>
      <c r="E303" s="69"/>
      <c r="F303" s="103" t="str">
        <f>HYPERLINK("https://yt3.ggpht.com/ytc/AAUvwnhxPfdasZCxbspLUHQUoHX3Vz729BVANZEBoA=s88-c-k-c0x00ffffff-no-rj")</f>
        <v>https://yt3.ggpht.com/ytc/AAUvwnhxPfdasZCxbspLUHQUoHX3Vz729BVANZEBoA=s88-c-k-c0x00ffffff-no-rj</v>
      </c>
      <c r="G303" s="66"/>
      <c r="H303" s="70" t="s">
        <v>1863</v>
      </c>
      <c r="I303" s="71"/>
      <c r="J303" s="71" t="s">
        <v>159</v>
      </c>
      <c r="K303" s="70" t="s">
        <v>1863</v>
      </c>
      <c r="L303" s="74">
        <v>1</v>
      </c>
      <c r="M303" s="75">
        <v>6878.1943359375</v>
      </c>
      <c r="N303" s="75">
        <v>628.4052124023438</v>
      </c>
      <c r="O303" s="76"/>
      <c r="P303" s="77"/>
      <c r="Q303" s="77"/>
      <c r="R303" s="89"/>
      <c r="S303" s="49">
        <v>0</v>
      </c>
      <c r="T303" s="49">
        <v>1</v>
      </c>
      <c r="U303" s="50">
        <v>0</v>
      </c>
      <c r="V303" s="50">
        <v>0.023256</v>
      </c>
      <c r="W303" s="50">
        <v>0</v>
      </c>
      <c r="X303" s="50">
        <v>0.525922</v>
      </c>
      <c r="Y303" s="50">
        <v>0</v>
      </c>
      <c r="Z303" s="50">
        <v>0</v>
      </c>
      <c r="AA303" s="72">
        <v>303</v>
      </c>
      <c r="AB303" s="72"/>
      <c r="AC303" s="73"/>
      <c r="AD303" s="80" t="s">
        <v>1863</v>
      </c>
      <c r="AE303" s="80"/>
      <c r="AF303" s="80"/>
      <c r="AG303" s="80"/>
      <c r="AH303" s="80"/>
      <c r="AI303" s="80"/>
      <c r="AJ303" s="87">
        <v>40407.70575231482</v>
      </c>
      <c r="AK303" s="85" t="str">
        <f>HYPERLINK("https://yt3.ggpht.com/ytc/AAUvwnhxPfdasZCxbspLUHQUoHX3Vz729BVANZEBoA=s88-c-k-c0x00ffffff-no-rj")</f>
        <v>https://yt3.ggpht.com/ytc/AAUvwnhxPfdasZCxbspLUHQUoHX3Vz729BVANZEBoA=s88-c-k-c0x00ffffff-no-rj</v>
      </c>
      <c r="AL303" s="80">
        <v>0</v>
      </c>
      <c r="AM303" s="80">
        <v>0</v>
      </c>
      <c r="AN303" s="80">
        <v>6</v>
      </c>
      <c r="AO303" s="80" t="b">
        <v>0</v>
      </c>
      <c r="AP303" s="80">
        <v>0</v>
      </c>
      <c r="AQ303" s="80"/>
      <c r="AR303" s="80"/>
      <c r="AS303" s="80" t="s">
        <v>2664</v>
      </c>
      <c r="AT303" s="85" t="str">
        <f>HYPERLINK("https://www.youtube.com/channel/UCBncj-o42hfPG0TRJkaRWYw")</f>
        <v>https://www.youtube.com/channel/UCBncj-o42hfPG0TRJkaRWYw</v>
      </c>
      <c r="AU303" s="80" t="str">
        <f>REPLACE(INDEX(GroupVertices[Group],MATCH(Vertices[[#This Row],[Vertex]],GroupVertices[Vertex],0)),1,1,"")</f>
        <v>10</v>
      </c>
      <c r="AV303" s="49">
        <v>0</v>
      </c>
      <c r="AW303" s="50">
        <v>0</v>
      </c>
      <c r="AX303" s="49">
        <v>0</v>
      </c>
      <c r="AY303" s="50">
        <v>0</v>
      </c>
      <c r="AZ303" s="49">
        <v>0</v>
      </c>
      <c r="BA303" s="50">
        <v>0</v>
      </c>
      <c r="BB303" s="49">
        <v>5</v>
      </c>
      <c r="BC303" s="50">
        <v>100</v>
      </c>
      <c r="BD303" s="49">
        <v>5</v>
      </c>
      <c r="BE303" s="49"/>
      <c r="BF303" s="49"/>
      <c r="BG303" s="49"/>
      <c r="BH303" s="49"/>
      <c r="BI303" s="49"/>
      <c r="BJ303" s="49"/>
      <c r="BK303" s="111" t="s">
        <v>3897</v>
      </c>
      <c r="BL303" s="111" t="s">
        <v>3897</v>
      </c>
      <c r="BM303" s="111" t="s">
        <v>4361</v>
      </c>
      <c r="BN303" s="111" t="s">
        <v>4361</v>
      </c>
      <c r="BO303" s="2"/>
      <c r="BP303" s="3"/>
      <c r="BQ303" s="3"/>
      <c r="BR303" s="3"/>
      <c r="BS303" s="3"/>
    </row>
    <row r="304" spans="1:71" ht="15">
      <c r="A304" s="65" t="s">
        <v>505</v>
      </c>
      <c r="B304" s="66"/>
      <c r="C304" s="66"/>
      <c r="D304" s="67">
        <v>150</v>
      </c>
      <c r="E304" s="69"/>
      <c r="F304" s="103" t="str">
        <f>HYPERLINK("https://yt3.ggpht.com/ytc/AAUvwnhIRvF7nbfYMypZsS7WZGCgEcSKWcmJHiTBS6fC=s88-c-k-c0x00ffffff-no-rj")</f>
        <v>https://yt3.ggpht.com/ytc/AAUvwnhIRvF7nbfYMypZsS7WZGCgEcSKWcmJHiTBS6fC=s88-c-k-c0x00ffffff-no-rj</v>
      </c>
      <c r="G304" s="66"/>
      <c r="H304" s="70" t="s">
        <v>1864</v>
      </c>
      <c r="I304" s="71"/>
      <c r="J304" s="71" t="s">
        <v>159</v>
      </c>
      <c r="K304" s="70" t="s">
        <v>1864</v>
      </c>
      <c r="L304" s="74">
        <v>1</v>
      </c>
      <c r="M304" s="75">
        <v>6157.01953125</v>
      </c>
      <c r="N304" s="75">
        <v>144.4942169189453</v>
      </c>
      <c r="O304" s="76"/>
      <c r="P304" s="77"/>
      <c r="Q304" s="77"/>
      <c r="R304" s="89"/>
      <c r="S304" s="49">
        <v>0</v>
      </c>
      <c r="T304" s="49">
        <v>1</v>
      </c>
      <c r="U304" s="50">
        <v>0</v>
      </c>
      <c r="V304" s="50">
        <v>0.023256</v>
      </c>
      <c r="W304" s="50">
        <v>0</v>
      </c>
      <c r="X304" s="50">
        <v>0.525922</v>
      </c>
      <c r="Y304" s="50">
        <v>0</v>
      </c>
      <c r="Z304" s="50">
        <v>0</v>
      </c>
      <c r="AA304" s="72">
        <v>304</v>
      </c>
      <c r="AB304" s="72"/>
      <c r="AC304" s="73"/>
      <c r="AD304" s="80" t="s">
        <v>1864</v>
      </c>
      <c r="AE304" s="80"/>
      <c r="AF304" s="80"/>
      <c r="AG304" s="80"/>
      <c r="AH304" s="80"/>
      <c r="AI304" s="80"/>
      <c r="AJ304" s="87">
        <v>44288.497708333336</v>
      </c>
      <c r="AK304" s="85" t="str">
        <f>HYPERLINK("https://yt3.ggpht.com/ytc/AAUvwnhIRvF7nbfYMypZsS7WZGCgEcSKWcmJHiTBS6fC=s88-c-k-c0x00ffffff-no-rj")</f>
        <v>https://yt3.ggpht.com/ytc/AAUvwnhIRvF7nbfYMypZsS7WZGCgEcSKWcmJHiTBS6fC=s88-c-k-c0x00ffffff-no-rj</v>
      </c>
      <c r="AL304" s="80">
        <v>0</v>
      </c>
      <c r="AM304" s="80">
        <v>0</v>
      </c>
      <c r="AN304" s="80">
        <v>2</v>
      </c>
      <c r="AO304" s="80" t="b">
        <v>0</v>
      </c>
      <c r="AP304" s="80">
        <v>0</v>
      </c>
      <c r="AQ304" s="80"/>
      <c r="AR304" s="80"/>
      <c r="AS304" s="80" t="s">
        <v>2664</v>
      </c>
      <c r="AT304" s="85" t="str">
        <f>HYPERLINK("https://www.youtube.com/channel/UCUDtZqrtk59W9NYBMVzLfEw")</f>
        <v>https://www.youtube.com/channel/UCUDtZqrtk59W9NYBMVzLfEw</v>
      </c>
      <c r="AU304" s="80" t="str">
        <f>REPLACE(INDEX(GroupVertices[Group],MATCH(Vertices[[#This Row],[Vertex]],GroupVertices[Vertex],0)),1,1,"")</f>
        <v>10</v>
      </c>
      <c r="AV304" s="49">
        <v>1</v>
      </c>
      <c r="AW304" s="50">
        <v>2.7777777777777777</v>
      </c>
      <c r="AX304" s="49">
        <v>4</v>
      </c>
      <c r="AY304" s="50">
        <v>11.11111111111111</v>
      </c>
      <c r="AZ304" s="49">
        <v>0</v>
      </c>
      <c r="BA304" s="50">
        <v>0</v>
      </c>
      <c r="BB304" s="49">
        <v>31</v>
      </c>
      <c r="BC304" s="50">
        <v>86.11111111111111</v>
      </c>
      <c r="BD304" s="49">
        <v>36</v>
      </c>
      <c r="BE304" s="49"/>
      <c r="BF304" s="49"/>
      <c r="BG304" s="49"/>
      <c r="BH304" s="49"/>
      <c r="BI304" s="49"/>
      <c r="BJ304" s="49"/>
      <c r="BK304" s="111" t="s">
        <v>3898</v>
      </c>
      <c r="BL304" s="111" t="s">
        <v>3898</v>
      </c>
      <c r="BM304" s="111" t="s">
        <v>4362</v>
      </c>
      <c r="BN304" s="111" t="s">
        <v>4362</v>
      </c>
      <c r="BO304" s="2"/>
      <c r="BP304" s="3"/>
      <c r="BQ304" s="3"/>
      <c r="BR304" s="3"/>
      <c r="BS304" s="3"/>
    </row>
    <row r="305" spans="1:71" ht="15">
      <c r="A305" s="65" t="s">
        <v>506</v>
      </c>
      <c r="B305" s="66"/>
      <c r="C305" s="66"/>
      <c r="D305" s="67">
        <v>150</v>
      </c>
      <c r="E305" s="69"/>
      <c r="F305" s="103" t="str">
        <f>HYPERLINK("https://yt3.ggpht.com/ytc/AAUvwnjvtdceKDo7MNB9G3mNJE2Zv5KskfKsCb2vIiWpbQ=s88-c-k-c0x00ffffff-no-rj")</f>
        <v>https://yt3.ggpht.com/ytc/AAUvwnjvtdceKDo7MNB9G3mNJE2Zv5KskfKsCb2vIiWpbQ=s88-c-k-c0x00ffffff-no-rj</v>
      </c>
      <c r="G305" s="66"/>
      <c r="H305" s="70" t="s">
        <v>1865</v>
      </c>
      <c r="I305" s="71"/>
      <c r="J305" s="71" t="s">
        <v>159</v>
      </c>
      <c r="K305" s="70" t="s">
        <v>1865</v>
      </c>
      <c r="L305" s="74">
        <v>1</v>
      </c>
      <c r="M305" s="75">
        <v>8719.92578125</v>
      </c>
      <c r="N305" s="75">
        <v>3130.067138671875</v>
      </c>
      <c r="O305" s="76"/>
      <c r="P305" s="77"/>
      <c r="Q305" s="77"/>
      <c r="R305" s="89"/>
      <c r="S305" s="49">
        <v>0</v>
      </c>
      <c r="T305" s="49">
        <v>1</v>
      </c>
      <c r="U305" s="50">
        <v>0</v>
      </c>
      <c r="V305" s="50">
        <v>0.027778</v>
      </c>
      <c r="W305" s="50">
        <v>0</v>
      </c>
      <c r="X305" s="50">
        <v>0.53388</v>
      </c>
      <c r="Y305" s="50">
        <v>0</v>
      </c>
      <c r="Z305" s="50">
        <v>0</v>
      </c>
      <c r="AA305" s="72">
        <v>305</v>
      </c>
      <c r="AB305" s="72"/>
      <c r="AC305" s="73"/>
      <c r="AD305" s="80" t="s">
        <v>1865</v>
      </c>
      <c r="AE305" s="80"/>
      <c r="AF305" s="80"/>
      <c r="AG305" s="80"/>
      <c r="AH305" s="80"/>
      <c r="AI305" s="80"/>
      <c r="AJ305" s="87">
        <v>41880.49984953704</v>
      </c>
      <c r="AK305" s="85" t="str">
        <f>HYPERLINK("https://yt3.ggpht.com/ytc/AAUvwnjvtdceKDo7MNB9G3mNJE2Zv5KskfKsCb2vIiWpbQ=s88-c-k-c0x00ffffff-no-rj")</f>
        <v>https://yt3.ggpht.com/ytc/AAUvwnjvtdceKDo7MNB9G3mNJE2Zv5KskfKsCb2vIiWpbQ=s88-c-k-c0x00ffffff-no-rj</v>
      </c>
      <c r="AL305" s="80">
        <v>0</v>
      </c>
      <c r="AM305" s="80">
        <v>0</v>
      </c>
      <c r="AN305" s="80">
        <v>0</v>
      </c>
      <c r="AO305" s="80" t="b">
        <v>0</v>
      </c>
      <c r="AP305" s="80">
        <v>0</v>
      </c>
      <c r="AQ305" s="80"/>
      <c r="AR305" s="80"/>
      <c r="AS305" s="80" t="s">
        <v>2664</v>
      </c>
      <c r="AT305" s="85" t="str">
        <f>HYPERLINK("https://www.youtube.com/channel/UCUOSzv2bpjlN9dUF6AVGzlQ")</f>
        <v>https://www.youtube.com/channel/UCUOSzv2bpjlN9dUF6AVGzlQ</v>
      </c>
      <c r="AU305" s="80" t="str">
        <f>REPLACE(INDEX(GroupVertices[Group],MATCH(Vertices[[#This Row],[Vertex]],GroupVertices[Vertex],0)),1,1,"")</f>
        <v>11</v>
      </c>
      <c r="AV305" s="49">
        <v>1</v>
      </c>
      <c r="AW305" s="50">
        <v>50</v>
      </c>
      <c r="AX305" s="49">
        <v>0</v>
      </c>
      <c r="AY305" s="50">
        <v>0</v>
      </c>
      <c r="AZ305" s="49">
        <v>0</v>
      </c>
      <c r="BA305" s="50">
        <v>0</v>
      </c>
      <c r="BB305" s="49">
        <v>1</v>
      </c>
      <c r="BC305" s="50">
        <v>50</v>
      </c>
      <c r="BD305" s="49">
        <v>2</v>
      </c>
      <c r="BE305" s="49"/>
      <c r="BF305" s="49"/>
      <c r="BG305" s="49"/>
      <c r="BH305" s="49"/>
      <c r="BI305" s="49"/>
      <c r="BJ305" s="49"/>
      <c r="BK305" s="111" t="s">
        <v>2390</v>
      </c>
      <c r="BL305" s="111" t="s">
        <v>2390</v>
      </c>
      <c r="BM305" s="111" t="s">
        <v>2390</v>
      </c>
      <c r="BN305" s="111" t="s">
        <v>2390</v>
      </c>
      <c r="BO305" s="2"/>
      <c r="BP305" s="3"/>
      <c r="BQ305" s="3"/>
      <c r="BR305" s="3"/>
      <c r="BS305" s="3"/>
    </row>
    <row r="306" spans="1:71" ht="15">
      <c r="A306" s="65" t="s">
        <v>835</v>
      </c>
      <c r="B306" s="66"/>
      <c r="C306" s="66"/>
      <c r="D306" s="67">
        <v>1000</v>
      </c>
      <c r="E306" s="69"/>
      <c r="F306" s="103" t="str">
        <f>HYPERLINK("https://yt3.ggpht.com/ytc/AAUvwniZpWilkjcTtBnLl7yoqJifc9BTCdesw-82jkQHZw=s88-c-k-c0x00ffffff-no-rj")</f>
        <v>https://yt3.ggpht.com/ytc/AAUvwniZpWilkjcTtBnLl7yoqJifc9BTCdesw-82jkQHZw=s88-c-k-c0x00ffffff-no-rj</v>
      </c>
      <c r="G306" s="66"/>
      <c r="H306" s="70" t="s">
        <v>2183</v>
      </c>
      <c r="I306" s="71"/>
      <c r="J306" s="71" t="s">
        <v>75</v>
      </c>
      <c r="K306" s="70" t="s">
        <v>2183</v>
      </c>
      <c r="L306" s="74">
        <v>1714.942857142857</v>
      </c>
      <c r="M306" s="75">
        <v>8062.39794921875</v>
      </c>
      <c r="N306" s="75">
        <v>3471.305908203125</v>
      </c>
      <c r="O306" s="76"/>
      <c r="P306" s="77"/>
      <c r="Q306" s="77"/>
      <c r="R306" s="89"/>
      <c r="S306" s="49">
        <v>18</v>
      </c>
      <c r="T306" s="49">
        <v>1</v>
      </c>
      <c r="U306" s="50">
        <v>300</v>
      </c>
      <c r="V306" s="50">
        <v>0.052632</v>
      </c>
      <c r="W306" s="50">
        <v>0</v>
      </c>
      <c r="X306" s="50">
        <v>8.12922</v>
      </c>
      <c r="Y306" s="50">
        <v>0.003676470588235294</v>
      </c>
      <c r="Z306" s="50">
        <v>0</v>
      </c>
      <c r="AA306" s="72">
        <v>306</v>
      </c>
      <c r="AB306" s="72"/>
      <c r="AC306" s="73"/>
      <c r="AD306" s="80" t="s">
        <v>2183</v>
      </c>
      <c r="AE306" s="80" t="s">
        <v>2519</v>
      </c>
      <c r="AF306" s="80"/>
      <c r="AG306" s="80"/>
      <c r="AH306" s="80"/>
      <c r="AI306" s="80" t="s">
        <v>2639</v>
      </c>
      <c r="AJ306" s="87">
        <v>42177.66707175926</v>
      </c>
      <c r="AK306" s="85" t="str">
        <f>HYPERLINK("https://yt3.ggpht.com/ytc/AAUvwniZpWilkjcTtBnLl7yoqJifc9BTCdesw-82jkQHZw=s88-c-k-c0x00ffffff-no-rj")</f>
        <v>https://yt3.ggpht.com/ytc/AAUvwniZpWilkjcTtBnLl7yoqJifc9BTCdesw-82jkQHZw=s88-c-k-c0x00ffffff-no-rj</v>
      </c>
      <c r="AL306" s="80">
        <v>1885344383</v>
      </c>
      <c r="AM306" s="80">
        <v>0</v>
      </c>
      <c r="AN306" s="80">
        <v>9830000</v>
      </c>
      <c r="AO306" s="80" t="b">
        <v>0</v>
      </c>
      <c r="AP306" s="80">
        <v>24849</v>
      </c>
      <c r="AQ306" s="80"/>
      <c r="AR306" s="80"/>
      <c r="AS306" s="80" t="s">
        <v>2664</v>
      </c>
      <c r="AT306" s="85" t="str">
        <f>HYPERLINK("https://www.youtube.com/channel/UCrC8mOqJQpoB7NuIMKIS6rQ")</f>
        <v>https://www.youtube.com/channel/UCrC8mOqJQpoB7NuIMKIS6rQ</v>
      </c>
      <c r="AU306" s="80" t="str">
        <f>REPLACE(INDEX(GroupVertices[Group],MATCH(Vertices[[#This Row],[Vertex]],GroupVertices[Vertex],0)),1,1,"")</f>
        <v>11</v>
      </c>
      <c r="AV306" s="49">
        <v>2</v>
      </c>
      <c r="AW306" s="50">
        <v>1.7391304347826086</v>
      </c>
      <c r="AX306" s="49">
        <v>1</v>
      </c>
      <c r="AY306" s="50">
        <v>0.8695652173913043</v>
      </c>
      <c r="AZ306" s="49">
        <v>0</v>
      </c>
      <c r="BA306" s="50">
        <v>0</v>
      </c>
      <c r="BB306" s="49">
        <v>112</v>
      </c>
      <c r="BC306" s="50">
        <v>97.3913043478261</v>
      </c>
      <c r="BD306" s="49">
        <v>115</v>
      </c>
      <c r="BE306" s="49" t="s">
        <v>3660</v>
      </c>
      <c r="BF306" s="49" t="s">
        <v>3660</v>
      </c>
      <c r="BG306" s="49" t="s">
        <v>3666</v>
      </c>
      <c r="BH306" s="49" t="s">
        <v>3666</v>
      </c>
      <c r="BI306" s="49"/>
      <c r="BJ306" s="49"/>
      <c r="BK306" s="111" t="s">
        <v>3899</v>
      </c>
      <c r="BL306" s="111" t="s">
        <v>3899</v>
      </c>
      <c r="BM306" s="111" t="s">
        <v>4363</v>
      </c>
      <c r="BN306" s="111" t="s">
        <v>4363</v>
      </c>
      <c r="BO306" s="2"/>
      <c r="BP306" s="3"/>
      <c r="BQ306" s="3"/>
      <c r="BR306" s="3"/>
      <c r="BS306" s="3"/>
    </row>
    <row r="307" spans="1:71" ht="15">
      <c r="A307" s="65" t="s">
        <v>507</v>
      </c>
      <c r="B307" s="66"/>
      <c r="C307" s="66"/>
      <c r="D307" s="67">
        <v>291.66666666666663</v>
      </c>
      <c r="E307" s="69"/>
      <c r="F307" s="103" t="str">
        <f>HYPERLINK("https://yt3.ggpht.com/ytc/AAUvwniXxjEPEP8ExojGL5TOMS5Z0eJddUh5Y47ADA=s88-c-k-c0x00ffffff-no-rj")</f>
        <v>https://yt3.ggpht.com/ytc/AAUvwniXxjEPEP8ExojGL5TOMS5Z0eJddUh5Y47ADA=s88-c-k-c0x00ffffff-no-rj</v>
      </c>
      <c r="G307" s="66"/>
      <c r="H307" s="70" t="s">
        <v>1866</v>
      </c>
      <c r="I307" s="71"/>
      <c r="J307" s="71" t="s">
        <v>159</v>
      </c>
      <c r="K307" s="70" t="s">
        <v>1866</v>
      </c>
      <c r="L307" s="74">
        <v>96.21904761904761</v>
      </c>
      <c r="M307" s="75">
        <v>7495.8232421875</v>
      </c>
      <c r="N307" s="75">
        <v>3896.6884765625</v>
      </c>
      <c r="O307" s="76"/>
      <c r="P307" s="77"/>
      <c r="Q307" s="77"/>
      <c r="R307" s="89"/>
      <c r="S307" s="49">
        <v>1</v>
      </c>
      <c r="T307" s="49">
        <v>2</v>
      </c>
      <c r="U307" s="50">
        <v>34</v>
      </c>
      <c r="V307" s="50">
        <v>0.030303</v>
      </c>
      <c r="W307" s="50">
        <v>0</v>
      </c>
      <c r="X307" s="50">
        <v>1.390651</v>
      </c>
      <c r="Y307" s="50">
        <v>0.16666666666666666</v>
      </c>
      <c r="Z307" s="50">
        <v>0</v>
      </c>
      <c r="AA307" s="72">
        <v>307</v>
      </c>
      <c r="AB307" s="72"/>
      <c r="AC307" s="73"/>
      <c r="AD307" s="80" t="s">
        <v>1866</v>
      </c>
      <c r="AE307" s="80"/>
      <c r="AF307" s="80"/>
      <c r="AG307" s="80"/>
      <c r="AH307" s="80"/>
      <c r="AI307" s="80"/>
      <c r="AJ307" s="87">
        <v>42436.83327546297</v>
      </c>
      <c r="AK307" s="85" t="str">
        <f>HYPERLINK("https://yt3.ggpht.com/ytc/AAUvwniXxjEPEP8ExojGL5TOMS5Z0eJddUh5Y47ADA=s88-c-k-c0x00ffffff-no-rj")</f>
        <v>https://yt3.ggpht.com/ytc/AAUvwniXxjEPEP8ExojGL5TOMS5Z0eJddUh5Y47ADA=s88-c-k-c0x00ffffff-no-rj</v>
      </c>
      <c r="AL307" s="80">
        <v>0</v>
      </c>
      <c r="AM307" s="80">
        <v>0</v>
      </c>
      <c r="AN307" s="80">
        <v>3</v>
      </c>
      <c r="AO307" s="80" t="b">
        <v>0</v>
      </c>
      <c r="AP307" s="80">
        <v>0</v>
      </c>
      <c r="AQ307" s="80"/>
      <c r="AR307" s="80"/>
      <c r="AS307" s="80" t="s">
        <v>2664</v>
      </c>
      <c r="AT307" s="85" t="str">
        <f>HYPERLINK("https://www.youtube.com/channel/UCZUtl9CB3LvYHTFIQ7rkMPQ")</f>
        <v>https://www.youtube.com/channel/UCZUtl9CB3LvYHTFIQ7rkMPQ</v>
      </c>
      <c r="AU307" s="80" t="str">
        <f>REPLACE(INDEX(GroupVertices[Group],MATCH(Vertices[[#This Row],[Vertex]],GroupVertices[Vertex],0)),1,1,"")</f>
        <v>11</v>
      </c>
      <c r="AV307" s="49">
        <v>3</v>
      </c>
      <c r="AW307" s="50">
        <v>3.9473684210526314</v>
      </c>
      <c r="AX307" s="49">
        <v>2</v>
      </c>
      <c r="AY307" s="50">
        <v>2.6315789473684212</v>
      </c>
      <c r="AZ307" s="49">
        <v>0</v>
      </c>
      <c r="BA307" s="50">
        <v>0</v>
      </c>
      <c r="BB307" s="49">
        <v>71</v>
      </c>
      <c r="BC307" s="50">
        <v>93.42105263157895</v>
      </c>
      <c r="BD307" s="49">
        <v>76</v>
      </c>
      <c r="BE307" s="49" t="s">
        <v>3661</v>
      </c>
      <c r="BF307" s="49" t="s">
        <v>3661</v>
      </c>
      <c r="BG307" s="49" t="s">
        <v>2379</v>
      </c>
      <c r="BH307" s="49" t="s">
        <v>2379</v>
      </c>
      <c r="BI307" s="49"/>
      <c r="BJ307" s="49"/>
      <c r="BK307" s="111" t="s">
        <v>3900</v>
      </c>
      <c r="BL307" s="111" t="s">
        <v>3900</v>
      </c>
      <c r="BM307" s="111" t="s">
        <v>4364</v>
      </c>
      <c r="BN307" s="111" t="s">
        <v>4364</v>
      </c>
      <c r="BO307" s="2"/>
      <c r="BP307" s="3"/>
      <c r="BQ307" s="3"/>
      <c r="BR307" s="3"/>
      <c r="BS307" s="3"/>
    </row>
    <row r="308" spans="1:71" ht="15">
      <c r="A308" s="65" t="s">
        <v>508</v>
      </c>
      <c r="B308" s="66"/>
      <c r="C308" s="66"/>
      <c r="D308" s="67">
        <v>291.66666666666663</v>
      </c>
      <c r="E308" s="69"/>
      <c r="F308" s="103" t="str">
        <f>HYPERLINK("https://yt3.ggpht.com/ytc/AAUvwniwhRXeuGK-ArN965X1ePtspHJChPiBkL_ZHtgBrQ=s88-c-k-c0x00ffffff-no-rj")</f>
        <v>https://yt3.ggpht.com/ytc/AAUvwniwhRXeuGK-ArN965X1ePtspHJChPiBkL_ZHtgBrQ=s88-c-k-c0x00ffffff-no-rj</v>
      </c>
      <c r="G308" s="66"/>
      <c r="H308" s="70" t="s">
        <v>1867</v>
      </c>
      <c r="I308" s="71"/>
      <c r="J308" s="71" t="s">
        <v>159</v>
      </c>
      <c r="K308" s="70" t="s">
        <v>1867</v>
      </c>
      <c r="L308" s="74">
        <v>96.21904761904761</v>
      </c>
      <c r="M308" s="75">
        <v>7778.15283203125</v>
      </c>
      <c r="N308" s="75">
        <v>3925.249755859375</v>
      </c>
      <c r="O308" s="76"/>
      <c r="P308" s="77"/>
      <c r="Q308" s="77"/>
      <c r="R308" s="89"/>
      <c r="S308" s="49">
        <v>1</v>
      </c>
      <c r="T308" s="49">
        <v>1</v>
      </c>
      <c r="U308" s="50">
        <v>0</v>
      </c>
      <c r="V308" s="50">
        <v>0.029412</v>
      </c>
      <c r="W308" s="50">
        <v>0</v>
      </c>
      <c r="X308" s="50">
        <v>0.927898</v>
      </c>
      <c r="Y308" s="50">
        <v>0.5</v>
      </c>
      <c r="Z308" s="50">
        <v>0</v>
      </c>
      <c r="AA308" s="72">
        <v>308</v>
      </c>
      <c r="AB308" s="72"/>
      <c r="AC308" s="73"/>
      <c r="AD308" s="80" t="s">
        <v>1867</v>
      </c>
      <c r="AE308" s="80"/>
      <c r="AF308" s="80"/>
      <c r="AG308" s="80"/>
      <c r="AH308" s="80"/>
      <c r="AI308" s="80"/>
      <c r="AJ308" s="87">
        <v>41088.56760416667</v>
      </c>
      <c r="AK308" s="85" t="str">
        <f>HYPERLINK("https://yt3.ggpht.com/ytc/AAUvwniwhRXeuGK-ArN965X1ePtspHJChPiBkL_ZHtgBrQ=s88-c-k-c0x00ffffff-no-rj")</f>
        <v>https://yt3.ggpht.com/ytc/AAUvwniwhRXeuGK-ArN965X1ePtspHJChPiBkL_ZHtgBrQ=s88-c-k-c0x00ffffff-no-rj</v>
      </c>
      <c r="AL308" s="80">
        <v>0</v>
      </c>
      <c r="AM308" s="80">
        <v>0</v>
      </c>
      <c r="AN308" s="80">
        <v>0</v>
      </c>
      <c r="AO308" s="80" t="b">
        <v>0</v>
      </c>
      <c r="AP308" s="80">
        <v>0</v>
      </c>
      <c r="AQ308" s="80"/>
      <c r="AR308" s="80"/>
      <c r="AS308" s="80" t="s">
        <v>2664</v>
      </c>
      <c r="AT308" s="85" t="str">
        <f>HYPERLINK("https://www.youtube.com/channel/UCe6oxU_T8mj_K-r5deB1Mkg")</f>
        <v>https://www.youtube.com/channel/UCe6oxU_T8mj_K-r5deB1Mkg</v>
      </c>
      <c r="AU308" s="80" t="str">
        <f>REPLACE(INDEX(GroupVertices[Group],MATCH(Vertices[[#This Row],[Vertex]],GroupVertices[Vertex],0)),1,1,"")</f>
        <v>11</v>
      </c>
      <c r="AV308" s="49">
        <v>0</v>
      </c>
      <c r="AW308" s="50">
        <v>0</v>
      </c>
      <c r="AX308" s="49">
        <v>0</v>
      </c>
      <c r="AY308" s="50">
        <v>0</v>
      </c>
      <c r="AZ308" s="49">
        <v>0</v>
      </c>
      <c r="BA308" s="50">
        <v>0</v>
      </c>
      <c r="BB308" s="49">
        <v>5</v>
      </c>
      <c r="BC308" s="50">
        <v>100</v>
      </c>
      <c r="BD308" s="49">
        <v>5</v>
      </c>
      <c r="BE308" s="49"/>
      <c r="BF308" s="49"/>
      <c r="BG308" s="49"/>
      <c r="BH308" s="49"/>
      <c r="BI308" s="49"/>
      <c r="BJ308" s="49"/>
      <c r="BK308" s="111" t="s">
        <v>3901</v>
      </c>
      <c r="BL308" s="111" t="s">
        <v>3901</v>
      </c>
      <c r="BM308" s="111" t="s">
        <v>4365</v>
      </c>
      <c r="BN308" s="111" t="s">
        <v>4365</v>
      </c>
      <c r="BO308" s="2"/>
      <c r="BP308" s="3"/>
      <c r="BQ308" s="3"/>
      <c r="BR308" s="3"/>
      <c r="BS308" s="3"/>
    </row>
    <row r="309" spans="1:71" ht="15">
      <c r="A309" s="65" t="s">
        <v>509</v>
      </c>
      <c r="B309" s="66"/>
      <c r="C309" s="66"/>
      <c r="D309" s="67">
        <v>150</v>
      </c>
      <c r="E309" s="69"/>
      <c r="F309" s="103" t="str">
        <f>HYPERLINK("https://yt3.ggpht.com/ytc/AAUvwnjxwBmfTpmy1g-x4lJRdBOD_SVVmMaqC2uJcJrZ=s88-c-k-c0x00ffffff-no-rj")</f>
        <v>https://yt3.ggpht.com/ytc/AAUvwnjxwBmfTpmy1g-x4lJRdBOD_SVVmMaqC2uJcJrZ=s88-c-k-c0x00ffffff-no-rj</v>
      </c>
      <c r="G309" s="66"/>
      <c r="H309" s="70" t="s">
        <v>1868</v>
      </c>
      <c r="I309" s="71"/>
      <c r="J309" s="71" t="s">
        <v>159</v>
      </c>
      <c r="K309" s="70" t="s">
        <v>1868</v>
      </c>
      <c r="L309" s="74">
        <v>1</v>
      </c>
      <c r="M309" s="75">
        <v>7467.734375</v>
      </c>
      <c r="N309" s="75">
        <v>3594.329833984375</v>
      </c>
      <c r="O309" s="76"/>
      <c r="P309" s="77"/>
      <c r="Q309" s="77"/>
      <c r="R309" s="89"/>
      <c r="S309" s="49">
        <v>0</v>
      </c>
      <c r="T309" s="49">
        <v>1</v>
      </c>
      <c r="U309" s="50">
        <v>0</v>
      </c>
      <c r="V309" s="50">
        <v>0.027778</v>
      </c>
      <c r="W309" s="50">
        <v>0</v>
      </c>
      <c r="X309" s="50">
        <v>0.53388</v>
      </c>
      <c r="Y309" s="50">
        <v>0</v>
      </c>
      <c r="Z309" s="50">
        <v>0</v>
      </c>
      <c r="AA309" s="72">
        <v>309</v>
      </c>
      <c r="AB309" s="72"/>
      <c r="AC309" s="73"/>
      <c r="AD309" s="80" t="s">
        <v>1868</v>
      </c>
      <c r="AE309" s="80" t="s">
        <v>2520</v>
      </c>
      <c r="AF309" s="80"/>
      <c r="AG309" s="80"/>
      <c r="AH309" s="80"/>
      <c r="AI309" s="80"/>
      <c r="AJ309" s="87">
        <v>42791.58217592593</v>
      </c>
      <c r="AK309" s="85" t="str">
        <f>HYPERLINK("https://yt3.ggpht.com/ytc/AAUvwnjxwBmfTpmy1g-x4lJRdBOD_SVVmMaqC2uJcJrZ=s88-c-k-c0x00ffffff-no-rj")</f>
        <v>https://yt3.ggpht.com/ytc/AAUvwnjxwBmfTpmy1g-x4lJRdBOD_SVVmMaqC2uJcJrZ=s88-c-k-c0x00ffffff-no-rj</v>
      </c>
      <c r="AL309" s="80">
        <v>0</v>
      </c>
      <c r="AM309" s="80">
        <v>0</v>
      </c>
      <c r="AN309" s="80">
        <v>5</v>
      </c>
      <c r="AO309" s="80" t="b">
        <v>0</v>
      </c>
      <c r="AP309" s="80">
        <v>0</v>
      </c>
      <c r="AQ309" s="80"/>
      <c r="AR309" s="80"/>
      <c r="AS309" s="80" t="s">
        <v>2664</v>
      </c>
      <c r="AT309" s="85" t="str">
        <f>HYPERLINK("https://www.youtube.com/channel/UC6_tiK1bj4l8UmfrAcCuV1Q")</f>
        <v>https://www.youtube.com/channel/UC6_tiK1bj4l8UmfrAcCuV1Q</v>
      </c>
      <c r="AU309" s="80" t="str">
        <f>REPLACE(INDEX(GroupVertices[Group],MATCH(Vertices[[#This Row],[Vertex]],GroupVertices[Vertex],0)),1,1,"")</f>
        <v>11</v>
      </c>
      <c r="AV309" s="49">
        <v>0</v>
      </c>
      <c r="AW309" s="50">
        <v>0</v>
      </c>
      <c r="AX309" s="49">
        <v>0</v>
      </c>
      <c r="AY309" s="50">
        <v>0</v>
      </c>
      <c r="AZ309" s="49">
        <v>0</v>
      </c>
      <c r="BA309" s="50">
        <v>0</v>
      </c>
      <c r="BB309" s="49">
        <v>3</v>
      </c>
      <c r="BC309" s="50">
        <v>100</v>
      </c>
      <c r="BD309" s="49">
        <v>3</v>
      </c>
      <c r="BE309" s="49"/>
      <c r="BF309" s="49"/>
      <c r="BG309" s="49"/>
      <c r="BH309" s="49"/>
      <c r="BI309" s="49"/>
      <c r="BJ309" s="49"/>
      <c r="BK309" s="111" t="s">
        <v>3902</v>
      </c>
      <c r="BL309" s="111" t="s">
        <v>3902</v>
      </c>
      <c r="BM309" s="111" t="s">
        <v>4366</v>
      </c>
      <c r="BN309" s="111" t="s">
        <v>4366</v>
      </c>
      <c r="BO309" s="2"/>
      <c r="BP309" s="3"/>
      <c r="BQ309" s="3"/>
      <c r="BR309" s="3"/>
      <c r="BS309" s="3"/>
    </row>
    <row r="310" spans="1:71" ht="15">
      <c r="A310" s="65" t="s">
        <v>510</v>
      </c>
      <c r="B310" s="66"/>
      <c r="C310" s="66"/>
      <c r="D310" s="67">
        <v>150</v>
      </c>
      <c r="E310" s="69"/>
      <c r="F310" s="103" t="str">
        <f>HYPERLINK("https://yt3.ggpht.com/ytc/AAUvwnj-5Zdnoj6DWPaJOOBYaUj-aXQ3-tBdNbh21Hsf=s88-c-k-c0x00ffffff-no-rj")</f>
        <v>https://yt3.ggpht.com/ytc/AAUvwnj-5Zdnoj6DWPaJOOBYaUj-aXQ3-tBdNbh21Hsf=s88-c-k-c0x00ffffff-no-rj</v>
      </c>
      <c r="G310" s="66"/>
      <c r="H310" s="70" t="s">
        <v>1869</v>
      </c>
      <c r="I310" s="71"/>
      <c r="J310" s="71" t="s">
        <v>159</v>
      </c>
      <c r="K310" s="70" t="s">
        <v>1869</v>
      </c>
      <c r="L310" s="74">
        <v>1</v>
      </c>
      <c r="M310" s="75">
        <v>8402.796875</v>
      </c>
      <c r="N310" s="75">
        <v>2930.63720703125</v>
      </c>
      <c r="O310" s="76"/>
      <c r="P310" s="77"/>
      <c r="Q310" s="77"/>
      <c r="R310" s="89"/>
      <c r="S310" s="49">
        <v>0</v>
      </c>
      <c r="T310" s="49">
        <v>1</v>
      </c>
      <c r="U310" s="50">
        <v>0</v>
      </c>
      <c r="V310" s="50">
        <v>0.027778</v>
      </c>
      <c r="W310" s="50">
        <v>0</v>
      </c>
      <c r="X310" s="50">
        <v>0.53388</v>
      </c>
      <c r="Y310" s="50">
        <v>0</v>
      </c>
      <c r="Z310" s="50">
        <v>0</v>
      </c>
      <c r="AA310" s="72">
        <v>310</v>
      </c>
      <c r="AB310" s="72"/>
      <c r="AC310" s="73"/>
      <c r="AD310" s="80" t="s">
        <v>1869</v>
      </c>
      <c r="AE310" s="80"/>
      <c r="AF310" s="80"/>
      <c r="AG310" s="80"/>
      <c r="AH310" s="80"/>
      <c r="AI310" s="80"/>
      <c r="AJ310" s="87">
        <v>43816.754837962966</v>
      </c>
      <c r="AK310" s="85" t="str">
        <f>HYPERLINK("https://yt3.ggpht.com/ytc/AAUvwnj-5Zdnoj6DWPaJOOBYaUj-aXQ3-tBdNbh21Hsf=s88-c-k-c0x00ffffff-no-rj")</f>
        <v>https://yt3.ggpht.com/ytc/AAUvwnj-5Zdnoj6DWPaJOOBYaUj-aXQ3-tBdNbh21Hsf=s88-c-k-c0x00ffffff-no-rj</v>
      </c>
      <c r="AL310" s="80">
        <v>0</v>
      </c>
      <c r="AM310" s="80">
        <v>0</v>
      </c>
      <c r="AN310" s="80">
        <v>0</v>
      </c>
      <c r="AO310" s="80" t="b">
        <v>0</v>
      </c>
      <c r="AP310" s="80">
        <v>0</v>
      </c>
      <c r="AQ310" s="80"/>
      <c r="AR310" s="80"/>
      <c r="AS310" s="80" t="s">
        <v>2664</v>
      </c>
      <c r="AT310" s="85" t="str">
        <f>HYPERLINK("https://www.youtube.com/channel/UClBN0jShxrWa70rM-9O6dCQ")</f>
        <v>https://www.youtube.com/channel/UClBN0jShxrWa70rM-9O6dCQ</v>
      </c>
      <c r="AU310" s="80" t="str">
        <f>REPLACE(INDEX(GroupVertices[Group],MATCH(Vertices[[#This Row],[Vertex]],GroupVertices[Vertex],0)),1,1,"")</f>
        <v>11</v>
      </c>
      <c r="AV310" s="49">
        <v>0</v>
      </c>
      <c r="AW310" s="50">
        <v>0</v>
      </c>
      <c r="AX310" s="49">
        <v>0</v>
      </c>
      <c r="AY310" s="50">
        <v>0</v>
      </c>
      <c r="AZ310" s="49">
        <v>0</v>
      </c>
      <c r="BA310" s="50">
        <v>0</v>
      </c>
      <c r="BB310" s="49">
        <v>2</v>
      </c>
      <c r="BC310" s="50">
        <v>100</v>
      </c>
      <c r="BD310" s="49">
        <v>2</v>
      </c>
      <c r="BE310" s="49"/>
      <c r="BF310" s="49"/>
      <c r="BG310" s="49"/>
      <c r="BH310" s="49"/>
      <c r="BI310" s="49"/>
      <c r="BJ310" s="49"/>
      <c r="BK310" s="111" t="s">
        <v>2716</v>
      </c>
      <c r="BL310" s="111" t="s">
        <v>2716</v>
      </c>
      <c r="BM310" s="111" t="s">
        <v>2390</v>
      </c>
      <c r="BN310" s="111" t="s">
        <v>2390</v>
      </c>
      <c r="BO310" s="2"/>
      <c r="BP310" s="3"/>
      <c r="BQ310" s="3"/>
      <c r="BR310" s="3"/>
      <c r="BS310" s="3"/>
    </row>
    <row r="311" spans="1:71" ht="15">
      <c r="A311" s="65" t="s">
        <v>511</v>
      </c>
      <c r="B311" s="66"/>
      <c r="C311" s="66"/>
      <c r="D311" s="67">
        <v>150</v>
      </c>
      <c r="E311" s="69"/>
      <c r="F311" s="103" t="str">
        <f>HYPERLINK("https://yt3.ggpht.com/4MuLxMYCJxC6aTPb6Id89bUtaoOVMyyawcHzU6fCSBn7DVU1OXV4DeD33AtDaP_x-T_g1IT5hA=s88-c-k-c0x00ffffff-no-rj")</f>
        <v>https://yt3.ggpht.com/4MuLxMYCJxC6aTPb6Id89bUtaoOVMyyawcHzU6fCSBn7DVU1OXV4DeD33AtDaP_x-T_g1IT5hA=s88-c-k-c0x00ffffff-no-rj</v>
      </c>
      <c r="G311" s="66"/>
      <c r="H311" s="70" t="s">
        <v>1870</v>
      </c>
      <c r="I311" s="71"/>
      <c r="J311" s="71" t="s">
        <v>159</v>
      </c>
      <c r="K311" s="70" t="s">
        <v>1870</v>
      </c>
      <c r="L311" s="74">
        <v>1</v>
      </c>
      <c r="M311" s="75">
        <v>7246.10205078125</v>
      </c>
      <c r="N311" s="75">
        <v>3419.305908203125</v>
      </c>
      <c r="O311" s="76"/>
      <c r="P311" s="77"/>
      <c r="Q311" s="77"/>
      <c r="R311" s="89"/>
      <c r="S311" s="49">
        <v>0</v>
      </c>
      <c r="T311" s="49">
        <v>1</v>
      </c>
      <c r="U311" s="50">
        <v>0</v>
      </c>
      <c r="V311" s="50">
        <v>0.027778</v>
      </c>
      <c r="W311" s="50">
        <v>0</v>
      </c>
      <c r="X311" s="50">
        <v>0.53388</v>
      </c>
      <c r="Y311" s="50">
        <v>0</v>
      </c>
      <c r="Z311" s="50">
        <v>0</v>
      </c>
      <c r="AA311" s="72">
        <v>311</v>
      </c>
      <c r="AB311" s="72"/>
      <c r="AC311" s="73"/>
      <c r="AD311" s="80" t="s">
        <v>1870</v>
      </c>
      <c r="AE311" s="80"/>
      <c r="AF311" s="80"/>
      <c r="AG311" s="80"/>
      <c r="AH311" s="80"/>
      <c r="AI311" s="80"/>
      <c r="AJ311" s="87">
        <v>41537.723969907405</v>
      </c>
      <c r="AK311" s="85" t="str">
        <f>HYPERLINK("https://yt3.ggpht.com/4MuLxMYCJxC6aTPb6Id89bUtaoOVMyyawcHzU6fCSBn7DVU1OXV4DeD33AtDaP_x-T_g1IT5hA=s88-c-k-c0x00ffffff-no-rj")</f>
        <v>https://yt3.ggpht.com/4MuLxMYCJxC6aTPb6Id89bUtaoOVMyyawcHzU6fCSBn7DVU1OXV4DeD33AtDaP_x-T_g1IT5hA=s88-c-k-c0x00ffffff-no-rj</v>
      </c>
      <c r="AL311" s="80">
        <v>0</v>
      </c>
      <c r="AM311" s="80">
        <v>0</v>
      </c>
      <c r="AN311" s="80">
        <v>6</v>
      </c>
      <c r="AO311" s="80" t="b">
        <v>0</v>
      </c>
      <c r="AP311" s="80">
        <v>0</v>
      </c>
      <c r="AQ311" s="80"/>
      <c r="AR311" s="80"/>
      <c r="AS311" s="80" t="s">
        <v>2664</v>
      </c>
      <c r="AT311" s="85" t="str">
        <f>HYPERLINK("https://www.youtube.com/channel/UCb1r9sNaQG8VV2wmNcPlCHw")</f>
        <v>https://www.youtube.com/channel/UCb1r9sNaQG8VV2wmNcPlCHw</v>
      </c>
      <c r="AU311" s="80" t="str">
        <f>REPLACE(INDEX(GroupVertices[Group],MATCH(Vertices[[#This Row],[Vertex]],GroupVertices[Vertex],0)),1,1,"")</f>
        <v>11</v>
      </c>
      <c r="AV311" s="49">
        <v>0</v>
      </c>
      <c r="AW311" s="50">
        <v>0</v>
      </c>
      <c r="AX311" s="49">
        <v>0</v>
      </c>
      <c r="AY311" s="50">
        <v>0</v>
      </c>
      <c r="AZ311" s="49">
        <v>0</v>
      </c>
      <c r="BA311" s="50">
        <v>0</v>
      </c>
      <c r="BB311" s="49">
        <v>6</v>
      </c>
      <c r="BC311" s="50">
        <v>100</v>
      </c>
      <c r="BD311" s="49">
        <v>6</v>
      </c>
      <c r="BE311" s="49"/>
      <c r="BF311" s="49"/>
      <c r="BG311" s="49"/>
      <c r="BH311" s="49"/>
      <c r="BI311" s="49"/>
      <c r="BJ311" s="49"/>
      <c r="BK311" s="111" t="s">
        <v>3903</v>
      </c>
      <c r="BL311" s="111" t="s">
        <v>3903</v>
      </c>
      <c r="BM311" s="111" t="s">
        <v>4367</v>
      </c>
      <c r="BN311" s="111" t="s">
        <v>4367</v>
      </c>
      <c r="BO311" s="2"/>
      <c r="BP311" s="3"/>
      <c r="BQ311" s="3"/>
      <c r="BR311" s="3"/>
      <c r="BS311" s="3"/>
    </row>
    <row r="312" spans="1:71" ht="15">
      <c r="A312" s="65" t="s">
        <v>512</v>
      </c>
      <c r="B312" s="66"/>
      <c r="C312" s="66"/>
      <c r="D312" s="67">
        <v>150</v>
      </c>
      <c r="E312" s="69"/>
      <c r="F312" s="103" t="str">
        <f>HYPERLINK("https://yt3.ggpht.com/8Nr8op30TK0hmypJQB6klsYz_LDsOqNvE4TWR4IeBXqdXl9mTI5wj4ElXFrUdnrkNf3bzOmA1A=s88-c-k-c0x00ffffff-no-rj")</f>
        <v>https://yt3.ggpht.com/8Nr8op30TK0hmypJQB6klsYz_LDsOqNvE4TWR4IeBXqdXl9mTI5wj4ElXFrUdnrkNf3bzOmA1A=s88-c-k-c0x00ffffff-no-rj</v>
      </c>
      <c r="G312" s="66"/>
      <c r="H312" s="70" t="s">
        <v>1871</v>
      </c>
      <c r="I312" s="71"/>
      <c r="J312" s="71" t="s">
        <v>159</v>
      </c>
      <c r="K312" s="70" t="s">
        <v>1871</v>
      </c>
      <c r="L312" s="74">
        <v>1</v>
      </c>
      <c r="M312" s="75">
        <v>8603.5107421875</v>
      </c>
      <c r="N312" s="75">
        <v>3910.054443359375</v>
      </c>
      <c r="O312" s="76"/>
      <c r="P312" s="77"/>
      <c r="Q312" s="77"/>
      <c r="R312" s="89"/>
      <c r="S312" s="49">
        <v>0</v>
      </c>
      <c r="T312" s="49">
        <v>1</v>
      </c>
      <c r="U312" s="50">
        <v>0</v>
      </c>
      <c r="V312" s="50">
        <v>0.027778</v>
      </c>
      <c r="W312" s="50">
        <v>0</v>
      </c>
      <c r="X312" s="50">
        <v>0.53388</v>
      </c>
      <c r="Y312" s="50">
        <v>0</v>
      </c>
      <c r="Z312" s="50">
        <v>0</v>
      </c>
      <c r="AA312" s="72">
        <v>312</v>
      </c>
      <c r="AB312" s="72"/>
      <c r="AC312" s="73"/>
      <c r="AD312" s="80" t="s">
        <v>1871</v>
      </c>
      <c r="AE312" s="80"/>
      <c r="AF312" s="80"/>
      <c r="AG312" s="80"/>
      <c r="AH312" s="80"/>
      <c r="AI312" s="80"/>
      <c r="AJ312" s="87">
        <v>42807.29446759259</v>
      </c>
      <c r="AK312" s="85" t="str">
        <f>HYPERLINK("https://yt3.ggpht.com/8Nr8op30TK0hmypJQB6klsYz_LDsOqNvE4TWR4IeBXqdXl9mTI5wj4ElXFrUdnrkNf3bzOmA1A=s88-c-k-c0x00ffffff-no-rj")</f>
        <v>https://yt3.ggpht.com/8Nr8op30TK0hmypJQB6klsYz_LDsOqNvE4TWR4IeBXqdXl9mTI5wj4ElXFrUdnrkNf3bzOmA1A=s88-c-k-c0x00ffffff-no-rj</v>
      </c>
      <c r="AL312" s="80">
        <v>0</v>
      </c>
      <c r="AM312" s="80">
        <v>0</v>
      </c>
      <c r="AN312" s="80">
        <v>2</v>
      </c>
      <c r="AO312" s="80" t="b">
        <v>0</v>
      </c>
      <c r="AP312" s="80">
        <v>0</v>
      </c>
      <c r="AQ312" s="80"/>
      <c r="AR312" s="80"/>
      <c r="AS312" s="80" t="s">
        <v>2664</v>
      </c>
      <c r="AT312" s="85" t="str">
        <f>HYPERLINK("https://www.youtube.com/channel/UCH-CAPoK2f1La6ITUKe5xsQ")</f>
        <v>https://www.youtube.com/channel/UCH-CAPoK2f1La6ITUKe5xsQ</v>
      </c>
      <c r="AU312" s="80" t="str">
        <f>REPLACE(INDEX(GroupVertices[Group],MATCH(Vertices[[#This Row],[Vertex]],GroupVertices[Vertex],0)),1,1,"")</f>
        <v>11</v>
      </c>
      <c r="AV312" s="49">
        <v>0</v>
      </c>
      <c r="AW312" s="50">
        <v>0</v>
      </c>
      <c r="AX312" s="49">
        <v>0</v>
      </c>
      <c r="AY312" s="50">
        <v>0</v>
      </c>
      <c r="AZ312" s="49">
        <v>0</v>
      </c>
      <c r="BA312" s="50">
        <v>0</v>
      </c>
      <c r="BB312" s="49">
        <v>9</v>
      </c>
      <c r="BC312" s="50">
        <v>100</v>
      </c>
      <c r="BD312" s="49">
        <v>9</v>
      </c>
      <c r="BE312" s="49"/>
      <c r="BF312" s="49"/>
      <c r="BG312" s="49"/>
      <c r="BH312" s="49"/>
      <c r="BI312" s="49"/>
      <c r="BJ312" s="49"/>
      <c r="BK312" s="111" t="s">
        <v>3904</v>
      </c>
      <c r="BL312" s="111" t="s">
        <v>3904</v>
      </c>
      <c r="BM312" s="111" t="s">
        <v>4368</v>
      </c>
      <c r="BN312" s="111" t="s">
        <v>4368</v>
      </c>
      <c r="BO312" s="2"/>
      <c r="BP312" s="3"/>
      <c r="BQ312" s="3"/>
      <c r="BR312" s="3"/>
      <c r="BS312" s="3"/>
    </row>
    <row r="313" spans="1:71" ht="15">
      <c r="A313" s="65" t="s">
        <v>513</v>
      </c>
      <c r="B313" s="66"/>
      <c r="C313" s="66"/>
      <c r="D313" s="67">
        <v>150</v>
      </c>
      <c r="E313" s="69"/>
      <c r="F313" s="103" t="str">
        <f>HYPERLINK("https://yt3.ggpht.com/ytc/AAUvwnjrq4WrXA8irfPuqULGoN8Hli-tTIdrq14FEDB1Zw=s88-c-k-c0x00ffffff-no-rj")</f>
        <v>https://yt3.ggpht.com/ytc/AAUvwnjrq4WrXA8irfPuqULGoN8Hli-tTIdrq14FEDB1Zw=s88-c-k-c0x00ffffff-no-rj</v>
      </c>
      <c r="G313" s="66"/>
      <c r="H313" s="70" t="s">
        <v>1872</v>
      </c>
      <c r="I313" s="71"/>
      <c r="J313" s="71" t="s">
        <v>159</v>
      </c>
      <c r="K313" s="70" t="s">
        <v>1872</v>
      </c>
      <c r="L313" s="74">
        <v>1</v>
      </c>
      <c r="M313" s="75">
        <v>7358.646484375</v>
      </c>
      <c r="N313" s="75">
        <v>3152.260498046875</v>
      </c>
      <c r="O313" s="76"/>
      <c r="P313" s="77"/>
      <c r="Q313" s="77"/>
      <c r="R313" s="89"/>
      <c r="S313" s="49">
        <v>0</v>
      </c>
      <c r="T313" s="49">
        <v>1</v>
      </c>
      <c r="U313" s="50">
        <v>0</v>
      </c>
      <c r="V313" s="50">
        <v>0.027778</v>
      </c>
      <c r="W313" s="50">
        <v>0</v>
      </c>
      <c r="X313" s="50">
        <v>0.53388</v>
      </c>
      <c r="Y313" s="50">
        <v>0</v>
      </c>
      <c r="Z313" s="50">
        <v>0</v>
      </c>
      <c r="AA313" s="72">
        <v>313</v>
      </c>
      <c r="AB313" s="72"/>
      <c r="AC313" s="73"/>
      <c r="AD313" s="80" t="s">
        <v>1872</v>
      </c>
      <c r="AE313" s="80"/>
      <c r="AF313" s="80"/>
      <c r="AG313" s="80"/>
      <c r="AH313" s="80"/>
      <c r="AI313" s="80"/>
      <c r="AJ313" s="87">
        <v>41287.58954861111</v>
      </c>
      <c r="AK313" s="85" t="str">
        <f>HYPERLINK("https://yt3.ggpht.com/ytc/AAUvwnjrq4WrXA8irfPuqULGoN8Hli-tTIdrq14FEDB1Zw=s88-c-k-c0x00ffffff-no-rj")</f>
        <v>https://yt3.ggpht.com/ytc/AAUvwnjrq4WrXA8irfPuqULGoN8Hli-tTIdrq14FEDB1Zw=s88-c-k-c0x00ffffff-no-rj</v>
      </c>
      <c r="AL313" s="80">
        <v>0</v>
      </c>
      <c r="AM313" s="80">
        <v>0</v>
      </c>
      <c r="AN313" s="80">
        <v>6</v>
      </c>
      <c r="AO313" s="80" t="b">
        <v>0</v>
      </c>
      <c r="AP313" s="80">
        <v>0</v>
      </c>
      <c r="AQ313" s="80"/>
      <c r="AR313" s="80"/>
      <c r="AS313" s="80" t="s">
        <v>2664</v>
      </c>
      <c r="AT313" s="85" t="str">
        <f>HYPERLINK("https://www.youtube.com/channel/UCq3GPCRAUpLZJmZ-SAomWwg")</f>
        <v>https://www.youtube.com/channel/UCq3GPCRAUpLZJmZ-SAomWwg</v>
      </c>
      <c r="AU313" s="80" t="str">
        <f>REPLACE(INDEX(GroupVertices[Group],MATCH(Vertices[[#This Row],[Vertex]],GroupVertices[Vertex],0)),1,1,"")</f>
        <v>11</v>
      </c>
      <c r="AV313" s="49">
        <v>0</v>
      </c>
      <c r="AW313" s="50">
        <v>0</v>
      </c>
      <c r="AX313" s="49">
        <v>0</v>
      </c>
      <c r="AY313" s="50">
        <v>0</v>
      </c>
      <c r="AZ313" s="49">
        <v>0</v>
      </c>
      <c r="BA313" s="50">
        <v>0</v>
      </c>
      <c r="BB313" s="49">
        <v>11</v>
      </c>
      <c r="BC313" s="50">
        <v>100</v>
      </c>
      <c r="BD313" s="49">
        <v>11</v>
      </c>
      <c r="BE313" s="49"/>
      <c r="BF313" s="49"/>
      <c r="BG313" s="49"/>
      <c r="BH313" s="49"/>
      <c r="BI313" s="49"/>
      <c r="BJ313" s="49"/>
      <c r="BK313" s="111" t="s">
        <v>3905</v>
      </c>
      <c r="BL313" s="111" t="s">
        <v>3905</v>
      </c>
      <c r="BM313" s="111" t="s">
        <v>4369</v>
      </c>
      <c r="BN313" s="111" t="s">
        <v>4369</v>
      </c>
      <c r="BO313" s="2"/>
      <c r="BP313" s="3"/>
      <c r="BQ313" s="3"/>
      <c r="BR313" s="3"/>
      <c r="BS313" s="3"/>
    </row>
    <row r="314" spans="1:71" ht="15">
      <c r="A314" s="65" t="s">
        <v>514</v>
      </c>
      <c r="B314" s="66"/>
      <c r="C314" s="66"/>
      <c r="D314" s="67">
        <v>150</v>
      </c>
      <c r="E314" s="69"/>
      <c r="F314" s="103" t="str">
        <f>HYPERLINK("https://yt3.ggpht.com/ytc/AAUvwngUFgQn_53NXwXpwld-ht5McLKkN-PfkK5yQA=s88-c-k-c0x00ffffff-no-rj")</f>
        <v>https://yt3.ggpht.com/ytc/AAUvwngUFgQn_53NXwXpwld-ht5McLKkN-PfkK5yQA=s88-c-k-c0x00ffffff-no-rj</v>
      </c>
      <c r="G314" s="66"/>
      <c r="H314" s="70" t="s">
        <v>1873</v>
      </c>
      <c r="I314" s="71"/>
      <c r="J314" s="71" t="s">
        <v>159</v>
      </c>
      <c r="K314" s="70" t="s">
        <v>1873</v>
      </c>
      <c r="L314" s="74">
        <v>1</v>
      </c>
      <c r="M314" s="75">
        <v>7079.97119140625</v>
      </c>
      <c r="N314" s="75">
        <v>4291.478515625</v>
      </c>
      <c r="O314" s="76"/>
      <c r="P314" s="77"/>
      <c r="Q314" s="77"/>
      <c r="R314" s="89"/>
      <c r="S314" s="49">
        <v>0</v>
      </c>
      <c r="T314" s="49">
        <v>1</v>
      </c>
      <c r="U314" s="50">
        <v>0</v>
      </c>
      <c r="V314" s="50">
        <v>0.02</v>
      </c>
      <c r="W314" s="50">
        <v>0</v>
      </c>
      <c r="X314" s="50">
        <v>0.544018</v>
      </c>
      <c r="Y314" s="50">
        <v>0</v>
      </c>
      <c r="Z314" s="50">
        <v>0</v>
      </c>
      <c r="AA314" s="72">
        <v>314</v>
      </c>
      <c r="AB314" s="72"/>
      <c r="AC314" s="73"/>
      <c r="AD314" s="80" t="s">
        <v>1873</v>
      </c>
      <c r="AE314" s="80" t="s">
        <v>2521</v>
      </c>
      <c r="AF314" s="80"/>
      <c r="AG314" s="80"/>
      <c r="AH314" s="80"/>
      <c r="AI314" s="80"/>
      <c r="AJ314" s="87">
        <v>44050.77649305556</v>
      </c>
      <c r="AK314" s="85" t="str">
        <f>HYPERLINK("https://yt3.ggpht.com/ytc/AAUvwngUFgQn_53NXwXpwld-ht5McLKkN-PfkK5yQA=s88-c-k-c0x00ffffff-no-rj")</f>
        <v>https://yt3.ggpht.com/ytc/AAUvwngUFgQn_53NXwXpwld-ht5McLKkN-PfkK5yQA=s88-c-k-c0x00ffffff-no-rj</v>
      </c>
      <c r="AL314" s="80">
        <v>930</v>
      </c>
      <c r="AM314" s="80">
        <v>0</v>
      </c>
      <c r="AN314" s="80">
        <v>16</v>
      </c>
      <c r="AO314" s="80" t="b">
        <v>0</v>
      </c>
      <c r="AP314" s="80">
        <v>25</v>
      </c>
      <c r="AQ314" s="80"/>
      <c r="AR314" s="80"/>
      <c r="AS314" s="80" t="s">
        <v>2664</v>
      </c>
      <c r="AT314" s="85" t="str">
        <f>HYPERLINK("https://www.youtube.com/channel/UCrjCeiq-TQ1mxwSVrb56_tw")</f>
        <v>https://www.youtube.com/channel/UCrjCeiq-TQ1mxwSVrb56_tw</v>
      </c>
      <c r="AU314" s="80" t="str">
        <f>REPLACE(INDEX(GroupVertices[Group],MATCH(Vertices[[#This Row],[Vertex]],GroupVertices[Vertex],0)),1,1,"")</f>
        <v>11</v>
      </c>
      <c r="AV314" s="49">
        <v>1</v>
      </c>
      <c r="AW314" s="50">
        <v>6.666666666666667</v>
      </c>
      <c r="AX314" s="49">
        <v>1</v>
      </c>
      <c r="AY314" s="50">
        <v>6.666666666666667</v>
      </c>
      <c r="AZ314" s="49">
        <v>0</v>
      </c>
      <c r="BA314" s="50">
        <v>0</v>
      </c>
      <c r="BB314" s="49">
        <v>13</v>
      </c>
      <c r="BC314" s="50">
        <v>86.66666666666667</v>
      </c>
      <c r="BD314" s="49">
        <v>15</v>
      </c>
      <c r="BE314" s="49"/>
      <c r="BF314" s="49"/>
      <c r="BG314" s="49"/>
      <c r="BH314" s="49"/>
      <c r="BI314" s="49"/>
      <c r="BJ314" s="49"/>
      <c r="BK314" s="111" t="s">
        <v>3906</v>
      </c>
      <c r="BL314" s="111" t="s">
        <v>3906</v>
      </c>
      <c r="BM314" s="111" t="s">
        <v>4370</v>
      </c>
      <c r="BN314" s="111" t="s">
        <v>4370</v>
      </c>
      <c r="BO314" s="2"/>
      <c r="BP314" s="3"/>
      <c r="BQ314" s="3"/>
      <c r="BR314" s="3"/>
      <c r="BS314" s="3"/>
    </row>
    <row r="315" spans="1:71" ht="15">
      <c r="A315" s="65" t="s">
        <v>515</v>
      </c>
      <c r="B315" s="66"/>
      <c r="C315" s="66"/>
      <c r="D315" s="67">
        <v>150</v>
      </c>
      <c r="E315" s="69"/>
      <c r="F315" s="103" t="str">
        <f>HYPERLINK("https://yt3.ggpht.com/ytc/AAUvwnglUeDYP40sli-4slSBIJcgMJzqRVPwMaF8aZ6bHQ=s88-c-k-c0x00ffffff-no-rj")</f>
        <v>https://yt3.ggpht.com/ytc/AAUvwnglUeDYP40sli-4slSBIJcgMJzqRVPwMaF8aZ6bHQ=s88-c-k-c0x00ffffff-no-rj</v>
      </c>
      <c r="G315" s="66"/>
      <c r="H315" s="70" t="s">
        <v>1874</v>
      </c>
      <c r="I315" s="71"/>
      <c r="J315" s="71" t="s">
        <v>159</v>
      </c>
      <c r="K315" s="70" t="s">
        <v>1874</v>
      </c>
      <c r="L315" s="74">
        <v>1</v>
      </c>
      <c r="M315" s="75">
        <v>8844.56640625</v>
      </c>
      <c r="N315" s="75">
        <v>3695.732177734375</v>
      </c>
      <c r="O315" s="76"/>
      <c r="P315" s="77"/>
      <c r="Q315" s="77"/>
      <c r="R315" s="89"/>
      <c r="S315" s="49">
        <v>0</v>
      </c>
      <c r="T315" s="49">
        <v>1</v>
      </c>
      <c r="U315" s="50">
        <v>0</v>
      </c>
      <c r="V315" s="50">
        <v>0.027778</v>
      </c>
      <c r="W315" s="50">
        <v>0</v>
      </c>
      <c r="X315" s="50">
        <v>0.53388</v>
      </c>
      <c r="Y315" s="50">
        <v>0</v>
      </c>
      <c r="Z315" s="50">
        <v>0</v>
      </c>
      <c r="AA315" s="72">
        <v>315</v>
      </c>
      <c r="AB315" s="72"/>
      <c r="AC315" s="73"/>
      <c r="AD315" s="80" t="s">
        <v>1874</v>
      </c>
      <c r="AE315" s="80"/>
      <c r="AF315" s="80"/>
      <c r="AG315" s="80"/>
      <c r="AH315" s="80"/>
      <c r="AI315" s="80"/>
      <c r="AJ315" s="87">
        <v>42397.78440972222</v>
      </c>
      <c r="AK315" s="85" t="str">
        <f>HYPERLINK("https://yt3.ggpht.com/ytc/AAUvwnglUeDYP40sli-4slSBIJcgMJzqRVPwMaF8aZ6bHQ=s88-c-k-c0x00ffffff-no-rj")</f>
        <v>https://yt3.ggpht.com/ytc/AAUvwnglUeDYP40sli-4slSBIJcgMJzqRVPwMaF8aZ6bHQ=s88-c-k-c0x00ffffff-no-rj</v>
      </c>
      <c r="AL315" s="80">
        <v>0</v>
      </c>
      <c r="AM315" s="80">
        <v>0</v>
      </c>
      <c r="AN315" s="80">
        <v>3</v>
      </c>
      <c r="AO315" s="80" t="b">
        <v>0</v>
      </c>
      <c r="AP315" s="80">
        <v>0</v>
      </c>
      <c r="AQ315" s="80"/>
      <c r="AR315" s="80"/>
      <c r="AS315" s="80" t="s">
        <v>2664</v>
      </c>
      <c r="AT315" s="85" t="str">
        <f>HYPERLINK("https://www.youtube.com/channel/UC_45IzWOplbP9I-NwW8zhkw")</f>
        <v>https://www.youtube.com/channel/UC_45IzWOplbP9I-NwW8zhkw</v>
      </c>
      <c r="AU315" s="80" t="str">
        <f>REPLACE(INDEX(GroupVertices[Group],MATCH(Vertices[[#This Row],[Vertex]],GroupVertices[Vertex],0)),1,1,"")</f>
        <v>11</v>
      </c>
      <c r="AV315" s="49">
        <v>1</v>
      </c>
      <c r="AW315" s="50">
        <v>4.761904761904762</v>
      </c>
      <c r="AX315" s="49">
        <v>1</v>
      </c>
      <c r="AY315" s="50">
        <v>4.761904761904762</v>
      </c>
      <c r="AZ315" s="49">
        <v>0</v>
      </c>
      <c r="BA315" s="50">
        <v>0</v>
      </c>
      <c r="BB315" s="49">
        <v>19</v>
      </c>
      <c r="BC315" s="50">
        <v>90.47619047619048</v>
      </c>
      <c r="BD315" s="49">
        <v>21</v>
      </c>
      <c r="BE315" s="49"/>
      <c r="BF315" s="49"/>
      <c r="BG315" s="49"/>
      <c r="BH315" s="49"/>
      <c r="BI315" s="49"/>
      <c r="BJ315" s="49"/>
      <c r="BK315" s="111" t="s">
        <v>3907</v>
      </c>
      <c r="BL315" s="111" t="s">
        <v>3907</v>
      </c>
      <c r="BM315" s="111" t="s">
        <v>4371</v>
      </c>
      <c r="BN315" s="111" t="s">
        <v>4371</v>
      </c>
      <c r="BO315" s="2"/>
      <c r="BP315" s="3"/>
      <c r="BQ315" s="3"/>
      <c r="BR315" s="3"/>
      <c r="BS315" s="3"/>
    </row>
    <row r="316" spans="1:71" ht="15">
      <c r="A316" s="65" t="s">
        <v>516</v>
      </c>
      <c r="B316" s="66"/>
      <c r="C316" s="66"/>
      <c r="D316" s="67">
        <v>150</v>
      </c>
      <c r="E316" s="69"/>
      <c r="F316" s="103" t="str">
        <f>HYPERLINK("https://yt3.ggpht.com/ytc/AAUvwniBiae6cD0NoTiRSKovcEtwKxdoM3TPhB7JRcvJljs=s88-c-k-c0x00ffffff-no-rj")</f>
        <v>https://yt3.ggpht.com/ytc/AAUvwniBiae6cD0NoTiRSKovcEtwKxdoM3TPhB7JRcvJljs=s88-c-k-c0x00ffffff-no-rj</v>
      </c>
      <c r="G316" s="66"/>
      <c r="H316" s="70" t="s">
        <v>1875</v>
      </c>
      <c r="I316" s="71"/>
      <c r="J316" s="71" t="s">
        <v>159</v>
      </c>
      <c r="K316" s="70" t="s">
        <v>1875</v>
      </c>
      <c r="L316" s="74">
        <v>1</v>
      </c>
      <c r="M316" s="75">
        <v>8243.984375</v>
      </c>
      <c r="N316" s="75">
        <v>4042.874267578125</v>
      </c>
      <c r="O316" s="76"/>
      <c r="P316" s="77"/>
      <c r="Q316" s="77"/>
      <c r="R316" s="89"/>
      <c r="S316" s="49">
        <v>0</v>
      </c>
      <c r="T316" s="49">
        <v>1</v>
      </c>
      <c r="U316" s="50">
        <v>0</v>
      </c>
      <c r="V316" s="50">
        <v>0.027778</v>
      </c>
      <c r="W316" s="50">
        <v>0</v>
      </c>
      <c r="X316" s="50">
        <v>0.53388</v>
      </c>
      <c r="Y316" s="50">
        <v>0</v>
      </c>
      <c r="Z316" s="50">
        <v>0</v>
      </c>
      <c r="AA316" s="72">
        <v>316</v>
      </c>
      <c r="AB316" s="72"/>
      <c r="AC316" s="73"/>
      <c r="AD316" s="80" t="s">
        <v>1875</v>
      </c>
      <c r="AE316" s="80"/>
      <c r="AF316" s="80"/>
      <c r="AG316" s="80"/>
      <c r="AH316" s="80"/>
      <c r="AI316" s="80"/>
      <c r="AJ316" s="87">
        <v>41470.890393518515</v>
      </c>
      <c r="AK316" s="85" t="str">
        <f>HYPERLINK("https://yt3.ggpht.com/ytc/AAUvwniBiae6cD0NoTiRSKovcEtwKxdoM3TPhB7JRcvJljs=s88-c-k-c0x00ffffff-no-rj")</f>
        <v>https://yt3.ggpht.com/ytc/AAUvwniBiae6cD0NoTiRSKovcEtwKxdoM3TPhB7JRcvJljs=s88-c-k-c0x00ffffff-no-rj</v>
      </c>
      <c r="AL316" s="80">
        <v>349</v>
      </c>
      <c r="AM316" s="80">
        <v>0</v>
      </c>
      <c r="AN316" s="80">
        <v>17</v>
      </c>
      <c r="AO316" s="80" t="b">
        <v>0</v>
      </c>
      <c r="AP316" s="80">
        <v>7</v>
      </c>
      <c r="AQ316" s="80"/>
      <c r="AR316" s="80"/>
      <c r="AS316" s="80" t="s">
        <v>2664</v>
      </c>
      <c r="AT316" s="85" t="str">
        <f>HYPERLINK("https://www.youtube.com/channel/UC1SQ6WLwqCw8z1OFqWrBvlg")</f>
        <v>https://www.youtube.com/channel/UC1SQ6WLwqCw8z1OFqWrBvlg</v>
      </c>
      <c r="AU316" s="80" t="str">
        <f>REPLACE(INDEX(GroupVertices[Group],MATCH(Vertices[[#This Row],[Vertex]],GroupVertices[Vertex],0)),1,1,"")</f>
        <v>11</v>
      </c>
      <c r="AV316" s="49">
        <v>1</v>
      </c>
      <c r="AW316" s="50">
        <v>11.11111111111111</v>
      </c>
      <c r="AX316" s="49">
        <v>1</v>
      </c>
      <c r="AY316" s="50">
        <v>11.11111111111111</v>
      </c>
      <c r="AZ316" s="49">
        <v>0</v>
      </c>
      <c r="BA316" s="50">
        <v>0</v>
      </c>
      <c r="BB316" s="49">
        <v>7</v>
      </c>
      <c r="BC316" s="50">
        <v>77.77777777777777</v>
      </c>
      <c r="BD316" s="49">
        <v>9</v>
      </c>
      <c r="BE316" s="49"/>
      <c r="BF316" s="49"/>
      <c r="BG316" s="49"/>
      <c r="BH316" s="49"/>
      <c r="BI316" s="49"/>
      <c r="BJ316" s="49"/>
      <c r="BK316" s="111" t="s">
        <v>3908</v>
      </c>
      <c r="BL316" s="111" t="s">
        <v>3908</v>
      </c>
      <c r="BM316" s="111" t="s">
        <v>4372</v>
      </c>
      <c r="BN316" s="111" t="s">
        <v>4372</v>
      </c>
      <c r="BO316" s="2"/>
      <c r="BP316" s="3"/>
      <c r="BQ316" s="3"/>
      <c r="BR316" s="3"/>
      <c r="BS316" s="3"/>
    </row>
    <row r="317" spans="1:71" ht="15">
      <c r="A317" s="65" t="s">
        <v>517</v>
      </c>
      <c r="B317" s="66"/>
      <c r="C317" s="66"/>
      <c r="D317" s="67">
        <v>150</v>
      </c>
      <c r="E317" s="69"/>
      <c r="F317" s="103" t="str">
        <f>HYPERLINK("https://yt3.ggpht.com/ytc/AAUvwnj6P3O4_YZYxYy6F55PB-kRBjRwzCAeJ8Wjyg=s88-c-k-c0x00ffffff-no-rj")</f>
        <v>https://yt3.ggpht.com/ytc/AAUvwnj6P3O4_YZYxYy6F55PB-kRBjRwzCAeJ8Wjyg=s88-c-k-c0x00ffffff-no-rj</v>
      </c>
      <c r="G317" s="66"/>
      <c r="H317" s="70" t="s">
        <v>1876</v>
      </c>
      <c r="I317" s="71"/>
      <c r="J317" s="71" t="s">
        <v>159</v>
      </c>
      <c r="K317" s="70" t="s">
        <v>1876</v>
      </c>
      <c r="L317" s="74">
        <v>1</v>
      </c>
      <c r="M317" s="75">
        <v>8288.72265625</v>
      </c>
      <c r="N317" s="75">
        <v>3173.436767578125</v>
      </c>
      <c r="O317" s="76"/>
      <c r="P317" s="77"/>
      <c r="Q317" s="77"/>
      <c r="R317" s="89"/>
      <c r="S317" s="49">
        <v>0</v>
      </c>
      <c r="T317" s="49">
        <v>1</v>
      </c>
      <c r="U317" s="50">
        <v>0</v>
      </c>
      <c r="V317" s="50">
        <v>0.027778</v>
      </c>
      <c r="W317" s="50">
        <v>0</v>
      </c>
      <c r="X317" s="50">
        <v>0.53388</v>
      </c>
      <c r="Y317" s="50">
        <v>0</v>
      </c>
      <c r="Z317" s="50">
        <v>0</v>
      </c>
      <c r="AA317" s="72">
        <v>317</v>
      </c>
      <c r="AB317" s="72"/>
      <c r="AC317" s="73"/>
      <c r="AD317" s="80" t="s">
        <v>1876</v>
      </c>
      <c r="AE317" s="80"/>
      <c r="AF317" s="80"/>
      <c r="AG317" s="80"/>
      <c r="AH317" s="80"/>
      <c r="AI317" s="80"/>
      <c r="AJ317" s="87">
        <v>43605.77349537037</v>
      </c>
      <c r="AK317" s="85" t="str">
        <f>HYPERLINK("https://yt3.ggpht.com/ytc/AAUvwnj6P3O4_YZYxYy6F55PB-kRBjRwzCAeJ8Wjyg=s88-c-k-c0x00ffffff-no-rj")</f>
        <v>https://yt3.ggpht.com/ytc/AAUvwnj6P3O4_YZYxYy6F55PB-kRBjRwzCAeJ8Wjyg=s88-c-k-c0x00ffffff-no-rj</v>
      </c>
      <c r="AL317" s="80">
        <v>19</v>
      </c>
      <c r="AM317" s="80">
        <v>0</v>
      </c>
      <c r="AN317" s="80">
        <v>3</v>
      </c>
      <c r="AO317" s="80" t="b">
        <v>0</v>
      </c>
      <c r="AP317" s="80">
        <v>5</v>
      </c>
      <c r="AQ317" s="80"/>
      <c r="AR317" s="80"/>
      <c r="AS317" s="80" t="s">
        <v>2664</v>
      </c>
      <c r="AT317" s="85" t="str">
        <f>HYPERLINK("https://www.youtube.com/channel/UCI8a254j9MYepxDRrR7iBBQ")</f>
        <v>https://www.youtube.com/channel/UCI8a254j9MYepxDRrR7iBBQ</v>
      </c>
      <c r="AU317" s="80" t="str">
        <f>REPLACE(INDEX(GroupVertices[Group],MATCH(Vertices[[#This Row],[Vertex]],GroupVertices[Vertex],0)),1,1,"")</f>
        <v>11</v>
      </c>
      <c r="AV317" s="49">
        <v>1</v>
      </c>
      <c r="AW317" s="50">
        <v>20</v>
      </c>
      <c r="AX317" s="49">
        <v>0</v>
      </c>
      <c r="AY317" s="50">
        <v>0</v>
      </c>
      <c r="AZ317" s="49">
        <v>0</v>
      </c>
      <c r="BA317" s="50">
        <v>0</v>
      </c>
      <c r="BB317" s="49">
        <v>4</v>
      </c>
      <c r="BC317" s="50">
        <v>80</v>
      </c>
      <c r="BD317" s="49">
        <v>5</v>
      </c>
      <c r="BE317" s="49"/>
      <c r="BF317" s="49"/>
      <c r="BG317" s="49"/>
      <c r="BH317" s="49"/>
      <c r="BI317" s="49"/>
      <c r="BJ317" s="49"/>
      <c r="BK317" s="111" t="s">
        <v>3909</v>
      </c>
      <c r="BL317" s="111" t="s">
        <v>3909</v>
      </c>
      <c r="BM317" s="111" t="s">
        <v>4373</v>
      </c>
      <c r="BN317" s="111" t="s">
        <v>4373</v>
      </c>
      <c r="BO317" s="2"/>
      <c r="BP317" s="3"/>
      <c r="BQ317" s="3"/>
      <c r="BR317" s="3"/>
      <c r="BS317" s="3"/>
    </row>
    <row r="318" spans="1:71" ht="15">
      <c r="A318" s="65" t="s">
        <v>518</v>
      </c>
      <c r="B318" s="66"/>
      <c r="C318" s="66"/>
      <c r="D318" s="67">
        <v>150</v>
      </c>
      <c r="E318" s="69"/>
      <c r="F318" s="103" t="str">
        <f>HYPERLINK("https://yt3.ggpht.com/ytc/AAUvwnhduLXCyhnRBnyBs6Hm_HO5YrkxNleFTg9Wd57aDQ=s88-c-k-c0x00ffffff-no-rj")</f>
        <v>https://yt3.ggpht.com/ytc/AAUvwnhduLXCyhnRBnyBs6Hm_HO5YrkxNleFTg9Wd57aDQ=s88-c-k-c0x00ffffff-no-rj</v>
      </c>
      <c r="G318" s="66"/>
      <c r="H318" s="70" t="s">
        <v>1877</v>
      </c>
      <c r="I318" s="71"/>
      <c r="J318" s="71" t="s">
        <v>159</v>
      </c>
      <c r="K318" s="70" t="s">
        <v>1877</v>
      </c>
      <c r="L318" s="74">
        <v>1</v>
      </c>
      <c r="M318" s="75">
        <v>8573.2568359375</v>
      </c>
      <c r="N318" s="75">
        <v>3523.601806640625</v>
      </c>
      <c r="O318" s="76"/>
      <c r="P318" s="77"/>
      <c r="Q318" s="77"/>
      <c r="R318" s="89"/>
      <c r="S318" s="49">
        <v>0</v>
      </c>
      <c r="T318" s="49">
        <v>1</v>
      </c>
      <c r="U318" s="50">
        <v>0</v>
      </c>
      <c r="V318" s="50">
        <v>0.027778</v>
      </c>
      <c r="W318" s="50">
        <v>0</v>
      </c>
      <c r="X318" s="50">
        <v>0.53388</v>
      </c>
      <c r="Y318" s="50">
        <v>0</v>
      </c>
      <c r="Z318" s="50">
        <v>0</v>
      </c>
      <c r="AA318" s="72">
        <v>318</v>
      </c>
      <c r="AB318" s="72"/>
      <c r="AC318" s="73"/>
      <c r="AD318" s="80" t="s">
        <v>1877</v>
      </c>
      <c r="AE318" s="80"/>
      <c r="AF318" s="80"/>
      <c r="AG318" s="80"/>
      <c r="AH318" s="80"/>
      <c r="AI318" s="80"/>
      <c r="AJ318" s="87">
        <v>43536.67171296296</v>
      </c>
      <c r="AK318" s="85" t="str">
        <f>HYPERLINK("https://yt3.ggpht.com/ytc/AAUvwnhduLXCyhnRBnyBs6Hm_HO5YrkxNleFTg9Wd57aDQ=s88-c-k-c0x00ffffff-no-rj")</f>
        <v>https://yt3.ggpht.com/ytc/AAUvwnhduLXCyhnRBnyBs6Hm_HO5YrkxNleFTg9Wd57aDQ=s88-c-k-c0x00ffffff-no-rj</v>
      </c>
      <c r="AL318" s="80">
        <v>7</v>
      </c>
      <c r="AM318" s="80">
        <v>0</v>
      </c>
      <c r="AN318" s="80">
        <v>2</v>
      </c>
      <c r="AO318" s="80" t="b">
        <v>0</v>
      </c>
      <c r="AP318" s="80">
        <v>1</v>
      </c>
      <c r="AQ318" s="80"/>
      <c r="AR318" s="80"/>
      <c r="AS318" s="80" t="s">
        <v>2664</v>
      </c>
      <c r="AT318" s="85" t="str">
        <f>HYPERLINK("https://www.youtube.com/channel/UCjnlw6abg_8YOV5FWEOJC-Q")</f>
        <v>https://www.youtube.com/channel/UCjnlw6abg_8YOV5FWEOJC-Q</v>
      </c>
      <c r="AU318" s="80" t="str">
        <f>REPLACE(INDEX(GroupVertices[Group],MATCH(Vertices[[#This Row],[Vertex]],GroupVertices[Vertex],0)),1,1,"")</f>
        <v>11</v>
      </c>
      <c r="AV318" s="49">
        <v>0</v>
      </c>
      <c r="AW318" s="50">
        <v>0</v>
      </c>
      <c r="AX318" s="49">
        <v>0</v>
      </c>
      <c r="AY318" s="50">
        <v>0</v>
      </c>
      <c r="AZ318" s="49">
        <v>0</v>
      </c>
      <c r="BA318" s="50">
        <v>0</v>
      </c>
      <c r="BB318" s="49">
        <v>10</v>
      </c>
      <c r="BC318" s="50">
        <v>100</v>
      </c>
      <c r="BD318" s="49">
        <v>10</v>
      </c>
      <c r="BE318" s="49"/>
      <c r="BF318" s="49"/>
      <c r="BG318" s="49"/>
      <c r="BH318" s="49"/>
      <c r="BI318" s="49"/>
      <c r="BJ318" s="49"/>
      <c r="BK318" s="111" t="s">
        <v>3910</v>
      </c>
      <c r="BL318" s="111" t="s">
        <v>3910</v>
      </c>
      <c r="BM318" s="111" t="s">
        <v>4374</v>
      </c>
      <c r="BN318" s="111" t="s">
        <v>4374</v>
      </c>
      <c r="BO318" s="2"/>
      <c r="BP318" s="3"/>
      <c r="BQ318" s="3"/>
      <c r="BR318" s="3"/>
      <c r="BS318" s="3"/>
    </row>
    <row r="319" spans="1:71" ht="15">
      <c r="A319" s="65" t="s">
        <v>519</v>
      </c>
      <c r="B319" s="66"/>
      <c r="C319" s="66"/>
      <c r="D319" s="67">
        <v>150</v>
      </c>
      <c r="E319" s="69"/>
      <c r="F319" s="103" t="str">
        <f>HYPERLINK("https://yt3.ggpht.com/ytc/AAUvwni6jxkvrOd7bAH6VWsg1ufvEMtHngwNRYEoak9-yA=s88-c-k-c0x00ffffff-no-rj")</f>
        <v>https://yt3.ggpht.com/ytc/AAUvwni6jxkvrOd7bAH6VWsg1ufvEMtHngwNRYEoak9-yA=s88-c-k-c0x00ffffff-no-rj</v>
      </c>
      <c r="G319" s="66"/>
      <c r="H319" s="70" t="s">
        <v>1878</v>
      </c>
      <c r="I319" s="71"/>
      <c r="J319" s="71" t="s">
        <v>159</v>
      </c>
      <c r="K319" s="70" t="s">
        <v>1878</v>
      </c>
      <c r="L319" s="74">
        <v>1</v>
      </c>
      <c r="M319" s="75">
        <v>8008.91552734375</v>
      </c>
      <c r="N319" s="75">
        <v>2904.333740234375</v>
      </c>
      <c r="O319" s="76"/>
      <c r="P319" s="77"/>
      <c r="Q319" s="77"/>
      <c r="R319" s="89"/>
      <c r="S319" s="49">
        <v>0</v>
      </c>
      <c r="T319" s="49">
        <v>1</v>
      </c>
      <c r="U319" s="50">
        <v>0</v>
      </c>
      <c r="V319" s="50">
        <v>0.027778</v>
      </c>
      <c r="W319" s="50">
        <v>0</v>
      </c>
      <c r="X319" s="50">
        <v>0.53388</v>
      </c>
      <c r="Y319" s="50">
        <v>0</v>
      </c>
      <c r="Z319" s="50">
        <v>0</v>
      </c>
      <c r="AA319" s="72">
        <v>319</v>
      </c>
      <c r="AB319" s="72"/>
      <c r="AC319" s="73"/>
      <c r="AD319" s="80" t="s">
        <v>1878</v>
      </c>
      <c r="AE319" s="80" t="s">
        <v>2522</v>
      </c>
      <c r="AF319" s="80"/>
      <c r="AG319" s="80"/>
      <c r="AH319" s="80"/>
      <c r="AI319" s="80"/>
      <c r="AJ319" s="87">
        <v>43633.659791666665</v>
      </c>
      <c r="AK319" s="85" t="str">
        <f>HYPERLINK("https://yt3.ggpht.com/ytc/AAUvwni6jxkvrOd7bAH6VWsg1ufvEMtHngwNRYEoak9-yA=s88-c-k-c0x00ffffff-no-rj")</f>
        <v>https://yt3.ggpht.com/ytc/AAUvwni6jxkvrOd7bAH6VWsg1ufvEMtHngwNRYEoak9-yA=s88-c-k-c0x00ffffff-no-rj</v>
      </c>
      <c r="AL319" s="80">
        <v>0</v>
      </c>
      <c r="AM319" s="80">
        <v>0</v>
      </c>
      <c r="AN319" s="80">
        <v>6</v>
      </c>
      <c r="AO319" s="80" t="b">
        <v>0</v>
      </c>
      <c r="AP319" s="80">
        <v>0</v>
      </c>
      <c r="AQ319" s="80"/>
      <c r="AR319" s="80"/>
      <c r="AS319" s="80" t="s">
        <v>2664</v>
      </c>
      <c r="AT319" s="85" t="str">
        <f>HYPERLINK("https://www.youtube.com/channel/UCEKepcrXySgFtDQgmfeg5gA")</f>
        <v>https://www.youtube.com/channel/UCEKepcrXySgFtDQgmfeg5gA</v>
      </c>
      <c r="AU319" s="80" t="str">
        <f>REPLACE(INDEX(GroupVertices[Group],MATCH(Vertices[[#This Row],[Vertex]],GroupVertices[Vertex],0)),1,1,"")</f>
        <v>11</v>
      </c>
      <c r="AV319" s="49">
        <v>2</v>
      </c>
      <c r="AW319" s="50">
        <v>33.333333333333336</v>
      </c>
      <c r="AX319" s="49">
        <v>0</v>
      </c>
      <c r="AY319" s="50">
        <v>0</v>
      </c>
      <c r="AZ319" s="49">
        <v>0</v>
      </c>
      <c r="BA319" s="50">
        <v>0</v>
      </c>
      <c r="BB319" s="49">
        <v>4</v>
      </c>
      <c r="BC319" s="50">
        <v>66.66666666666667</v>
      </c>
      <c r="BD319" s="49">
        <v>6</v>
      </c>
      <c r="BE319" s="49"/>
      <c r="BF319" s="49"/>
      <c r="BG319" s="49"/>
      <c r="BH319" s="49"/>
      <c r="BI319" s="49"/>
      <c r="BJ319" s="49"/>
      <c r="BK319" s="111" t="s">
        <v>3911</v>
      </c>
      <c r="BL319" s="111" t="s">
        <v>3911</v>
      </c>
      <c r="BM319" s="111" t="s">
        <v>4375</v>
      </c>
      <c r="BN319" s="111" t="s">
        <v>4375</v>
      </c>
      <c r="BO319" s="2"/>
      <c r="BP319" s="3"/>
      <c r="BQ319" s="3"/>
      <c r="BR319" s="3"/>
      <c r="BS319" s="3"/>
    </row>
    <row r="320" spans="1:71" ht="15">
      <c r="A320" s="65" t="s">
        <v>520</v>
      </c>
      <c r="B320" s="66"/>
      <c r="C320" s="66"/>
      <c r="D320" s="67">
        <v>150</v>
      </c>
      <c r="E320" s="69"/>
      <c r="F320" s="103" t="str">
        <f>HYPERLINK("https://yt3.ggpht.com/ytc/AAUvwnhuQFR0hnBUW_ebYwHaNReLXTb8k1YGrRbgFg=s88-c-k-c0x00ffffff-no-rj")</f>
        <v>https://yt3.ggpht.com/ytc/AAUvwnhuQFR0hnBUW_ebYwHaNReLXTb8k1YGrRbgFg=s88-c-k-c0x00ffffff-no-rj</v>
      </c>
      <c r="G320" s="66"/>
      <c r="H320" s="70" t="s">
        <v>1879</v>
      </c>
      <c r="I320" s="71"/>
      <c r="J320" s="71" t="s">
        <v>159</v>
      </c>
      <c r="K320" s="70" t="s">
        <v>1879</v>
      </c>
      <c r="L320" s="74">
        <v>1</v>
      </c>
      <c r="M320" s="75">
        <v>8184.96875</v>
      </c>
      <c r="N320" s="75">
        <v>3792.652099609375</v>
      </c>
      <c r="O320" s="76"/>
      <c r="P320" s="77"/>
      <c r="Q320" s="77"/>
      <c r="R320" s="89"/>
      <c r="S320" s="49">
        <v>0</v>
      </c>
      <c r="T320" s="49">
        <v>1</v>
      </c>
      <c r="U320" s="50">
        <v>0</v>
      </c>
      <c r="V320" s="50">
        <v>0.027778</v>
      </c>
      <c r="W320" s="50">
        <v>0</v>
      </c>
      <c r="X320" s="50">
        <v>0.53388</v>
      </c>
      <c r="Y320" s="50">
        <v>0</v>
      </c>
      <c r="Z320" s="50">
        <v>0</v>
      </c>
      <c r="AA320" s="72">
        <v>320</v>
      </c>
      <c r="AB320" s="72"/>
      <c r="AC320" s="73"/>
      <c r="AD320" s="80" t="s">
        <v>1879</v>
      </c>
      <c r="AE320" s="80"/>
      <c r="AF320" s="80"/>
      <c r="AG320" s="80"/>
      <c r="AH320" s="80"/>
      <c r="AI320" s="80"/>
      <c r="AJ320" s="87">
        <v>43910.63784722222</v>
      </c>
      <c r="AK320" s="85" t="str">
        <f>HYPERLINK("https://yt3.ggpht.com/ytc/AAUvwnhuQFR0hnBUW_ebYwHaNReLXTb8k1YGrRbgFg=s88-c-k-c0x00ffffff-no-rj")</f>
        <v>https://yt3.ggpht.com/ytc/AAUvwnhuQFR0hnBUW_ebYwHaNReLXTb8k1YGrRbgFg=s88-c-k-c0x00ffffff-no-rj</v>
      </c>
      <c r="AL320" s="80">
        <v>0</v>
      </c>
      <c r="AM320" s="80">
        <v>0</v>
      </c>
      <c r="AN320" s="80">
        <v>0</v>
      </c>
      <c r="AO320" s="80" t="b">
        <v>0</v>
      </c>
      <c r="AP320" s="80">
        <v>0</v>
      </c>
      <c r="AQ320" s="80"/>
      <c r="AR320" s="80"/>
      <c r="AS320" s="80" t="s">
        <v>2664</v>
      </c>
      <c r="AT320" s="85" t="str">
        <f>HYPERLINK("https://www.youtube.com/channel/UCAMeifLg83EHL1oqulx7IvQ")</f>
        <v>https://www.youtube.com/channel/UCAMeifLg83EHL1oqulx7IvQ</v>
      </c>
      <c r="AU320" s="80" t="str">
        <f>REPLACE(INDEX(GroupVertices[Group],MATCH(Vertices[[#This Row],[Vertex]],GroupVertices[Vertex],0)),1,1,"")</f>
        <v>11</v>
      </c>
      <c r="AV320" s="49">
        <v>0</v>
      </c>
      <c r="AW320" s="50">
        <v>0</v>
      </c>
      <c r="AX320" s="49">
        <v>0</v>
      </c>
      <c r="AY320" s="50">
        <v>0</v>
      </c>
      <c r="AZ320" s="49">
        <v>0</v>
      </c>
      <c r="BA320" s="50">
        <v>0</v>
      </c>
      <c r="BB320" s="49">
        <v>7</v>
      </c>
      <c r="BC320" s="50">
        <v>100</v>
      </c>
      <c r="BD320" s="49">
        <v>7</v>
      </c>
      <c r="BE320" s="49"/>
      <c r="BF320" s="49"/>
      <c r="BG320" s="49"/>
      <c r="BH320" s="49"/>
      <c r="BI320" s="49"/>
      <c r="BJ320" s="49"/>
      <c r="BK320" s="111" t="s">
        <v>3912</v>
      </c>
      <c r="BL320" s="111" t="s">
        <v>3912</v>
      </c>
      <c r="BM320" s="111" t="s">
        <v>4376</v>
      </c>
      <c r="BN320" s="111" t="s">
        <v>4376</v>
      </c>
      <c r="BO320" s="2"/>
      <c r="BP320" s="3"/>
      <c r="BQ320" s="3"/>
      <c r="BR320" s="3"/>
      <c r="BS320" s="3"/>
    </row>
    <row r="321" spans="1:71" ht="15">
      <c r="A321" s="65" t="s">
        <v>521</v>
      </c>
      <c r="B321" s="66"/>
      <c r="C321" s="66"/>
      <c r="D321" s="67">
        <v>150</v>
      </c>
      <c r="E321" s="69"/>
      <c r="F321" s="103" t="str">
        <f>HYPERLINK("https://yt3.ggpht.com/ytc/AAUvwniDzBcjljOihcUDBiH6VBfb5a0mG4EJwGQG=s88-c-k-c0x00ffffff-no-rj")</f>
        <v>https://yt3.ggpht.com/ytc/AAUvwniDzBcjljOihcUDBiH6VBfb5a0mG4EJwGQG=s88-c-k-c0x00ffffff-no-rj</v>
      </c>
      <c r="G321" s="66"/>
      <c r="H321" s="70" t="s">
        <v>1880</v>
      </c>
      <c r="I321" s="71"/>
      <c r="J321" s="71" t="s">
        <v>159</v>
      </c>
      <c r="K321" s="70" t="s">
        <v>1880</v>
      </c>
      <c r="L321" s="74">
        <v>1</v>
      </c>
      <c r="M321" s="75">
        <v>7664.01171875</v>
      </c>
      <c r="N321" s="75">
        <v>2962.179443359375</v>
      </c>
      <c r="O321" s="76"/>
      <c r="P321" s="77"/>
      <c r="Q321" s="77"/>
      <c r="R321" s="89"/>
      <c r="S321" s="49">
        <v>0</v>
      </c>
      <c r="T321" s="49">
        <v>1</v>
      </c>
      <c r="U321" s="50">
        <v>0</v>
      </c>
      <c r="V321" s="50">
        <v>0.027778</v>
      </c>
      <c r="W321" s="50">
        <v>0</v>
      </c>
      <c r="X321" s="50">
        <v>0.53388</v>
      </c>
      <c r="Y321" s="50">
        <v>0</v>
      </c>
      <c r="Z321" s="50">
        <v>0</v>
      </c>
      <c r="AA321" s="72">
        <v>321</v>
      </c>
      <c r="AB321" s="72"/>
      <c r="AC321" s="73"/>
      <c r="AD321" s="80" t="s">
        <v>1880</v>
      </c>
      <c r="AE321" s="80"/>
      <c r="AF321" s="80"/>
      <c r="AG321" s="80"/>
      <c r="AH321" s="80"/>
      <c r="AI321" s="80"/>
      <c r="AJ321" s="87">
        <v>43955.40457175926</v>
      </c>
      <c r="AK321" s="85" t="str">
        <f>HYPERLINK("https://yt3.ggpht.com/ytc/AAUvwniDzBcjljOihcUDBiH6VBfb5a0mG4EJwGQG=s88-c-k-c0x00ffffff-no-rj")</f>
        <v>https://yt3.ggpht.com/ytc/AAUvwniDzBcjljOihcUDBiH6VBfb5a0mG4EJwGQG=s88-c-k-c0x00ffffff-no-rj</v>
      </c>
      <c r="AL321" s="80">
        <v>0</v>
      </c>
      <c r="AM321" s="80">
        <v>0</v>
      </c>
      <c r="AN321" s="80">
        <v>0</v>
      </c>
      <c r="AO321" s="80" t="b">
        <v>0</v>
      </c>
      <c r="AP321" s="80">
        <v>0</v>
      </c>
      <c r="AQ321" s="80"/>
      <c r="AR321" s="80"/>
      <c r="AS321" s="80" t="s">
        <v>2664</v>
      </c>
      <c r="AT321" s="85" t="str">
        <f>HYPERLINK("https://www.youtube.com/channel/UCgySfE0SXpRKvRrD6JBhVdg")</f>
        <v>https://www.youtube.com/channel/UCgySfE0SXpRKvRrD6JBhVdg</v>
      </c>
      <c r="AU321" s="80" t="str">
        <f>REPLACE(INDEX(GroupVertices[Group],MATCH(Vertices[[#This Row],[Vertex]],GroupVertices[Vertex],0)),1,1,"")</f>
        <v>11</v>
      </c>
      <c r="AV321" s="49">
        <v>0</v>
      </c>
      <c r="AW321" s="50">
        <v>0</v>
      </c>
      <c r="AX321" s="49">
        <v>1</v>
      </c>
      <c r="AY321" s="50">
        <v>16.666666666666668</v>
      </c>
      <c r="AZ321" s="49">
        <v>0</v>
      </c>
      <c r="BA321" s="50">
        <v>0</v>
      </c>
      <c r="BB321" s="49">
        <v>5</v>
      </c>
      <c r="BC321" s="50">
        <v>83.33333333333333</v>
      </c>
      <c r="BD321" s="49">
        <v>6</v>
      </c>
      <c r="BE321" s="49"/>
      <c r="BF321" s="49"/>
      <c r="BG321" s="49"/>
      <c r="BH321" s="49"/>
      <c r="BI321" s="49"/>
      <c r="BJ321" s="49"/>
      <c r="BK321" s="111" t="s">
        <v>3913</v>
      </c>
      <c r="BL321" s="111" t="s">
        <v>3913</v>
      </c>
      <c r="BM321" s="111" t="s">
        <v>4377</v>
      </c>
      <c r="BN321" s="111" t="s">
        <v>4377</v>
      </c>
      <c r="BO321" s="2"/>
      <c r="BP321" s="3"/>
      <c r="BQ321" s="3"/>
      <c r="BR321" s="3"/>
      <c r="BS321" s="3"/>
    </row>
    <row r="322" spans="1:71" ht="15">
      <c r="A322" s="65" t="s">
        <v>522</v>
      </c>
      <c r="B322" s="66"/>
      <c r="C322" s="66"/>
      <c r="D322" s="67">
        <v>150</v>
      </c>
      <c r="E322" s="69"/>
      <c r="F322" s="103" t="str">
        <f>HYPERLINK("https://yt3.ggpht.com/ytc/AAUvwngvIvAwv3b6E6ramwvyNj9m9q11dMFbTmpe5xnn=s88-c-k-c0x00ffffff-no-rj")</f>
        <v>https://yt3.ggpht.com/ytc/AAUvwngvIvAwv3b6E6ramwvyNj9m9q11dMFbTmpe5xnn=s88-c-k-c0x00ffffff-no-rj</v>
      </c>
      <c r="G322" s="66"/>
      <c r="H322" s="70" t="s">
        <v>1881</v>
      </c>
      <c r="I322" s="71"/>
      <c r="J322" s="71" t="s">
        <v>159</v>
      </c>
      <c r="K322" s="70" t="s">
        <v>1881</v>
      </c>
      <c r="L322" s="74">
        <v>1</v>
      </c>
      <c r="M322" s="75">
        <v>7708.7734375</v>
      </c>
      <c r="N322" s="75">
        <v>3265.7412109375</v>
      </c>
      <c r="O322" s="76"/>
      <c r="P322" s="77"/>
      <c r="Q322" s="77"/>
      <c r="R322" s="89"/>
      <c r="S322" s="49">
        <v>0</v>
      </c>
      <c r="T322" s="49">
        <v>1</v>
      </c>
      <c r="U322" s="50">
        <v>0</v>
      </c>
      <c r="V322" s="50">
        <v>0.027778</v>
      </c>
      <c r="W322" s="50">
        <v>0</v>
      </c>
      <c r="X322" s="50">
        <v>0.53388</v>
      </c>
      <c r="Y322" s="50">
        <v>0</v>
      </c>
      <c r="Z322" s="50">
        <v>0</v>
      </c>
      <c r="AA322" s="72">
        <v>322</v>
      </c>
      <c r="AB322" s="72"/>
      <c r="AC322" s="73"/>
      <c r="AD322" s="80" t="s">
        <v>1881</v>
      </c>
      <c r="AE322" s="80"/>
      <c r="AF322" s="80"/>
      <c r="AG322" s="80"/>
      <c r="AH322" s="80"/>
      <c r="AI322" s="80"/>
      <c r="AJ322" s="87">
        <v>44253.65158564815</v>
      </c>
      <c r="AK322" s="85" t="str">
        <f>HYPERLINK("https://yt3.ggpht.com/ytc/AAUvwngvIvAwv3b6E6ramwvyNj9m9q11dMFbTmpe5xnn=s88-c-k-c0x00ffffff-no-rj")</f>
        <v>https://yt3.ggpht.com/ytc/AAUvwngvIvAwv3b6E6ramwvyNj9m9q11dMFbTmpe5xnn=s88-c-k-c0x00ffffff-no-rj</v>
      </c>
      <c r="AL322" s="80">
        <v>0</v>
      </c>
      <c r="AM322" s="80">
        <v>0</v>
      </c>
      <c r="AN322" s="80">
        <v>0</v>
      </c>
      <c r="AO322" s="80" t="b">
        <v>0</v>
      </c>
      <c r="AP322" s="80">
        <v>0</v>
      </c>
      <c r="AQ322" s="80"/>
      <c r="AR322" s="80"/>
      <c r="AS322" s="80" t="s">
        <v>2664</v>
      </c>
      <c r="AT322" s="85" t="str">
        <f>HYPERLINK("https://www.youtube.com/channel/UCY4U7-wx-X0UTCeALjUgsuA")</f>
        <v>https://www.youtube.com/channel/UCY4U7-wx-X0UTCeALjUgsuA</v>
      </c>
      <c r="AU322" s="80" t="str">
        <f>REPLACE(INDEX(GroupVertices[Group],MATCH(Vertices[[#This Row],[Vertex]],GroupVertices[Vertex],0)),1,1,"")</f>
        <v>11</v>
      </c>
      <c r="AV322" s="49">
        <v>0</v>
      </c>
      <c r="AW322" s="50">
        <v>0</v>
      </c>
      <c r="AX322" s="49">
        <v>1</v>
      </c>
      <c r="AY322" s="50">
        <v>9.090909090909092</v>
      </c>
      <c r="AZ322" s="49">
        <v>0</v>
      </c>
      <c r="BA322" s="50">
        <v>0</v>
      </c>
      <c r="BB322" s="49">
        <v>10</v>
      </c>
      <c r="BC322" s="50">
        <v>90.9090909090909</v>
      </c>
      <c r="BD322" s="49">
        <v>11</v>
      </c>
      <c r="BE322" s="49"/>
      <c r="BF322" s="49"/>
      <c r="BG322" s="49"/>
      <c r="BH322" s="49"/>
      <c r="BI322" s="49"/>
      <c r="BJ322" s="49"/>
      <c r="BK322" s="111" t="s">
        <v>3914</v>
      </c>
      <c r="BL322" s="111" t="s">
        <v>3914</v>
      </c>
      <c r="BM322" s="111" t="s">
        <v>4378</v>
      </c>
      <c r="BN322" s="111" t="s">
        <v>4378</v>
      </c>
      <c r="BO322" s="2"/>
      <c r="BP322" s="3"/>
      <c r="BQ322" s="3"/>
      <c r="BR322" s="3"/>
      <c r="BS322" s="3"/>
    </row>
    <row r="323" spans="1:71" ht="15">
      <c r="A323" s="65" t="s">
        <v>523</v>
      </c>
      <c r="B323" s="66"/>
      <c r="C323" s="66"/>
      <c r="D323" s="67">
        <v>150</v>
      </c>
      <c r="E323" s="69"/>
      <c r="F323" s="103" t="str">
        <f>HYPERLINK("https://yt3.ggpht.com/ytc/AAUvwnit5MuzJ_MLC14M4EcTQgAi8pgp4RUndt7ItM92Vg=s88-c-k-c0x00ffffff-no-rj")</f>
        <v>https://yt3.ggpht.com/ytc/AAUvwnit5MuzJ_MLC14M4EcTQgAi8pgp4RUndt7ItM92Vg=s88-c-k-c0x00ffffff-no-rj</v>
      </c>
      <c r="G323" s="66"/>
      <c r="H323" s="70" t="s">
        <v>1882</v>
      </c>
      <c r="I323" s="71"/>
      <c r="J323" s="71" t="s">
        <v>159</v>
      </c>
      <c r="K323" s="70" t="s">
        <v>1882</v>
      </c>
      <c r="L323" s="74">
        <v>1</v>
      </c>
      <c r="M323" s="75">
        <v>8884.4619140625</v>
      </c>
      <c r="N323" s="75">
        <v>3373.124267578125</v>
      </c>
      <c r="O323" s="76"/>
      <c r="P323" s="77"/>
      <c r="Q323" s="77"/>
      <c r="R323" s="89"/>
      <c r="S323" s="49">
        <v>0</v>
      </c>
      <c r="T323" s="49">
        <v>1</v>
      </c>
      <c r="U323" s="50">
        <v>0</v>
      </c>
      <c r="V323" s="50">
        <v>0.027778</v>
      </c>
      <c r="W323" s="50">
        <v>0</v>
      </c>
      <c r="X323" s="50">
        <v>0.53388</v>
      </c>
      <c r="Y323" s="50">
        <v>0</v>
      </c>
      <c r="Z323" s="50">
        <v>0</v>
      </c>
      <c r="AA323" s="72">
        <v>323</v>
      </c>
      <c r="AB323" s="72"/>
      <c r="AC323" s="73"/>
      <c r="AD323" s="80" t="s">
        <v>1882</v>
      </c>
      <c r="AE323" s="80" t="s">
        <v>2523</v>
      </c>
      <c r="AF323" s="80"/>
      <c r="AG323" s="80"/>
      <c r="AH323" s="80"/>
      <c r="AI323" s="80"/>
      <c r="AJ323" s="87">
        <v>43199.628113425926</v>
      </c>
      <c r="AK323" s="85" t="str">
        <f>HYPERLINK("https://yt3.ggpht.com/ytc/AAUvwnit5MuzJ_MLC14M4EcTQgAi8pgp4RUndt7ItM92Vg=s88-c-k-c0x00ffffff-no-rj")</f>
        <v>https://yt3.ggpht.com/ytc/AAUvwnit5MuzJ_MLC14M4EcTQgAi8pgp4RUndt7ItM92Vg=s88-c-k-c0x00ffffff-no-rj</v>
      </c>
      <c r="AL323" s="80">
        <v>4</v>
      </c>
      <c r="AM323" s="80">
        <v>0</v>
      </c>
      <c r="AN323" s="80">
        <v>0</v>
      </c>
      <c r="AO323" s="80" t="b">
        <v>0</v>
      </c>
      <c r="AP323" s="80">
        <v>1</v>
      </c>
      <c r="AQ323" s="80"/>
      <c r="AR323" s="80"/>
      <c r="AS323" s="80" t="s">
        <v>2664</v>
      </c>
      <c r="AT323" s="85" t="str">
        <f>HYPERLINK("https://www.youtube.com/channel/UChXypeawFlFg1TNm7chU2hg")</f>
        <v>https://www.youtube.com/channel/UChXypeawFlFg1TNm7chU2hg</v>
      </c>
      <c r="AU323" s="80" t="str">
        <f>REPLACE(INDEX(GroupVertices[Group],MATCH(Vertices[[#This Row],[Vertex]],GroupVertices[Vertex],0)),1,1,"")</f>
        <v>11</v>
      </c>
      <c r="AV323" s="49">
        <v>1</v>
      </c>
      <c r="AW323" s="50">
        <v>33.333333333333336</v>
      </c>
      <c r="AX323" s="49">
        <v>0</v>
      </c>
      <c r="AY323" s="50">
        <v>0</v>
      </c>
      <c r="AZ323" s="49">
        <v>0</v>
      </c>
      <c r="BA323" s="50">
        <v>0</v>
      </c>
      <c r="BB323" s="49">
        <v>2</v>
      </c>
      <c r="BC323" s="50">
        <v>66.66666666666667</v>
      </c>
      <c r="BD323" s="49">
        <v>3</v>
      </c>
      <c r="BE323" s="49"/>
      <c r="BF323" s="49"/>
      <c r="BG323" s="49"/>
      <c r="BH323" s="49"/>
      <c r="BI323" s="49"/>
      <c r="BJ323" s="49"/>
      <c r="BK323" s="111" t="s">
        <v>2716</v>
      </c>
      <c r="BL323" s="111" t="s">
        <v>2716</v>
      </c>
      <c r="BM323" s="111" t="s">
        <v>2390</v>
      </c>
      <c r="BN323" s="111" t="s">
        <v>2390</v>
      </c>
      <c r="BO323" s="2"/>
      <c r="BP323" s="3"/>
      <c r="BQ323" s="3"/>
      <c r="BR323" s="3"/>
      <c r="BS323" s="3"/>
    </row>
    <row r="324" spans="1:71" ht="15">
      <c r="A324" s="65" t="s">
        <v>524</v>
      </c>
      <c r="B324" s="66"/>
      <c r="C324" s="66"/>
      <c r="D324" s="67">
        <v>150</v>
      </c>
      <c r="E324" s="69"/>
      <c r="F324" s="103" t="str">
        <f>HYPERLINK("https://yt3.ggpht.com/ytc/AAUvwninS7OHBUt7k5e6Dq6gNgpQTmqNyFJpgJUbTA=s88-c-k-c0x00ffffff-no-rj")</f>
        <v>https://yt3.ggpht.com/ytc/AAUvwninS7OHBUt7k5e6Dq6gNgpQTmqNyFJpgJUbTA=s88-c-k-c0x00ffffff-no-rj</v>
      </c>
      <c r="G324" s="66"/>
      <c r="H324" s="70" t="s">
        <v>1883</v>
      </c>
      <c r="I324" s="71"/>
      <c r="J324" s="71" t="s">
        <v>159</v>
      </c>
      <c r="K324" s="70" t="s">
        <v>1883</v>
      </c>
      <c r="L324" s="74">
        <v>1</v>
      </c>
      <c r="M324" s="75">
        <v>9415.1943359375</v>
      </c>
      <c r="N324" s="75">
        <v>1755.604736328125</v>
      </c>
      <c r="O324" s="76"/>
      <c r="P324" s="77"/>
      <c r="Q324" s="77"/>
      <c r="R324" s="89"/>
      <c r="S324" s="49">
        <v>0</v>
      </c>
      <c r="T324" s="49">
        <v>1</v>
      </c>
      <c r="U324" s="50">
        <v>0</v>
      </c>
      <c r="V324" s="50">
        <v>0.333333</v>
      </c>
      <c r="W324" s="50">
        <v>0</v>
      </c>
      <c r="X324" s="50">
        <v>0.638297</v>
      </c>
      <c r="Y324" s="50">
        <v>0</v>
      </c>
      <c r="Z324" s="50">
        <v>0</v>
      </c>
      <c r="AA324" s="72">
        <v>324</v>
      </c>
      <c r="AB324" s="72"/>
      <c r="AC324" s="73"/>
      <c r="AD324" s="80" t="s">
        <v>1883</v>
      </c>
      <c r="AE324" s="80"/>
      <c r="AF324" s="80"/>
      <c r="AG324" s="80"/>
      <c r="AH324" s="80"/>
      <c r="AI324" s="80"/>
      <c r="AJ324" s="87">
        <v>44110.79702546296</v>
      </c>
      <c r="AK324" s="85" t="str">
        <f>HYPERLINK("https://yt3.ggpht.com/ytc/AAUvwninS7OHBUt7k5e6Dq6gNgpQTmqNyFJpgJUbTA=s88-c-k-c0x00ffffff-no-rj")</f>
        <v>https://yt3.ggpht.com/ytc/AAUvwninS7OHBUt7k5e6Dq6gNgpQTmqNyFJpgJUbTA=s88-c-k-c0x00ffffff-no-rj</v>
      </c>
      <c r="AL324" s="80">
        <v>0</v>
      </c>
      <c r="AM324" s="80">
        <v>0</v>
      </c>
      <c r="AN324" s="80">
        <v>1</v>
      </c>
      <c r="AO324" s="80" t="b">
        <v>0</v>
      </c>
      <c r="AP324" s="80">
        <v>0</v>
      </c>
      <c r="AQ324" s="80"/>
      <c r="AR324" s="80"/>
      <c r="AS324" s="80" t="s">
        <v>2664</v>
      </c>
      <c r="AT324" s="85" t="str">
        <f>HYPERLINK("https://www.youtube.com/channel/UCKm4hpcuWTvzF-fk4AQlVBg")</f>
        <v>https://www.youtube.com/channel/UCKm4hpcuWTvzF-fk4AQlVBg</v>
      </c>
      <c r="AU324" s="80" t="str">
        <f>REPLACE(INDEX(GroupVertices[Group],MATCH(Vertices[[#This Row],[Vertex]],GroupVertices[Vertex],0)),1,1,"")</f>
        <v>21</v>
      </c>
      <c r="AV324" s="49">
        <v>1</v>
      </c>
      <c r="AW324" s="50">
        <v>14.285714285714286</v>
      </c>
      <c r="AX324" s="49">
        <v>0</v>
      </c>
      <c r="AY324" s="50">
        <v>0</v>
      </c>
      <c r="AZ324" s="49">
        <v>0</v>
      </c>
      <c r="BA324" s="50">
        <v>0</v>
      </c>
      <c r="BB324" s="49">
        <v>6</v>
      </c>
      <c r="BC324" s="50">
        <v>85.71428571428571</v>
      </c>
      <c r="BD324" s="49">
        <v>7</v>
      </c>
      <c r="BE324" s="49"/>
      <c r="BF324" s="49"/>
      <c r="BG324" s="49"/>
      <c r="BH324" s="49"/>
      <c r="BI324" s="49"/>
      <c r="BJ324" s="49"/>
      <c r="BK324" s="111" t="s">
        <v>3915</v>
      </c>
      <c r="BL324" s="111" t="s">
        <v>3915</v>
      </c>
      <c r="BM324" s="111" t="s">
        <v>4379</v>
      </c>
      <c r="BN324" s="111" t="s">
        <v>4379</v>
      </c>
      <c r="BO324" s="2"/>
      <c r="BP324" s="3"/>
      <c r="BQ324" s="3"/>
      <c r="BR324" s="3"/>
      <c r="BS324" s="3"/>
    </row>
    <row r="325" spans="1:71" ht="15">
      <c r="A325" s="65" t="s">
        <v>836</v>
      </c>
      <c r="B325" s="66"/>
      <c r="C325" s="66"/>
      <c r="D325" s="67">
        <v>575</v>
      </c>
      <c r="E325" s="69"/>
      <c r="F325" s="103" t="str">
        <f>HYPERLINK("https://yt3.ggpht.com/ytc/AAUvwngzQBlgK4DE2edY3oOAS7zZXgJlmwbrgUD_jxO9oQ=s88-c-k-c0x00ffffff-no-rj")</f>
        <v>https://yt3.ggpht.com/ytc/AAUvwngzQBlgK4DE2edY3oOAS7zZXgJlmwbrgUD_jxO9oQ=s88-c-k-c0x00ffffff-no-rj</v>
      </c>
      <c r="G325" s="66"/>
      <c r="H325" s="70" t="s">
        <v>2411</v>
      </c>
      <c r="I325" s="71"/>
      <c r="J325" s="71" t="s">
        <v>75</v>
      </c>
      <c r="K325" s="70" t="s">
        <v>2411</v>
      </c>
      <c r="L325" s="74">
        <v>286.65714285714284</v>
      </c>
      <c r="M325" s="75">
        <v>9415.1943359375</v>
      </c>
      <c r="N325" s="75">
        <v>1509.964599609375</v>
      </c>
      <c r="O325" s="76"/>
      <c r="P325" s="77"/>
      <c r="Q325" s="77"/>
      <c r="R325" s="89"/>
      <c r="S325" s="49">
        <v>3</v>
      </c>
      <c r="T325" s="49">
        <v>1</v>
      </c>
      <c r="U325" s="50">
        <v>2</v>
      </c>
      <c r="V325" s="50">
        <v>0.5</v>
      </c>
      <c r="W325" s="50">
        <v>0</v>
      </c>
      <c r="X325" s="50">
        <v>1.723403</v>
      </c>
      <c r="Y325" s="50">
        <v>0</v>
      </c>
      <c r="Z325" s="50">
        <v>0</v>
      </c>
      <c r="AA325" s="72">
        <v>325</v>
      </c>
      <c r="AB325" s="72"/>
      <c r="AC325" s="73"/>
      <c r="AD325" s="80" t="s">
        <v>2411</v>
      </c>
      <c r="AE325" s="80" t="s">
        <v>2524</v>
      </c>
      <c r="AF325" s="80"/>
      <c r="AG325" s="80"/>
      <c r="AH325" s="80"/>
      <c r="AI325" s="80" t="s">
        <v>2640</v>
      </c>
      <c r="AJ325" s="87">
        <v>40086.68547453704</v>
      </c>
      <c r="AK325" s="85" t="str">
        <f>HYPERLINK("https://yt3.ggpht.com/ytc/AAUvwngzQBlgK4DE2edY3oOAS7zZXgJlmwbrgUD_jxO9oQ=s88-c-k-c0x00ffffff-no-rj")</f>
        <v>https://yt3.ggpht.com/ytc/AAUvwngzQBlgK4DE2edY3oOAS7zZXgJlmwbrgUD_jxO9oQ=s88-c-k-c0x00ffffff-no-rj</v>
      </c>
      <c r="AL325" s="80">
        <v>1305774</v>
      </c>
      <c r="AM325" s="80">
        <v>0</v>
      </c>
      <c r="AN325" s="80">
        <v>3670</v>
      </c>
      <c r="AO325" s="80" t="b">
        <v>0</v>
      </c>
      <c r="AP325" s="80">
        <v>319</v>
      </c>
      <c r="AQ325" s="80"/>
      <c r="AR325" s="80"/>
      <c r="AS325" s="80" t="s">
        <v>2664</v>
      </c>
      <c r="AT325" s="85" t="str">
        <f>HYPERLINK("https://www.youtube.com/channel/UCigXBTUNLcFuQMg-RgJvSgg")</f>
        <v>https://www.youtube.com/channel/UCigXBTUNLcFuQMg-RgJvSgg</v>
      </c>
      <c r="AU325" s="80" t="str">
        <f>REPLACE(INDEX(GroupVertices[Group],MATCH(Vertices[[#This Row],[Vertex]],GroupVertices[Vertex],0)),1,1,"")</f>
        <v>21</v>
      </c>
      <c r="AV325" s="49"/>
      <c r="AW325" s="50"/>
      <c r="AX325" s="49"/>
      <c r="AY325" s="50"/>
      <c r="AZ325" s="49"/>
      <c r="BA325" s="50"/>
      <c r="BB325" s="49"/>
      <c r="BC325" s="50"/>
      <c r="BD325" s="49"/>
      <c r="BE325" s="49"/>
      <c r="BF325" s="49"/>
      <c r="BG325" s="49"/>
      <c r="BH325" s="49"/>
      <c r="BI325" s="49"/>
      <c r="BJ325" s="49"/>
      <c r="BK325" s="111" t="s">
        <v>2390</v>
      </c>
      <c r="BL325" s="111" t="s">
        <v>2390</v>
      </c>
      <c r="BM325" s="111" t="s">
        <v>2390</v>
      </c>
      <c r="BN325" s="111" t="s">
        <v>2390</v>
      </c>
      <c r="BO325" s="2"/>
      <c r="BP325" s="3"/>
      <c r="BQ325" s="3"/>
      <c r="BR325" s="3"/>
      <c r="BS325" s="3"/>
    </row>
    <row r="326" spans="1:71" ht="15">
      <c r="A326" s="65" t="s">
        <v>525</v>
      </c>
      <c r="B326" s="66"/>
      <c r="C326" s="66"/>
      <c r="D326" s="67">
        <v>150</v>
      </c>
      <c r="E326" s="69"/>
      <c r="F326" s="103" t="str">
        <f>HYPERLINK("https://yt3.ggpht.com/ytc/AAUvwngD0X4TMQ2TlnHwyChblOfc08QqeE6iFH8WWg=s88-c-k-c0x00ffffff-no-rj")</f>
        <v>https://yt3.ggpht.com/ytc/AAUvwngD0X4TMQ2TlnHwyChblOfc08QqeE6iFH8WWg=s88-c-k-c0x00ffffff-no-rj</v>
      </c>
      <c r="G326" s="66"/>
      <c r="H326" s="70" t="s">
        <v>1884</v>
      </c>
      <c r="I326" s="71"/>
      <c r="J326" s="71" t="s">
        <v>159</v>
      </c>
      <c r="K326" s="70" t="s">
        <v>1884</v>
      </c>
      <c r="L326" s="74">
        <v>1</v>
      </c>
      <c r="M326" s="75">
        <v>9733.6337890625</v>
      </c>
      <c r="N326" s="75">
        <v>1755.604736328125</v>
      </c>
      <c r="O326" s="76"/>
      <c r="P326" s="77"/>
      <c r="Q326" s="77"/>
      <c r="R326" s="89"/>
      <c r="S326" s="49">
        <v>0</v>
      </c>
      <c r="T326" s="49">
        <v>1</v>
      </c>
      <c r="U326" s="50">
        <v>0</v>
      </c>
      <c r="V326" s="50">
        <v>0.333333</v>
      </c>
      <c r="W326" s="50">
        <v>0</v>
      </c>
      <c r="X326" s="50">
        <v>0.638297</v>
      </c>
      <c r="Y326" s="50">
        <v>0</v>
      </c>
      <c r="Z326" s="50">
        <v>0</v>
      </c>
      <c r="AA326" s="72">
        <v>326</v>
      </c>
      <c r="AB326" s="72"/>
      <c r="AC326" s="73"/>
      <c r="AD326" s="80" t="s">
        <v>1884</v>
      </c>
      <c r="AE326" s="80"/>
      <c r="AF326" s="80"/>
      <c r="AG326" s="80"/>
      <c r="AH326" s="80"/>
      <c r="AI326" s="80"/>
      <c r="AJ326" s="87">
        <v>43130.2071875</v>
      </c>
      <c r="AK326" s="85" t="str">
        <f>HYPERLINK("https://yt3.ggpht.com/ytc/AAUvwngD0X4TMQ2TlnHwyChblOfc08QqeE6iFH8WWg=s88-c-k-c0x00ffffff-no-rj")</f>
        <v>https://yt3.ggpht.com/ytc/AAUvwngD0X4TMQ2TlnHwyChblOfc08QqeE6iFH8WWg=s88-c-k-c0x00ffffff-no-rj</v>
      </c>
      <c r="AL326" s="80">
        <v>0</v>
      </c>
      <c r="AM326" s="80">
        <v>0</v>
      </c>
      <c r="AN326" s="80">
        <v>0</v>
      </c>
      <c r="AO326" s="80" t="b">
        <v>0</v>
      </c>
      <c r="AP326" s="80">
        <v>0</v>
      </c>
      <c r="AQ326" s="80"/>
      <c r="AR326" s="80"/>
      <c r="AS326" s="80" t="s">
        <v>2664</v>
      </c>
      <c r="AT326" s="85" t="str">
        <f>HYPERLINK("https://www.youtube.com/channel/UCvKp1ptbneYFIHWUpUNYbHQ")</f>
        <v>https://www.youtube.com/channel/UCvKp1ptbneYFIHWUpUNYbHQ</v>
      </c>
      <c r="AU326" s="80" t="str">
        <f>REPLACE(INDEX(GroupVertices[Group],MATCH(Vertices[[#This Row],[Vertex]],GroupVertices[Vertex],0)),1,1,"")</f>
        <v>21</v>
      </c>
      <c r="AV326" s="49">
        <v>0</v>
      </c>
      <c r="AW326" s="50">
        <v>0</v>
      </c>
      <c r="AX326" s="49">
        <v>1</v>
      </c>
      <c r="AY326" s="50">
        <v>9.090909090909092</v>
      </c>
      <c r="AZ326" s="49">
        <v>0</v>
      </c>
      <c r="BA326" s="50">
        <v>0</v>
      </c>
      <c r="BB326" s="49">
        <v>10</v>
      </c>
      <c r="BC326" s="50">
        <v>90.9090909090909</v>
      </c>
      <c r="BD326" s="49">
        <v>11</v>
      </c>
      <c r="BE326" s="49"/>
      <c r="BF326" s="49"/>
      <c r="BG326" s="49"/>
      <c r="BH326" s="49"/>
      <c r="BI326" s="49"/>
      <c r="BJ326" s="49"/>
      <c r="BK326" s="111" t="s">
        <v>3916</v>
      </c>
      <c r="BL326" s="111" t="s">
        <v>3916</v>
      </c>
      <c r="BM326" s="111" t="s">
        <v>4380</v>
      </c>
      <c r="BN326" s="111" t="s">
        <v>4380</v>
      </c>
      <c r="BO326" s="2"/>
      <c r="BP326" s="3"/>
      <c r="BQ326" s="3"/>
      <c r="BR326" s="3"/>
      <c r="BS326" s="3"/>
    </row>
    <row r="327" spans="1:71" ht="15">
      <c r="A327" s="65" t="s">
        <v>526</v>
      </c>
      <c r="B327" s="66"/>
      <c r="C327" s="66"/>
      <c r="D327" s="67">
        <v>1000</v>
      </c>
      <c r="E327" s="69"/>
      <c r="F327" s="103" t="str">
        <f>HYPERLINK("https://yt3.ggpht.com/ytc/AAUvwnh2uIgBg3Rs0gQuensZrfQJPUyAKF3k3nO73L1_Ow=s88-c-k-c0x00ffffff-no-rj")</f>
        <v>https://yt3.ggpht.com/ytc/AAUvwnh2uIgBg3Rs0gQuensZrfQJPUyAKF3k3nO73L1_Ow=s88-c-k-c0x00ffffff-no-rj</v>
      </c>
      <c r="G327" s="66"/>
      <c r="H327" s="70" t="s">
        <v>1885</v>
      </c>
      <c r="I327" s="71"/>
      <c r="J327" s="71" t="s">
        <v>75</v>
      </c>
      <c r="K327" s="70" t="s">
        <v>1885</v>
      </c>
      <c r="L327" s="74">
        <v>572.3142857142857</v>
      </c>
      <c r="M327" s="75">
        <v>8222.220703125</v>
      </c>
      <c r="N327" s="75">
        <v>2111.58935546875</v>
      </c>
      <c r="O327" s="76"/>
      <c r="P327" s="77"/>
      <c r="Q327" s="77"/>
      <c r="R327" s="89"/>
      <c r="S327" s="49">
        <v>6</v>
      </c>
      <c r="T327" s="49">
        <v>5</v>
      </c>
      <c r="U327" s="50">
        <v>20</v>
      </c>
      <c r="V327" s="50">
        <v>0.2</v>
      </c>
      <c r="W327" s="50">
        <v>0</v>
      </c>
      <c r="X327" s="50">
        <v>2.621951</v>
      </c>
      <c r="Y327" s="50">
        <v>0</v>
      </c>
      <c r="Z327" s="50">
        <v>0.8</v>
      </c>
      <c r="AA327" s="72">
        <v>327</v>
      </c>
      <c r="AB327" s="72"/>
      <c r="AC327" s="73"/>
      <c r="AD327" s="80" t="s">
        <v>1885</v>
      </c>
      <c r="AE327" s="80" t="s">
        <v>2525</v>
      </c>
      <c r="AF327" s="80"/>
      <c r="AG327" s="80"/>
      <c r="AH327" s="80"/>
      <c r="AI327" s="80" t="s">
        <v>1885</v>
      </c>
      <c r="AJ327" s="87">
        <v>43521.89996527778</v>
      </c>
      <c r="AK327" s="85" t="str">
        <f>HYPERLINK("https://yt3.ggpht.com/ytc/AAUvwnh2uIgBg3Rs0gQuensZrfQJPUyAKF3k3nO73L1_Ow=s88-c-k-c0x00ffffff-no-rj")</f>
        <v>https://yt3.ggpht.com/ytc/AAUvwnh2uIgBg3Rs0gQuensZrfQJPUyAKF3k3nO73L1_Ow=s88-c-k-c0x00ffffff-no-rj</v>
      </c>
      <c r="AL327" s="80">
        <v>470122</v>
      </c>
      <c r="AM327" s="80">
        <v>0</v>
      </c>
      <c r="AN327" s="80">
        <v>7160</v>
      </c>
      <c r="AO327" s="80" t="b">
        <v>0</v>
      </c>
      <c r="AP327" s="80">
        <v>95</v>
      </c>
      <c r="AQ327" s="80"/>
      <c r="AR327" s="80"/>
      <c r="AS327" s="80" t="s">
        <v>2664</v>
      </c>
      <c r="AT327" s="85" t="str">
        <f>HYPERLINK("https://www.youtube.com/channel/UCqNRObSCvPqLS8VftXXy9Ow")</f>
        <v>https://www.youtube.com/channel/UCqNRObSCvPqLS8VftXXy9Ow</v>
      </c>
      <c r="AU327" s="80" t="str">
        <f>REPLACE(INDEX(GroupVertices[Group],MATCH(Vertices[[#This Row],[Vertex]],GroupVertices[Vertex],0)),1,1,"")</f>
        <v>16</v>
      </c>
      <c r="AV327" s="49">
        <v>4</v>
      </c>
      <c r="AW327" s="50">
        <v>21.05263157894737</v>
      </c>
      <c r="AX327" s="49">
        <v>1</v>
      </c>
      <c r="AY327" s="50">
        <v>5.2631578947368425</v>
      </c>
      <c r="AZ327" s="49">
        <v>0</v>
      </c>
      <c r="BA327" s="50">
        <v>0</v>
      </c>
      <c r="BB327" s="49">
        <v>14</v>
      </c>
      <c r="BC327" s="50">
        <v>73.6842105263158</v>
      </c>
      <c r="BD327" s="49">
        <v>19</v>
      </c>
      <c r="BE327" s="49"/>
      <c r="BF327" s="49"/>
      <c r="BG327" s="49"/>
      <c r="BH327" s="49"/>
      <c r="BI327" s="49"/>
      <c r="BJ327" s="49"/>
      <c r="BK327" s="111" t="s">
        <v>3917</v>
      </c>
      <c r="BL327" s="111" t="s">
        <v>4132</v>
      </c>
      <c r="BM327" s="111" t="s">
        <v>4381</v>
      </c>
      <c r="BN327" s="111" t="s">
        <v>4381</v>
      </c>
      <c r="BO327" s="2"/>
      <c r="BP327" s="3"/>
      <c r="BQ327" s="3"/>
      <c r="BR327" s="3"/>
      <c r="BS327" s="3"/>
    </row>
    <row r="328" spans="1:71" ht="15">
      <c r="A328" s="65" t="s">
        <v>527</v>
      </c>
      <c r="B328" s="66"/>
      <c r="C328" s="66"/>
      <c r="D328" s="67">
        <v>291.66666666666663</v>
      </c>
      <c r="E328" s="69"/>
      <c r="F328" s="103" t="str">
        <f>HYPERLINK("https://yt3.ggpht.com/TwvVU_8nYHC3UC9IolJfHe7Wvd7EyV9320i_dx3mI25qDWMeVAmwzx574fBk2f6pnEJ6_t4h=s88-c-k-c0x00ffffff-no-rj")</f>
        <v>https://yt3.ggpht.com/TwvVU_8nYHC3UC9IolJfHe7Wvd7EyV9320i_dx3mI25qDWMeVAmwzx574fBk2f6pnEJ6_t4h=s88-c-k-c0x00ffffff-no-rj</v>
      </c>
      <c r="G328" s="66"/>
      <c r="H328" s="70" t="s">
        <v>1886</v>
      </c>
      <c r="I328" s="71"/>
      <c r="J328" s="71" t="s">
        <v>159</v>
      </c>
      <c r="K328" s="70" t="s">
        <v>1886</v>
      </c>
      <c r="L328" s="74">
        <v>96.21904761904761</v>
      </c>
      <c r="M328" s="75">
        <v>8089.85302734375</v>
      </c>
      <c r="N328" s="75">
        <v>1517.1893310546875</v>
      </c>
      <c r="O328" s="76"/>
      <c r="P328" s="77"/>
      <c r="Q328" s="77"/>
      <c r="R328" s="89"/>
      <c r="S328" s="49">
        <v>1</v>
      </c>
      <c r="T328" s="49">
        <v>1</v>
      </c>
      <c r="U328" s="50">
        <v>0</v>
      </c>
      <c r="V328" s="50">
        <v>0.111111</v>
      </c>
      <c r="W328" s="50">
        <v>0</v>
      </c>
      <c r="X328" s="50">
        <v>0.521443</v>
      </c>
      <c r="Y328" s="50">
        <v>0</v>
      </c>
      <c r="Z328" s="50">
        <v>1</v>
      </c>
      <c r="AA328" s="72">
        <v>328</v>
      </c>
      <c r="AB328" s="72"/>
      <c r="AC328" s="73"/>
      <c r="AD328" s="80" t="s">
        <v>1886</v>
      </c>
      <c r="AE328" s="80" t="s">
        <v>2526</v>
      </c>
      <c r="AF328" s="80"/>
      <c r="AG328" s="80"/>
      <c r="AH328" s="80"/>
      <c r="AI328" s="80"/>
      <c r="AJ328" s="87">
        <v>41180.83115740741</v>
      </c>
      <c r="AK328" s="85" t="str">
        <f>HYPERLINK("https://yt3.ggpht.com/TwvVU_8nYHC3UC9IolJfHe7Wvd7EyV9320i_dx3mI25qDWMeVAmwzx574fBk2f6pnEJ6_t4h=s88-c-k-c0x00ffffff-no-rj")</f>
        <v>https://yt3.ggpht.com/TwvVU_8nYHC3UC9IolJfHe7Wvd7EyV9320i_dx3mI25qDWMeVAmwzx574fBk2f6pnEJ6_t4h=s88-c-k-c0x00ffffff-no-rj</v>
      </c>
      <c r="AL328" s="80">
        <v>18252</v>
      </c>
      <c r="AM328" s="80">
        <v>0</v>
      </c>
      <c r="AN328" s="80">
        <v>93</v>
      </c>
      <c r="AO328" s="80" t="b">
        <v>0</v>
      </c>
      <c r="AP328" s="80">
        <v>112</v>
      </c>
      <c r="AQ328" s="80"/>
      <c r="AR328" s="80"/>
      <c r="AS328" s="80" t="s">
        <v>2664</v>
      </c>
      <c r="AT328" s="85" t="str">
        <f>HYPERLINK("https://www.youtube.com/channel/UC5YnhYiAxe6zckSu1_XKeOw")</f>
        <v>https://www.youtube.com/channel/UC5YnhYiAxe6zckSu1_XKeOw</v>
      </c>
      <c r="AU328" s="80" t="str">
        <f>REPLACE(INDEX(GroupVertices[Group],MATCH(Vertices[[#This Row],[Vertex]],GroupVertices[Vertex],0)),1,1,"")</f>
        <v>16</v>
      </c>
      <c r="AV328" s="49">
        <v>1</v>
      </c>
      <c r="AW328" s="50">
        <v>25</v>
      </c>
      <c r="AX328" s="49">
        <v>0</v>
      </c>
      <c r="AY328" s="50">
        <v>0</v>
      </c>
      <c r="AZ328" s="49">
        <v>0</v>
      </c>
      <c r="BA328" s="50">
        <v>0</v>
      </c>
      <c r="BB328" s="49">
        <v>3</v>
      </c>
      <c r="BC328" s="50">
        <v>75</v>
      </c>
      <c r="BD328" s="49">
        <v>4</v>
      </c>
      <c r="BE328" s="49"/>
      <c r="BF328" s="49"/>
      <c r="BG328" s="49"/>
      <c r="BH328" s="49"/>
      <c r="BI328" s="49"/>
      <c r="BJ328" s="49"/>
      <c r="BK328" s="111" t="s">
        <v>3142</v>
      </c>
      <c r="BL328" s="111" t="s">
        <v>3142</v>
      </c>
      <c r="BM328" s="111" t="s">
        <v>2390</v>
      </c>
      <c r="BN328" s="111" t="s">
        <v>2390</v>
      </c>
      <c r="BO328" s="2"/>
      <c r="BP328" s="3"/>
      <c r="BQ328" s="3"/>
      <c r="BR328" s="3"/>
      <c r="BS328" s="3"/>
    </row>
    <row r="329" spans="1:71" ht="15">
      <c r="A329" s="65" t="s">
        <v>528</v>
      </c>
      <c r="B329" s="66"/>
      <c r="C329" s="66"/>
      <c r="D329" s="67">
        <v>433.3333333333333</v>
      </c>
      <c r="E329" s="69"/>
      <c r="F329" s="103" t="str">
        <f>HYPERLINK("https://yt3.ggpht.com/ytc/AAUvwnhVMGvd0R2RuJ5QfoEnW1zQSTp4t9nJRbgulxKN=s88-c-k-c0x00ffffff-no-rj")</f>
        <v>https://yt3.ggpht.com/ytc/AAUvwnhVMGvd0R2RuJ5QfoEnW1zQSTp4t9nJRbgulxKN=s88-c-k-c0x00ffffff-no-rj</v>
      </c>
      <c r="G329" s="66"/>
      <c r="H329" s="70" t="s">
        <v>1887</v>
      </c>
      <c r="I329" s="71"/>
      <c r="J329" s="71" t="s">
        <v>75</v>
      </c>
      <c r="K329" s="70" t="s">
        <v>1887</v>
      </c>
      <c r="L329" s="74">
        <v>191.43809523809523</v>
      </c>
      <c r="M329" s="75">
        <v>8491.7197265625</v>
      </c>
      <c r="N329" s="75">
        <v>2425.097900390625</v>
      </c>
      <c r="O329" s="76"/>
      <c r="P329" s="77"/>
      <c r="Q329" s="77"/>
      <c r="R329" s="89"/>
      <c r="S329" s="49">
        <v>2</v>
      </c>
      <c r="T329" s="49">
        <v>2</v>
      </c>
      <c r="U329" s="50">
        <v>0</v>
      </c>
      <c r="V329" s="50">
        <v>0.111111</v>
      </c>
      <c r="W329" s="50">
        <v>0</v>
      </c>
      <c r="X329" s="50">
        <v>0.906857</v>
      </c>
      <c r="Y329" s="50">
        <v>0</v>
      </c>
      <c r="Z329" s="50">
        <v>1</v>
      </c>
      <c r="AA329" s="72">
        <v>329</v>
      </c>
      <c r="AB329" s="72"/>
      <c r="AC329" s="73"/>
      <c r="AD329" s="80" t="s">
        <v>1887</v>
      </c>
      <c r="AE329" s="80"/>
      <c r="AF329" s="80"/>
      <c r="AG329" s="80"/>
      <c r="AH329" s="80"/>
      <c r="AI329" s="80"/>
      <c r="AJ329" s="87">
        <v>43680.57444444444</v>
      </c>
      <c r="AK329" s="85" t="str">
        <f>HYPERLINK("https://yt3.ggpht.com/ytc/AAUvwnhVMGvd0R2RuJ5QfoEnW1zQSTp4t9nJRbgulxKN=s88-c-k-c0x00ffffff-no-rj")</f>
        <v>https://yt3.ggpht.com/ytc/AAUvwnhVMGvd0R2RuJ5QfoEnW1zQSTp4t9nJRbgulxKN=s88-c-k-c0x00ffffff-no-rj</v>
      </c>
      <c r="AL329" s="80">
        <v>0</v>
      </c>
      <c r="AM329" s="80">
        <v>0</v>
      </c>
      <c r="AN329" s="80">
        <v>0</v>
      </c>
      <c r="AO329" s="80" t="b">
        <v>0</v>
      </c>
      <c r="AP329" s="80">
        <v>0</v>
      </c>
      <c r="AQ329" s="80"/>
      <c r="AR329" s="80"/>
      <c r="AS329" s="80" t="s">
        <v>2664</v>
      </c>
      <c r="AT329" s="85" t="str">
        <f>HYPERLINK("https://www.youtube.com/channel/UChVLSS6O6Ab542U4MN4OSlw")</f>
        <v>https://www.youtube.com/channel/UChVLSS6O6Ab542U4MN4OSlw</v>
      </c>
      <c r="AU329" s="80" t="str">
        <f>REPLACE(INDEX(GroupVertices[Group],MATCH(Vertices[[#This Row],[Vertex]],GroupVertices[Vertex],0)),1,1,"")</f>
        <v>16</v>
      </c>
      <c r="AV329" s="49">
        <v>0</v>
      </c>
      <c r="AW329" s="50">
        <v>0</v>
      </c>
      <c r="AX329" s="49">
        <v>0</v>
      </c>
      <c r="AY329" s="50">
        <v>0</v>
      </c>
      <c r="AZ329" s="49">
        <v>0</v>
      </c>
      <c r="BA329" s="50">
        <v>0</v>
      </c>
      <c r="BB329" s="49">
        <v>3</v>
      </c>
      <c r="BC329" s="50">
        <v>100</v>
      </c>
      <c r="BD329" s="49">
        <v>3</v>
      </c>
      <c r="BE329" s="49"/>
      <c r="BF329" s="49"/>
      <c r="BG329" s="49"/>
      <c r="BH329" s="49"/>
      <c r="BI329" s="49"/>
      <c r="BJ329" s="49"/>
      <c r="BK329" s="111" t="s">
        <v>3918</v>
      </c>
      <c r="BL329" s="111" t="s">
        <v>3918</v>
      </c>
      <c r="BM329" s="111" t="s">
        <v>2390</v>
      </c>
      <c r="BN329" s="111" t="s">
        <v>2390</v>
      </c>
      <c r="BO329" s="2"/>
      <c r="BP329" s="3"/>
      <c r="BQ329" s="3"/>
      <c r="BR329" s="3"/>
      <c r="BS329" s="3"/>
    </row>
    <row r="330" spans="1:71" ht="15">
      <c r="A330" s="65" t="s">
        <v>529</v>
      </c>
      <c r="B330" s="66"/>
      <c r="C330" s="66"/>
      <c r="D330" s="67">
        <v>291.66666666666663</v>
      </c>
      <c r="E330" s="69"/>
      <c r="F330" s="103" t="str">
        <f>HYPERLINK("https://yt3.ggpht.com/ytc/AAUvwniUgEBpdav3sKk4bZdxZLrpB5UHJDXiqgTkAbnQYQ=s88-c-k-c0x00ffffff-no-rj")</f>
        <v>https://yt3.ggpht.com/ytc/AAUvwniUgEBpdav3sKk4bZdxZLrpB5UHJDXiqgTkAbnQYQ=s88-c-k-c0x00ffffff-no-rj</v>
      </c>
      <c r="G330" s="66"/>
      <c r="H330" s="70" t="s">
        <v>1888</v>
      </c>
      <c r="I330" s="71"/>
      <c r="J330" s="71" t="s">
        <v>159</v>
      </c>
      <c r="K330" s="70" t="s">
        <v>1888</v>
      </c>
      <c r="L330" s="74">
        <v>96.21904761904761</v>
      </c>
      <c r="M330" s="75">
        <v>8166.89599609375</v>
      </c>
      <c r="N330" s="75">
        <v>2759.839599609375</v>
      </c>
      <c r="O330" s="76"/>
      <c r="P330" s="77"/>
      <c r="Q330" s="77"/>
      <c r="R330" s="89"/>
      <c r="S330" s="49">
        <v>1</v>
      </c>
      <c r="T330" s="49">
        <v>1</v>
      </c>
      <c r="U330" s="50">
        <v>0</v>
      </c>
      <c r="V330" s="50">
        <v>0.111111</v>
      </c>
      <c r="W330" s="50">
        <v>0</v>
      </c>
      <c r="X330" s="50">
        <v>0.521443</v>
      </c>
      <c r="Y330" s="50">
        <v>0</v>
      </c>
      <c r="Z330" s="50">
        <v>1</v>
      </c>
      <c r="AA330" s="72">
        <v>330</v>
      </c>
      <c r="AB330" s="72"/>
      <c r="AC330" s="73"/>
      <c r="AD330" s="80" t="s">
        <v>1888</v>
      </c>
      <c r="AE330" s="80"/>
      <c r="AF330" s="80"/>
      <c r="AG330" s="80"/>
      <c r="AH330" s="80"/>
      <c r="AI330" s="80"/>
      <c r="AJ330" s="87">
        <v>42998.86074074074</v>
      </c>
      <c r="AK330" s="85" t="str">
        <f>HYPERLINK("https://yt3.ggpht.com/ytc/AAUvwniUgEBpdav3sKk4bZdxZLrpB5UHJDXiqgTkAbnQYQ=s88-c-k-c0x00ffffff-no-rj")</f>
        <v>https://yt3.ggpht.com/ytc/AAUvwniUgEBpdav3sKk4bZdxZLrpB5UHJDXiqgTkAbnQYQ=s88-c-k-c0x00ffffff-no-rj</v>
      </c>
      <c r="AL330" s="80">
        <v>0</v>
      </c>
      <c r="AM330" s="80">
        <v>0</v>
      </c>
      <c r="AN330" s="80">
        <v>1</v>
      </c>
      <c r="AO330" s="80" t="b">
        <v>0</v>
      </c>
      <c r="AP330" s="80">
        <v>0</v>
      </c>
      <c r="AQ330" s="80"/>
      <c r="AR330" s="80"/>
      <c r="AS330" s="80" t="s">
        <v>2664</v>
      </c>
      <c r="AT330" s="85" t="str">
        <f>HYPERLINK("https://www.youtube.com/channel/UCNRTjqb1p3Q3AYPAHZtUcVw")</f>
        <v>https://www.youtube.com/channel/UCNRTjqb1p3Q3AYPAHZtUcVw</v>
      </c>
      <c r="AU330" s="80" t="str">
        <f>REPLACE(INDEX(GroupVertices[Group],MATCH(Vertices[[#This Row],[Vertex]],GroupVertices[Vertex],0)),1,1,"")</f>
        <v>16</v>
      </c>
      <c r="AV330" s="49">
        <v>0</v>
      </c>
      <c r="AW330" s="50">
        <v>0</v>
      </c>
      <c r="AX330" s="49">
        <v>0</v>
      </c>
      <c r="AY330" s="50">
        <v>0</v>
      </c>
      <c r="AZ330" s="49">
        <v>0</v>
      </c>
      <c r="BA330" s="50">
        <v>0</v>
      </c>
      <c r="BB330" s="49">
        <v>1</v>
      </c>
      <c r="BC330" s="50">
        <v>100</v>
      </c>
      <c r="BD330" s="49">
        <v>1</v>
      </c>
      <c r="BE330" s="49"/>
      <c r="BF330" s="49"/>
      <c r="BG330" s="49"/>
      <c r="BH330" s="49"/>
      <c r="BI330" s="49"/>
      <c r="BJ330" s="49"/>
      <c r="BK330" s="111" t="s">
        <v>2390</v>
      </c>
      <c r="BL330" s="111" t="s">
        <v>2390</v>
      </c>
      <c r="BM330" s="111" t="s">
        <v>2390</v>
      </c>
      <c r="BN330" s="111" t="s">
        <v>2390</v>
      </c>
      <c r="BO330" s="2"/>
      <c r="BP330" s="3"/>
      <c r="BQ330" s="3"/>
      <c r="BR330" s="3"/>
      <c r="BS330" s="3"/>
    </row>
    <row r="331" spans="1:71" ht="15">
      <c r="A331" s="65" t="s">
        <v>530</v>
      </c>
      <c r="B331" s="66"/>
      <c r="C331" s="66"/>
      <c r="D331" s="67">
        <v>150</v>
      </c>
      <c r="E331" s="69"/>
      <c r="F331" s="103" t="str">
        <f>HYPERLINK("https://yt3.ggpht.com/ytc/AAUvwniKIGg-8laeG7BLoxp3HmKiXew-9HwslzL3b7OU=s88-c-k-c0x00ffffff-no-rj")</f>
        <v>https://yt3.ggpht.com/ytc/AAUvwniKIGg-8laeG7BLoxp3HmKiXew-9HwslzL3b7OU=s88-c-k-c0x00ffffff-no-rj</v>
      </c>
      <c r="G331" s="66"/>
      <c r="H331" s="70" t="s">
        <v>1889</v>
      </c>
      <c r="I331" s="71"/>
      <c r="J331" s="71" t="s">
        <v>159</v>
      </c>
      <c r="K331" s="70" t="s">
        <v>1889</v>
      </c>
      <c r="L331" s="74">
        <v>1</v>
      </c>
      <c r="M331" s="75">
        <v>7918.52880859375</v>
      </c>
      <c r="N331" s="75">
        <v>2198.720703125</v>
      </c>
      <c r="O331" s="76"/>
      <c r="P331" s="77"/>
      <c r="Q331" s="77"/>
      <c r="R331" s="89"/>
      <c r="S331" s="49">
        <v>0</v>
      </c>
      <c r="T331" s="49">
        <v>1</v>
      </c>
      <c r="U331" s="50">
        <v>0</v>
      </c>
      <c r="V331" s="50">
        <v>0.111111</v>
      </c>
      <c r="W331" s="50">
        <v>0</v>
      </c>
      <c r="X331" s="50">
        <v>0.521443</v>
      </c>
      <c r="Y331" s="50">
        <v>0</v>
      </c>
      <c r="Z331" s="50">
        <v>0</v>
      </c>
      <c r="AA331" s="72">
        <v>331</v>
      </c>
      <c r="AB331" s="72"/>
      <c r="AC331" s="73"/>
      <c r="AD331" s="80" t="s">
        <v>1889</v>
      </c>
      <c r="AE331" s="80"/>
      <c r="AF331" s="80"/>
      <c r="AG331" s="80"/>
      <c r="AH331" s="80"/>
      <c r="AI331" s="80"/>
      <c r="AJ331" s="87">
        <v>43354.666400462964</v>
      </c>
      <c r="AK331" s="85" t="str">
        <f>HYPERLINK("https://yt3.ggpht.com/ytc/AAUvwniKIGg-8laeG7BLoxp3HmKiXew-9HwslzL3b7OU=s88-c-k-c0x00ffffff-no-rj")</f>
        <v>https://yt3.ggpht.com/ytc/AAUvwniKIGg-8laeG7BLoxp3HmKiXew-9HwslzL3b7OU=s88-c-k-c0x00ffffff-no-rj</v>
      </c>
      <c r="AL331" s="80">
        <v>0</v>
      </c>
      <c r="AM331" s="80">
        <v>0</v>
      </c>
      <c r="AN331" s="80">
        <v>0</v>
      </c>
      <c r="AO331" s="80" t="b">
        <v>0</v>
      </c>
      <c r="AP331" s="80">
        <v>0</v>
      </c>
      <c r="AQ331" s="80"/>
      <c r="AR331" s="80"/>
      <c r="AS331" s="80" t="s">
        <v>2664</v>
      </c>
      <c r="AT331" s="85" t="str">
        <f>HYPERLINK("https://www.youtube.com/channel/UClVqXsTx_z51ddq5DKUOOow")</f>
        <v>https://www.youtube.com/channel/UClVqXsTx_z51ddq5DKUOOow</v>
      </c>
      <c r="AU331" s="80" t="str">
        <f>REPLACE(INDEX(GroupVertices[Group],MATCH(Vertices[[#This Row],[Vertex]],GroupVertices[Vertex],0)),1,1,"")</f>
        <v>16</v>
      </c>
      <c r="AV331" s="49">
        <v>0</v>
      </c>
      <c r="AW331" s="50">
        <v>0</v>
      </c>
      <c r="AX331" s="49">
        <v>0</v>
      </c>
      <c r="AY331" s="50">
        <v>0</v>
      </c>
      <c r="AZ331" s="49">
        <v>0</v>
      </c>
      <c r="BA331" s="50">
        <v>0</v>
      </c>
      <c r="BB331" s="49">
        <v>2</v>
      </c>
      <c r="BC331" s="50">
        <v>100</v>
      </c>
      <c r="BD331" s="49">
        <v>2</v>
      </c>
      <c r="BE331" s="49"/>
      <c r="BF331" s="49"/>
      <c r="BG331" s="49"/>
      <c r="BH331" s="49"/>
      <c r="BI331" s="49"/>
      <c r="BJ331" s="49"/>
      <c r="BK331" s="111" t="s">
        <v>1221</v>
      </c>
      <c r="BL331" s="111" t="s">
        <v>1221</v>
      </c>
      <c r="BM331" s="111" t="s">
        <v>4382</v>
      </c>
      <c r="BN331" s="111" t="s">
        <v>4382</v>
      </c>
      <c r="BO331" s="2"/>
      <c r="BP331" s="3"/>
      <c r="BQ331" s="3"/>
      <c r="BR331" s="3"/>
      <c r="BS331" s="3"/>
    </row>
    <row r="332" spans="1:71" ht="15">
      <c r="A332" s="65" t="s">
        <v>531</v>
      </c>
      <c r="B332" s="66"/>
      <c r="C332" s="66"/>
      <c r="D332" s="67">
        <v>433.3333333333333</v>
      </c>
      <c r="E332" s="69"/>
      <c r="F332" s="103" t="str">
        <f>HYPERLINK("https://yt3.ggpht.com/ytc/AAUvwnjRehTowHil7E3vn1CvaYZE7kY6CbzqYtCdPz48=s88-c-k-c0x00ffffff-no-rj")</f>
        <v>https://yt3.ggpht.com/ytc/AAUvwnjRehTowHil7E3vn1CvaYZE7kY6CbzqYtCdPz48=s88-c-k-c0x00ffffff-no-rj</v>
      </c>
      <c r="G332" s="66"/>
      <c r="H332" s="70" t="s">
        <v>1890</v>
      </c>
      <c r="I332" s="71"/>
      <c r="J332" s="71" t="s">
        <v>75</v>
      </c>
      <c r="K332" s="70" t="s">
        <v>1890</v>
      </c>
      <c r="L332" s="74">
        <v>191.43809523809523</v>
      </c>
      <c r="M332" s="75">
        <v>8444.1044921875</v>
      </c>
      <c r="N332" s="75">
        <v>1657.098388671875</v>
      </c>
      <c r="O332" s="76"/>
      <c r="P332" s="77"/>
      <c r="Q332" s="77"/>
      <c r="R332" s="89"/>
      <c r="S332" s="49">
        <v>2</v>
      </c>
      <c r="T332" s="49">
        <v>2</v>
      </c>
      <c r="U332" s="50">
        <v>0</v>
      </c>
      <c r="V332" s="50">
        <v>0.111111</v>
      </c>
      <c r="W332" s="50">
        <v>0</v>
      </c>
      <c r="X332" s="50">
        <v>0.906857</v>
      </c>
      <c r="Y332" s="50">
        <v>0</v>
      </c>
      <c r="Z332" s="50">
        <v>1</v>
      </c>
      <c r="AA332" s="72">
        <v>332</v>
      </c>
      <c r="AB332" s="72"/>
      <c r="AC332" s="73"/>
      <c r="AD332" s="80" t="s">
        <v>1890</v>
      </c>
      <c r="AE332" s="80" t="s">
        <v>2527</v>
      </c>
      <c r="AF332" s="80"/>
      <c r="AG332" s="80"/>
      <c r="AH332" s="80"/>
      <c r="AI332" s="80"/>
      <c r="AJ332" s="87">
        <v>44038.41243055555</v>
      </c>
      <c r="AK332" s="85" t="str">
        <f>HYPERLINK("https://yt3.ggpht.com/ytc/AAUvwnjRehTowHil7E3vn1CvaYZE7kY6CbzqYtCdPz48=s88-c-k-c0x00ffffff-no-rj")</f>
        <v>https://yt3.ggpht.com/ytc/AAUvwnjRehTowHil7E3vn1CvaYZE7kY6CbzqYtCdPz48=s88-c-k-c0x00ffffff-no-rj</v>
      </c>
      <c r="AL332" s="80">
        <v>415</v>
      </c>
      <c r="AM332" s="80">
        <v>0</v>
      </c>
      <c r="AN332" s="80">
        <v>35</v>
      </c>
      <c r="AO332" s="80" t="b">
        <v>0</v>
      </c>
      <c r="AP332" s="80">
        <v>3</v>
      </c>
      <c r="AQ332" s="80"/>
      <c r="AR332" s="80"/>
      <c r="AS332" s="80" t="s">
        <v>2664</v>
      </c>
      <c r="AT332" s="85" t="str">
        <f>HYPERLINK("https://www.youtube.com/channel/UCq2bqGge1y2Sm3L4sV3AAvA")</f>
        <v>https://www.youtube.com/channel/UCq2bqGge1y2Sm3L4sV3AAvA</v>
      </c>
      <c r="AU332" s="80" t="str">
        <f>REPLACE(INDEX(GroupVertices[Group],MATCH(Vertices[[#This Row],[Vertex]],GroupVertices[Vertex],0)),1,1,"")</f>
        <v>16</v>
      </c>
      <c r="AV332" s="49">
        <v>1</v>
      </c>
      <c r="AW332" s="50">
        <v>20</v>
      </c>
      <c r="AX332" s="49">
        <v>0</v>
      </c>
      <c r="AY332" s="50">
        <v>0</v>
      </c>
      <c r="AZ332" s="49">
        <v>0</v>
      </c>
      <c r="BA332" s="50">
        <v>0</v>
      </c>
      <c r="BB332" s="49">
        <v>4</v>
      </c>
      <c r="BC332" s="50">
        <v>80</v>
      </c>
      <c r="BD332" s="49">
        <v>5</v>
      </c>
      <c r="BE332" s="49"/>
      <c r="BF332" s="49"/>
      <c r="BG332" s="49"/>
      <c r="BH332" s="49"/>
      <c r="BI332" s="49"/>
      <c r="BJ332" s="49"/>
      <c r="BK332" s="111" t="s">
        <v>1885</v>
      </c>
      <c r="BL332" s="111" t="s">
        <v>1885</v>
      </c>
      <c r="BM332" s="111" t="s">
        <v>2390</v>
      </c>
      <c r="BN332" s="111" t="s">
        <v>2390</v>
      </c>
      <c r="BO332" s="2"/>
      <c r="BP332" s="3"/>
      <c r="BQ332" s="3"/>
      <c r="BR332" s="3"/>
      <c r="BS332" s="3"/>
    </row>
    <row r="333" spans="1:71" ht="15">
      <c r="A333" s="65" t="s">
        <v>532</v>
      </c>
      <c r="B333" s="66"/>
      <c r="C333" s="66"/>
      <c r="D333" s="67">
        <v>150</v>
      </c>
      <c r="E333" s="69"/>
      <c r="F333" s="103" t="str">
        <f>HYPERLINK("https://yt3.ggpht.com/ytc/AAUvwniM5wxVsQj0VevWxIYQXwG3lCsA4UDJsiqtSVkhqc4=s88-c-k-c0x00ffffff-no-rj")</f>
        <v>https://yt3.ggpht.com/ytc/AAUvwniM5wxVsQj0VevWxIYQXwG3lCsA4UDJsiqtSVkhqc4=s88-c-k-c0x00ffffff-no-rj</v>
      </c>
      <c r="G333" s="66"/>
      <c r="H333" s="70" t="s">
        <v>1891</v>
      </c>
      <c r="I333" s="71"/>
      <c r="J333" s="71" t="s">
        <v>159</v>
      </c>
      <c r="K333" s="70" t="s">
        <v>1891</v>
      </c>
      <c r="L333" s="74">
        <v>1</v>
      </c>
      <c r="M333" s="75">
        <v>4771.6533203125</v>
      </c>
      <c r="N333" s="75">
        <v>2995.197509765625</v>
      </c>
      <c r="O333" s="76"/>
      <c r="P333" s="77"/>
      <c r="Q333" s="77"/>
      <c r="R333" s="89"/>
      <c r="S333" s="49">
        <v>0</v>
      </c>
      <c r="T333" s="49">
        <v>1</v>
      </c>
      <c r="U333" s="50">
        <v>0</v>
      </c>
      <c r="V333" s="50">
        <v>0.007874</v>
      </c>
      <c r="W333" s="50">
        <v>0</v>
      </c>
      <c r="X333" s="50">
        <v>0.497068</v>
      </c>
      <c r="Y333" s="50">
        <v>0</v>
      </c>
      <c r="Z333" s="50">
        <v>0</v>
      </c>
      <c r="AA333" s="72">
        <v>333</v>
      </c>
      <c r="AB333" s="72"/>
      <c r="AC333" s="73"/>
      <c r="AD333" s="80" t="s">
        <v>1891</v>
      </c>
      <c r="AE333" s="80" t="s">
        <v>2528</v>
      </c>
      <c r="AF333" s="80"/>
      <c r="AG333" s="80"/>
      <c r="AH333" s="80"/>
      <c r="AI333" s="80"/>
      <c r="AJ333" s="87">
        <v>41770.99234953704</v>
      </c>
      <c r="AK333" s="85" t="str">
        <f>HYPERLINK("https://yt3.ggpht.com/ytc/AAUvwniM5wxVsQj0VevWxIYQXwG3lCsA4UDJsiqtSVkhqc4=s88-c-k-c0x00ffffff-no-rj")</f>
        <v>https://yt3.ggpht.com/ytc/AAUvwniM5wxVsQj0VevWxIYQXwG3lCsA4UDJsiqtSVkhqc4=s88-c-k-c0x00ffffff-no-rj</v>
      </c>
      <c r="AL333" s="80">
        <v>44896</v>
      </c>
      <c r="AM333" s="80">
        <v>0</v>
      </c>
      <c r="AN333" s="80">
        <v>112</v>
      </c>
      <c r="AO333" s="80" t="b">
        <v>0</v>
      </c>
      <c r="AP333" s="80">
        <v>202</v>
      </c>
      <c r="AQ333" s="80"/>
      <c r="AR333" s="80"/>
      <c r="AS333" s="80" t="s">
        <v>2664</v>
      </c>
      <c r="AT333" s="85" t="str">
        <f>HYPERLINK("https://www.youtube.com/channel/UC9FbVAgmeDXHDDlBlcKu2_w")</f>
        <v>https://www.youtube.com/channel/UC9FbVAgmeDXHDDlBlcKu2_w</v>
      </c>
      <c r="AU333" s="80" t="str">
        <f>REPLACE(INDEX(GroupVertices[Group],MATCH(Vertices[[#This Row],[Vertex]],GroupVertices[Vertex],0)),1,1,"")</f>
        <v>5</v>
      </c>
      <c r="AV333" s="49">
        <v>0</v>
      </c>
      <c r="AW333" s="50">
        <v>0</v>
      </c>
      <c r="AX333" s="49">
        <v>1</v>
      </c>
      <c r="AY333" s="50">
        <v>6.25</v>
      </c>
      <c r="AZ333" s="49">
        <v>0</v>
      </c>
      <c r="BA333" s="50">
        <v>0</v>
      </c>
      <c r="BB333" s="49">
        <v>15</v>
      </c>
      <c r="BC333" s="50">
        <v>93.75</v>
      </c>
      <c r="BD333" s="49">
        <v>16</v>
      </c>
      <c r="BE333" s="49"/>
      <c r="BF333" s="49"/>
      <c r="BG333" s="49"/>
      <c r="BH333" s="49"/>
      <c r="BI333" s="49"/>
      <c r="BJ333" s="49"/>
      <c r="BK333" s="111" t="s">
        <v>3919</v>
      </c>
      <c r="BL333" s="111" t="s">
        <v>3919</v>
      </c>
      <c r="BM333" s="111" t="s">
        <v>4383</v>
      </c>
      <c r="BN333" s="111" t="s">
        <v>4383</v>
      </c>
      <c r="BO333" s="2"/>
      <c r="BP333" s="3"/>
      <c r="BQ333" s="3"/>
      <c r="BR333" s="3"/>
      <c r="BS333" s="3"/>
    </row>
    <row r="334" spans="1:71" ht="15">
      <c r="A334" s="65" t="s">
        <v>533</v>
      </c>
      <c r="B334" s="66"/>
      <c r="C334" s="66"/>
      <c r="D334" s="67">
        <v>575</v>
      </c>
      <c r="E334" s="69"/>
      <c r="F334" s="103" t="str">
        <f>HYPERLINK("https://yt3.ggpht.com/ytc/AAUvwnj-8QGVGjj0jDc7efDObgGnDBLPVAXNC0uCnBPe=s88-c-k-c0x00ffffff-no-rj")</f>
        <v>https://yt3.ggpht.com/ytc/AAUvwnj-8QGVGjj0jDc7efDObgGnDBLPVAXNC0uCnBPe=s88-c-k-c0x00ffffff-no-rj</v>
      </c>
      <c r="G334" s="66"/>
      <c r="H334" s="70" t="s">
        <v>1892</v>
      </c>
      <c r="I334" s="71"/>
      <c r="J334" s="71" t="s">
        <v>75</v>
      </c>
      <c r="K334" s="70" t="s">
        <v>1892</v>
      </c>
      <c r="L334" s="74">
        <v>286.65714285714284</v>
      </c>
      <c r="M334" s="75">
        <v>4594.93359375</v>
      </c>
      <c r="N334" s="75">
        <v>3700.635009765625</v>
      </c>
      <c r="O334" s="76"/>
      <c r="P334" s="77"/>
      <c r="Q334" s="77"/>
      <c r="R334" s="89"/>
      <c r="S334" s="49">
        <v>3</v>
      </c>
      <c r="T334" s="49">
        <v>2</v>
      </c>
      <c r="U334" s="50">
        <v>82</v>
      </c>
      <c r="V334" s="50">
        <v>0.011628</v>
      </c>
      <c r="W334" s="50">
        <v>0</v>
      </c>
      <c r="X334" s="50">
        <v>1.633261</v>
      </c>
      <c r="Y334" s="50">
        <v>0.16666666666666666</v>
      </c>
      <c r="Z334" s="50">
        <v>0</v>
      </c>
      <c r="AA334" s="72">
        <v>334</v>
      </c>
      <c r="AB334" s="72"/>
      <c r="AC334" s="73"/>
      <c r="AD334" s="80" t="s">
        <v>1892</v>
      </c>
      <c r="AE334" s="80"/>
      <c r="AF334" s="80"/>
      <c r="AG334" s="80"/>
      <c r="AH334" s="80"/>
      <c r="AI334" s="80"/>
      <c r="AJ334" s="87">
        <v>44033.97835648148</v>
      </c>
      <c r="AK334" s="85" t="str">
        <f>HYPERLINK("https://yt3.ggpht.com/ytc/AAUvwnj-8QGVGjj0jDc7efDObgGnDBLPVAXNC0uCnBPe=s88-c-k-c0x00ffffff-no-rj")</f>
        <v>https://yt3.ggpht.com/ytc/AAUvwnj-8QGVGjj0jDc7efDObgGnDBLPVAXNC0uCnBPe=s88-c-k-c0x00ffffff-no-rj</v>
      </c>
      <c r="AL334" s="80">
        <v>153</v>
      </c>
      <c r="AM334" s="80">
        <v>0</v>
      </c>
      <c r="AN334" s="80">
        <v>18</v>
      </c>
      <c r="AO334" s="80" t="b">
        <v>0</v>
      </c>
      <c r="AP334" s="80">
        <v>3</v>
      </c>
      <c r="AQ334" s="80"/>
      <c r="AR334" s="80"/>
      <c r="AS334" s="80" t="s">
        <v>2664</v>
      </c>
      <c r="AT334" s="85" t="str">
        <f>HYPERLINK("https://www.youtube.com/channel/UCBY7dVxt1Wk9r9SR-EzqsjA")</f>
        <v>https://www.youtube.com/channel/UCBY7dVxt1Wk9r9SR-EzqsjA</v>
      </c>
      <c r="AU334" s="80" t="str">
        <f>REPLACE(INDEX(GroupVertices[Group],MATCH(Vertices[[#This Row],[Vertex]],GroupVertices[Vertex],0)),1,1,"")</f>
        <v>5</v>
      </c>
      <c r="AV334" s="49">
        <v>1</v>
      </c>
      <c r="AW334" s="50">
        <v>4</v>
      </c>
      <c r="AX334" s="49">
        <v>0</v>
      </c>
      <c r="AY334" s="50">
        <v>0</v>
      </c>
      <c r="AZ334" s="49">
        <v>0</v>
      </c>
      <c r="BA334" s="50">
        <v>0</v>
      </c>
      <c r="BB334" s="49">
        <v>24</v>
      </c>
      <c r="BC334" s="50">
        <v>96</v>
      </c>
      <c r="BD334" s="49">
        <v>25</v>
      </c>
      <c r="BE334" s="49"/>
      <c r="BF334" s="49"/>
      <c r="BG334" s="49"/>
      <c r="BH334" s="49"/>
      <c r="BI334" s="49"/>
      <c r="BJ334" s="49"/>
      <c r="BK334" s="111" t="s">
        <v>3920</v>
      </c>
      <c r="BL334" s="111" t="s">
        <v>3920</v>
      </c>
      <c r="BM334" s="111" t="s">
        <v>4384</v>
      </c>
      <c r="BN334" s="111" t="s">
        <v>4384</v>
      </c>
      <c r="BO334" s="2"/>
      <c r="BP334" s="3"/>
      <c r="BQ334" s="3"/>
      <c r="BR334" s="3"/>
      <c r="BS334" s="3"/>
    </row>
    <row r="335" spans="1:71" ht="15">
      <c r="A335" s="65" t="s">
        <v>534</v>
      </c>
      <c r="B335" s="66"/>
      <c r="C335" s="66"/>
      <c r="D335" s="67">
        <v>150</v>
      </c>
      <c r="E335" s="69"/>
      <c r="F335" s="103" t="str">
        <f>HYPERLINK("https://yt3.ggpht.com/ytc/AAUvwniscYc4feYZ_aMAjo8PPjZjREgQFNiKwgq0AHUQVA=s88-c-k-c0x00ffffff-no-rj")</f>
        <v>https://yt3.ggpht.com/ytc/AAUvwniscYc4feYZ_aMAjo8PPjZjREgQFNiKwgq0AHUQVA=s88-c-k-c0x00ffffff-no-rj</v>
      </c>
      <c r="G335" s="66"/>
      <c r="H335" s="70" t="s">
        <v>1893</v>
      </c>
      <c r="I335" s="71"/>
      <c r="J335" s="71" t="s">
        <v>159</v>
      </c>
      <c r="K335" s="70" t="s">
        <v>1893</v>
      </c>
      <c r="L335" s="74">
        <v>1</v>
      </c>
      <c r="M335" s="75">
        <v>4508.73779296875</v>
      </c>
      <c r="N335" s="75">
        <v>3776.93212890625</v>
      </c>
      <c r="O335" s="76"/>
      <c r="P335" s="77"/>
      <c r="Q335" s="77"/>
      <c r="R335" s="89"/>
      <c r="S335" s="49">
        <v>0</v>
      </c>
      <c r="T335" s="49">
        <v>2</v>
      </c>
      <c r="U335" s="50">
        <v>0</v>
      </c>
      <c r="V335" s="50">
        <v>0.011494</v>
      </c>
      <c r="W335" s="50">
        <v>0</v>
      </c>
      <c r="X335" s="50">
        <v>0.849652</v>
      </c>
      <c r="Y335" s="50">
        <v>0.5</v>
      </c>
      <c r="Z335" s="50">
        <v>0</v>
      </c>
      <c r="AA335" s="72">
        <v>335</v>
      </c>
      <c r="AB335" s="72"/>
      <c r="AC335" s="73"/>
      <c r="AD335" s="80" t="s">
        <v>1893</v>
      </c>
      <c r="AE335" s="80"/>
      <c r="AF335" s="80"/>
      <c r="AG335" s="80"/>
      <c r="AH335" s="80"/>
      <c r="AI335" s="80"/>
      <c r="AJ335" s="87">
        <v>41950.316712962966</v>
      </c>
      <c r="AK335" s="85" t="str">
        <f>HYPERLINK("https://yt3.ggpht.com/ytc/AAUvwniscYc4feYZ_aMAjo8PPjZjREgQFNiKwgq0AHUQVA=s88-c-k-c0x00ffffff-no-rj")</f>
        <v>https://yt3.ggpht.com/ytc/AAUvwniscYc4feYZ_aMAjo8PPjZjREgQFNiKwgq0AHUQVA=s88-c-k-c0x00ffffff-no-rj</v>
      </c>
      <c r="AL335" s="80">
        <v>761</v>
      </c>
      <c r="AM335" s="80">
        <v>0</v>
      </c>
      <c r="AN335" s="80">
        <v>34</v>
      </c>
      <c r="AO335" s="80" t="b">
        <v>0</v>
      </c>
      <c r="AP335" s="80">
        <v>20</v>
      </c>
      <c r="AQ335" s="80"/>
      <c r="AR335" s="80"/>
      <c r="AS335" s="80" t="s">
        <v>2664</v>
      </c>
      <c r="AT335" s="85" t="str">
        <f>HYPERLINK("https://www.youtube.com/channel/UCqP44doV3yxEI-84YUKmhaQ")</f>
        <v>https://www.youtube.com/channel/UCqP44doV3yxEI-84YUKmhaQ</v>
      </c>
      <c r="AU335" s="80" t="str">
        <f>REPLACE(INDEX(GroupVertices[Group],MATCH(Vertices[[#This Row],[Vertex]],GroupVertices[Vertex],0)),1,1,"")</f>
        <v>5</v>
      </c>
      <c r="AV335" s="49">
        <v>1</v>
      </c>
      <c r="AW335" s="50">
        <v>0.3021148036253776</v>
      </c>
      <c r="AX335" s="49">
        <v>20</v>
      </c>
      <c r="AY335" s="50">
        <v>6.042296072507553</v>
      </c>
      <c r="AZ335" s="49">
        <v>0</v>
      </c>
      <c r="BA335" s="50">
        <v>0</v>
      </c>
      <c r="BB335" s="49">
        <v>310</v>
      </c>
      <c r="BC335" s="50">
        <v>93.65558912386707</v>
      </c>
      <c r="BD335" s="49">
        <v>331</v>
      </c>
      <c r="BE335" s="49"/>
      <c r="BF335" s="49"/>
      <c r="BG335" s="49"/>
      <c r="BH335" s="49"/>
      <c r="BI335" s="49"/>
      <c r="BJ335" s="49"/>
      <c r="BK335" s="111" t="s">
        <v>3921</v>
      </c>
      <c r="BL335" s="111" t="s">
        <v>3921</v>
      </c>
      <c r="BM335" s="111" t="s">
        <v>4385</v>
      </c>
      <c r="BN335" s="111" t="s">
        <v>4385</v>
      </c>
      <c r="BO335" s="2"/>
      <c r="BP335" s="3"/>
      <c r="BQ335" s="3"/>
      <c r="BR335" s="3"/>
      <c r="BS335" s="3"/>
    </row>
    <row r="336" spans="1:71" ht="15">
      <c r="A336" s="65" t="s">
        <v>535</v>
      </c>
      <c r="B336" s="66"/>
      <c r="C336" s="66"/>
      <c r="D336" s="67">
        <v>150</v>
      </c>
      <c r="E336" s="69"/>
      <c r="F336" s="103" t="str">
        <f>HYPERLINK("https://yt3.ggpht.com/ytc/AAUvwnjeka312eU01VNgcPf6bm7ijuRscDcvX-g5DA=s88-c-k-c0x00ffffff-no-rj")</f>
        <v>https://yt3.ggpht.com/ytc/AAUvwnjeka312eU01VNgcPf6bm7ijuRscDcvX-g5DA=s88-c-k-c0x00ffffff-no-rj</v>
      </c>
      <c r="G336" s="66"/>
      <c r="H336" s="70" t="s">
        <v>1894</v>
      </c>
      <c r="I336" s="71"/>
      <c r="J336" s="71" t="s">
        <v>159</v>
      </c>
      <c r="K336" s="70" t="s">
        <v>1894</v>
      </c>
      <c r="L336" s="74">
        <v>1</v>
      </c>
      <c r="M336" s="75">
        <v>4027.00341796875</v>
      </c>
      <c r="N336" s="75">
        <v>4650.98974609375</v>
      </c>
      <c r="O336" s="76"/>
      <c r="P336" s="77"/>
      <c r="Q336" s="77"/>
      <c r="R336" s="89"/>
      <c r="S336" s="49">
        <v>0</v>
      </c>
      <c r="T336" s="49">
        <v>1</v>
      </c>
      <c r="U336" s="50">
        <v>0</v>
      </c>
      <c r="V336" s="50">
        <v>0.011236</v>
      </c>
      <c r="W336" s="50">
        <v>0</v>
      </c>
      <c r="X336" s="50">
        <v>0.502584</v>
      </c>
      <c r="Y336" s="50">
        <v>0</v>
      </c>
      <c r="Z336" s="50">
        <v>0</v>
      </c>
      <c r="AA336" s="72">
        <v>336</v>
      </c>
      <c r="AB336" s="72"/>
      <c r="AC336" s="73"/>
      <c r="AD336" s="80" t="s">
        <v>1894</v>
      </c>
      <c r="AE336" s="80"/>
      <c r="AF336" s="80"/>
      <c r="AG336" s="80"/>
      <c r="AH336" s="80"/>
      <c r="AI336" s="80"/>
      <c r="AJ336" s="87">
        <v>40371.17097222222</v>
      </c>
      <c r="AK336" s="85" t="str">
        <f>HYPERLINK("https://yt3.ggpht.com/ytc/AAUvwnjeka312eU01VNgcPf6bm7ijuRscDcvX-g5DA=s88-c-k-c0x00ffffff-no-rj")</f>
        <v>https://yt3.ggpht.com/ytc/AAUvwnjeka312eU01VNgcPf6bm7ijuRscDcvX-g5DA=s88-c-k-c0x00ffffff-no-rj</v>
      </c>
      <c r="AL336" s="80">
        <v>0</v>
      </c>
      <c r="AM336" s="80">
        <v>0</v>
      </c>
      <c r="AN336" s="80">
        <v>0</v>
      </c>
      <c r="AO336" s="80" t="b">
        <v>0</v>
      </c>
      <c r="AP336" s="80">
        <v>0</v>
      </c>
      <c r="AQ336" s="80"/>
      <c r="AR336" s="80"/>
      <c r="AS336" s="80" t="s">
        <v>2664</v>
      </c>
      <c r="AT336" s="85" t="str">
        <f>HYPERLINK("https://www.youtube.com/channel/UCpzxC6ePRrHfRDhP8rwPfEg")</f>
        <v>https://www.youtube.com/channel/UCpzxC6ePRrHfRDhP8rwPfEg</v>
      </c>
      <c r="AU336" s="80" t="str">
        <f>REPLACE(INDEX(GroupVertices[Group],MATCH(Vertices[[#This Row],[Vertex]],GroupVertices[Vertex],0)),1,1,"")</f>
        <v>5</v>
      </c>
      <c r="AV336" s="49">
        <v>0</v>
      </c>
      <c r="AW336" s="50">
        <v>0</v>
      </c>
      <c r="AX336" s="49">
        <v>1</v>
      </c>
      <c r="AY336" s="50">
        <v>1.8181818181818181</v>
      </c>
      <c r="AZ336" s="49">
        <v>0</v>
      </c>
      <c r="BA336" s="50">
        <v>0</v>
      </c>
      <c r="BB336" s="49">
        <v>54</v>
      </c>
      <c r="BC336" s="50">
        <v>98.18181818181819</v>
      </c>
      <c r="BD336" s="49">
        <v>55</v>
      </c>
      <c r="BE336" s="49"/>
      <c r="BF336" s="49"/>
      <c r="BG336" s="49"/>
      <c r="BH336" s="49"/>
      <c r="BI336" s="49"/>
      <c r="BJ336" s="49"/>
      <c r="BK336" s="111" t="s">
        <v>3922</v>
      </c>
      <c r="BL336" s="111" t="s">
        <v>3922</v>
      </c>
      <c r="BM336" s="111" t="s">
        <v>4386</v>
      </c>
      <c r="BN336" s="111" t="s">
        <v>4386</v>
      </c>
      <c r="BO336" s="2"/>
      <c r="BP336" s="3"/>
      <c r="BQ336" s="3"/>
      <c r="BR336" s="3"/>
      <c r="BS336" s="3"/>
    </row>
    <row r="337" spans="1:71" ht="15">
      <c r="A337" s="65" t="s">
        <v>536</v>
      </c>
      <c r="B337" s="66"/>
      <c r="C337" s="66"/>
      <c r="D337" s="67">
        <v>150</v>
      </c>
      <c r="E337" s="69"/>
      <c r="F337" s="103" t="str">
        <f>HYPERLINK("https://yt3.ggpht.com/ytc/AAUvwniZv-qHHt3iSP5dJUloDqKp3F3QC-KGe93t8Hql=s88-c-k-c0x00ffffff-no-rj")</f>
        <v>https://yt3.ggpht.com/ytc/AAUvwniZv-qHHt3iSP5dJUloDqKp3F3QC-KGe93t8Hql=s88-c-k-c0x00ffffff-no-rj</v>
      </c>
      <c r="G337" s="66"/>
      <c r="H337" s="70" t="s">
        <v>1895</v>
      </c>
      <c r="I337" s="71"/>
      <c r="J337" s="71" t="s">
        <v>159</v>
      </c>
      <c r="K337" s="70" t="s">
        <v>1895</v>
      </c>
      <c r="L337" s="74">
        <v>1</v>
      </c>
      <c r="M337" s="75">
        <v>3934.19775390625</v>
      </c>
      <c r="N337" s="75">
        <v>4389.69189453125</v>
      </c>
      <c r="O337" s="76"/>
      <c r="P337" s="77"/>
      <c r="Q337" s="77"/>
      <c r="R337" s="89"/>
      <c r="S337" s="49">
        <v>0</v>
      </c>
      <c r="T337" s="49">
        <v>1</v>
      </c>
      <c r="U337" s="50">
        <v>0</v>
      </c>
      <c r="V337" s="50">
        <v>0.011236</v>
      </c>
      <c r="W337" s="50">
        <v>0</v>
      </c>
      <c r="X337" s="50">
        <v>0.502584</v>
      </c>
      <c r="Y337" s="50">
        <v>0</v>
      </c>
      <c r="Z337" s="50">
        <v>0</v>
      </c>
      <c r="AA337" s="72">
        <v>337</v>
      </c>
      <c r="AB337" s="72"/>
      <c r="AC337" s="73"/>
      <c r="AD337" s="80" t="s">
        <v>1895</v>
      </c>
      <c r="AE337" s="80" t="s">
        <v>2529</v>
      </c>
      <c r="AF337" s="80"/>
      <c r="AG337" s="80"/>
      <c r="AH337" s="80"/>
      <c r="AI337" s="80"/>
      <c r="AJ337" s="87">
        <v>43335.7912037037</v>
      </c>
      <c r="AK337" s="85" t="str">
        <f>HYPERLINK("https://yt3.ggpht.com/ytc/AAUvwniZv-qHHt3iSP5dJUloDqKp3F3QC-KGe93t8Hql=s88-c-k-c0x00ffffff-no-rj")</f>
        <v>https://yt3.ggpht.com/ytc/AAUvwniZv-qHHt3iSP5dJUloDqKp3F3QC-KGe93t8Hql=s88-c-k-c0x00ffffff-no-rj</v>
      </c>
      <c r="AL337" s="80">
        <v>53</v>
      </c>
      <c r="AM337" s="80">
        <v>0</v>
      </c>
      <c r="AN337" s="80">
        <v>1</v>
      </c>
      <c r="AO337" s="80" t="b">
        <v>0</v>
      </c>
      <c r="AP337" s="80">
        <v>1</v>
      </c>
      <c r="AQ337" s="80"/>
      <c r="AR337" s="80"/>
      <c r="AS337" s="80" t="s">
        <v>2664</v>
      </c>
      <c r="AT337" s="85" t="str">
        <f>HYPERLINK("https://www.youtube.com/channel/UC0VdA1pckhfXuM31e3szFrw")</f>
        <v>https://www.youtube.com/channel/UC0VdA1pckhfXuM31e3szFrw</v>
      </c>
      <c r="AU337" s="80" t="str">
        <f>REPLACE(INDEX(GroupVertices[Group],MATCH(Vertices[[#This Row],[Vertex]],GroupVertices[Vertex],0)),1,1,"")</f>
        <v>5</v>
      </c>
      <c r="AV337" s="49">
        <v>0</v>
      </c>
      <c r="AW337" s="50">
        <v>0</v>
      </c>
      <c r="AX337" s="49">
        <v>2</v>
      </c>
      <c r="AY337" s="50">
        <v>50</v>
      </c>
      <c r="AZ337" s="49">
        <v>0</v>
      </c>
      <c r="BA337" s="50">
        <v>0</v>
      </c>
      <c r="BB337" s="49">
        <v>2</v>
      </c>
      <c r="BC337" s="50">
        <v>50</v>
      </c>
      <c r="BD337" s="49">
        <v>4</v>
      </c>
      <c r="BE337" s="49"/>
      <c r="BF337" s="49"/>
      <c r="BG337" s="49"/>
      <c r="BH337" s="49"/>
      <c r="BI337" s="49"/>
      <c r="BJ337" s="49"/>
      <c r="BK337" s="111" t="s">
        <v>3923</v>
      </c>
      <c r="BL337" s="111" t="s">
        <v>3923</v>
      </c>
      <c r="BM337" s="111" t="s">
        <v>4387</v>
      </c>
      <c r="BN337" s="111" t="s">
        <v>4387</v>
      </c>
      <c r="BO337" s="2"/>
      <c r="BP337" s="3"/>
      <c r="BQ337" s="3"/>
      <c r="BR337" s="3"/>
      <c r="BS337" s="3"/>
    </row>
    <row r="338" spans="1:71" ht="15">
      <c r="A338" s="65" t="s">
        <v>537</v>
      </c>
      <c r="B338" s="66"/>
      <c r="C338" s="66"/>
      <c r="D338" s="67">
        <v>150</v>
      </c>
      <c r="E338" s="69"/>
      <c r="F338" s="103" t="str">
        <f>HYPERLINK("https://yt3.ggpht.com/ytc/AAUvwnijDeVARQYx1cAlflm8oD6s2pb1lGmPOIdqNRMjgg=s88-c-k-c0x00ffffff-no-rj")</f>
        <v>https://yt3.ggpht.com/ytc/AAUvwnijDeVARQYx1cAlflm8oD6s2pb1lGmPOIdqNRMjgg=s88-c-k-c0x00ffffff-no-rj</v>
      </c>
      <c r="G338" s="66"/>
      <c r="H338" s="70" t="s">
        <v>1896</v>
      </c>
      <c r="I338" s="71"/>
      <c r="J338" s="71" t="s">
        <v>159</v>
      </c>
      <c r="K338" s="70" t="s">
        <v>1896</v>
      </c>
      <c r="L338" s="74">
        <v>1</v>
      </c>
      <c r="M338" s="75">
        <v>4063.435546875</v>
      </c>
      <c r="N338" s="75">
        <v>5315.53271484375</v>
      </c>
      <c r="O338" s="76"/>
      <c r="P338" s="77"/>
      <c r="Q338" s="77"/>
      <c r="R338" s="89"/>
      <c r="S338" s="49">
        <v>0</v>
      </c>
      <c r="T338" s="49">
        <v>1</v>
      </c>
      <c r="U338" s="50">
        <v>0</v>
      </c>
      <c r="V338" s="50">
        <v>0.011236</v>
      </c>
      <c r="W338" s="50">
        <v>0</v>
      </c>
      <c r="X338" s="50">
        <v>0.502584</v>
      </c>
      <c r="Y338" s="50">
        <v>0</v>
      </c>
      <c r="Z338" s="50">
        <v>0</v>
      </c>
      <c r="AA338" s="72">
        <v>338</v>
      </c>
      <c r="AB338" s="72"/>
      <c r="AC338" s="73"/>
      <c r="AD338" s="80" t="s">
        <v>1896</v>
      </c>
      <c r="AE338" s="80" t="s">
        <v>2530</v>
      </c>
      <c r="AF338" s="80"/>
      <c r="AG338" s="80"/>
      <c r="AH338" s="80"/>
      <c r="AI338" s="80"/>
      <c r="AJ338" s="87">
        <v>44004.72678240741</v>
      </c>
      <c r="AK338" s="85" t="str">
        <f>HYPERLINK("https://yt3.ggpht.com/ytc/AAUvwnijDeVARQYx1cAlflm8oD6s2pb1lGmPOIdqNRMjgg=s88-c-k-c0x00ffffff-no-rj")</f>
        <v>https://yt3.ggpht.com/ytc/AAUvwnijDeVARQYx1cAlflm8oD6s2pb1lGmPOIdqNRMjgg=s88-c-k-c0x00ffffff-no-rj</v>
      </c>
      <c r="AL338" s="80">
        <v>17</v>
      </c>
      <c r="AM338" s="80">
        <v>0</v>
      </c>
      <c r="AN338" s="80">
        <v>7</v>
      </c>
      <c r="AO338" s="80" t="b">
        <v>0</v>
      </c>
      <c r="AP338" s="80">
        <v>1</v>
      </c>
      <c r="AQ338" s="80"/>
      <c r="AR338" s="80"/>
      <c r="AS338" s="80" t="s">
        <v>2664</v>
      </c>
      <c r="AT338" s="85" t="str">
        <f>HYPERLINK("https://www.youtube.com/channel/UCZ67Yx8fKQNh54kpgsU_asg")</f>
        <v>https://www.youtube.com/channel/UCZ67Yx8fKQNh54kpgsU_asg</v>
      </c>
      <c r="AU338" s="80" t="str">
        <f>REPLACE(INDEX(GroupVertices[Group],MATCH(Vertices[[#This Row],[Vertex]],GroupVertices[Vertex],0)),1,1,"")</f>
        <v>5</v>
      </c>
      <c r="AV338" s="49">
        <v>2</v>
      </c>
      <c r="AW338" s="50">
        <v>11.764705882352942</v>
      </c>
      <c r="AX338" s="49">
        <v>0</v>
      </c>
      <c r="AY338" s="50">
        <v>0</v>
      </c>
      <c r="AZ338" s="49">
        <v>0</v>
      </c>
      <c r="BA338" s="50">
        <v>0</v>
      </c>
      <c r="BB338" s="49">
        <v>15</v>
      </c>
      <c r="BC338" s="50">
        <v>88.23529411764706</v>
      </c>
      <c r="BD338" s="49">
        <v>17</v>
      </c>
      <c r="BE338" s="49"/>
      <c r="BF338" s="49"/>
      <c r="BG338" s="49"/>
      <c r="BH338" s="49"/>
      <c r="BI338" s="49"/>
      <c r="BJ338" s="49"/>
      <c r="BK338" s="111" t="s">
        <v>3924</v>
      </c>
      <c r="BL338" s="111" t="s">
        <v>3924</v>
      </c>
      <c r="BM338" s="111" t="s">
        <v>4388</v>
      </c>
      <c r="BN338" s="111" t="s">
        <v>4388</v>
      </c>
      <c r="BO338" s="2"/>
      <c r="BP338" s="3"/>
      <c r="BQ338" s="3"/>
      <c r="BR338" s="3"/>
      <c r="BS338" s="3"/>
    </row>
    <row r="339" spans="1:71" ht="15">
      <c r="A339" s="65" t="s">
        <v>538</v>
      </c>
      <c r="B339" s="66"/>
      <c r="C339" s="66"/>
      <c r="D339" s="67">
        <v>150</v>
      </c>
      <c r="E339" s="69"/>
      <c r="F339" s="103" t="str">
        <f>HYPERLINK("https://yt3.ggpht.com/ytc/AAUvwnjGHBZrTos6MaUUJzkbBLZBjWqvJOO8q3QVvA=s88-c-k-c0x00ffffff-no-rj")</f>
        <v>https://yt3.ggpht.com/ytc/AAUvwnjGHBZrTos6MaUUJzkbBLZBjWqvJOO8q3QVvA=s88-c-k-c0x00ffffff-no-rj</v>
      </c>
      <c r="G339" s="66"/>
      <c r="H339" s="70" t="s">
        <v>1897</v>
      </c>
      <c r="I339" s="71"/>
      <c r="J339" s="71" t="s">
        <v>159</v>
      </c>
      <c r="K339" s="70" t="s">
        <v>1897</v>
      </c>
      <c r="L339" s="74">
        <v>1</v>
      </c>
      <c r="M339" s="75">
        <v>4315.2646484375</v>
      </c>
      <c r="N339" s="75">
        <v>3826.182861328125</v>
      </c>
      <c r="O339" s="76"/>
      <c r="P339" s="77"/>
      <c r="Q339" s="77"/>
      <c r="R339" s="89"/>
      <c r="S339" s="49">
        <v>0</v>
      </c>
      <c r="T339" s="49">
        <v>1</v>
      </c>
      <c r="U339" s="50">
        <v>0</v>
      </c>
      <c r="V339" s="50">
        <v>0.011236</v>
      </c>
      <c r="W339" s="50">
        <v>0</v>
      </c>
      <c r="X339" s="50">
        <v>0.502584</v>
      </c>
      <c r="Y339" s="50">
        <v>0</v>
      </c>
      <c r="Z339" s="50">
        <v>0</v>
      </c>
      <c r="AA339" s="72">
        <v>339</v>
      </c>
      <c r="AB339" s="72"/>
      <c r="AC339" s="73"/>
      <c r="AD339" s="80" t="s">
        <v>1897</v>
      </c>
      <c r="AE339" s="80"/>
      <c r="AF339" s="80"/>
      <c r="AG339" s="80"/>
      <c r="AH339" s="80"/>
      <c r="AI339" s="80"/>
      <c r="AJ339" s="87">
        <v>43514.995104166665</v>
      </c>
      <c r="AK339" s="85" t="str">
        <f>HYPERLINK("https://yt3.ggpht.com/ytc/AAUvwnjGHBZrTos6MaUUJzkbBLZBjWqvJOO8q3QVvA=s88-c-k-c0x00ffffff-no-rj")</f>
        <v>https://yt3.ggpht.com/ytc/AAUvwnjGHBZrTos6MaUUJzkbBLZBjWqvJOO8q3QVvA=s88-c-k-c0x00ffffff-no-rj</v>
      </c>
      <c r="AL339" s="80">
        <v>0</v>
      </c>
      <c r="AM339" s="80">
        <v>0</v>
      </c>
      <c r="AN339" s="80">
        <v>1</v>
      </c>
      <c r="AO339" s="80" t="b">
        <v>0</v>
      </c>
      <c r="AP339" s="80">
        <v>0</v>
      </c>
      <c r="AQ339" s="80"/>
      <c r="AR339" s="80"/>
      <c r="AS339" s="80" t="s">
        <v>2664</v>
      </c>
      <c r="AT339" s="85" t="str">
        <f>HYPERLINK("https://www.youtube.com/channel/UCUtwb0Qr-St_h-OX1pL_iQQ")</f>
        <v>https://www.youtube.com/channel/UCUtwb0Qr-St_h-OX1pL_iQQ</v>
      </c>
      <c r="AU339" s="80" t="str">
        <f>REPLACE(INDEX(GroupVertices[Group],MATCH(Vertices[[#This Row],[Vertex]],GroupVertices[Vertex],0)),1,1,"")</f>
        <v>5</v>
      </c>
      <c r="AV339" s="49">
        <v>0</v>
      </c>
      <c r="AW339" s="50">
        <v>0</v>
      </c>
      <c r="AX339" s="49">
        <v>0</v>
      </c>
      <c r="AY339" s="50">
        <v>0</v>
      </c>
      <c r="AZ339" s="49">
        <v>0</v>
      </c>
      <c r="BA339" s="50">
        <v>0</v>
      </c>
      <c r="BB339" s="49">
        <v>9</v>
      </c>
      <c r="BC339" s="50">
        <v>100</v>
      </c>
      <c r="BD339" s="49">
        <v>9</v>
      </c>
      <c r="BE339" s="49"/>
      <c r="BF339" s="49"/>
      <c r="BG339" s="49"/>
      <c r="BH339" s="49"/>
      <c r="BI339" s="49"/>
      <c r="BJ339" s="49"/>
      <c r="BK339" s="111" t="s">
        <v>3925</v>
      </c>
      <c r="BL339" s="111" t="s">
        <v>3925</v>
      </c>
      <c r="BM339" s="111" t="s">
        <v>4389</v>
      </c>
      <c r="BN339" s="111" t="s">
        <v>4389</v>
      </c>
      <c r="BO339" s="2"/>
      <c r="BP339" s="3"/>
      <c r="BQ339" s="3"/>
      <c r="BR339" s="3"/>
      <c r="BS339" s="3"/>
    </row>
    <row r="340" spans="1:71" ht="15">
      <c r="A340" s="65" t="s">
        <v>539</v>
      </c>
      <c r="B340" s="66"/>
      <c r="C340" s="66"/>
      <c r="D340" s="67">
        <v>150</v>
      </c>
      <c r="E340" s="69"/>
      <c r="F340" s="103" t="str">
        <f>HYPERLINK("https://yt3.ggpht.com/ytc/AAUvwniM3Oxy_qo5L8lSE-jE6R0Iaxv4l6N5Qn5Ely2R=s88-c-k-c0x00ffffff-no-rj")</f>
        <v>https://yt3.ggpht.com/ytc/AAUvwniM3Oxy_qo5L8lSE-jE6R0Iaxv4l6N5Qn5Ely2R=s88-c-k-c0x00ffffff-no-rj</v>
      </c>
      <c r="G340" s="66"/>
      <c r="H340" s="70" t="s">
        <v>1898</v>
      </c>
      <c r="I340" s="71"/>
      <c r="J340" s="71" t="s">
        <v>159</v>
      </c>
      <c r="K340" s="70" t="s">
        <v>1898</v>
      </c>
      <c r="L340" s="74">
        <v>1</v>
      </c>
      <c r="M340" s="75">
        <v>4380.81884765625</v>
      </c>
      <c r="N340" s="75">
        <v>3652.729736328125</v>
      </c>
      <c r="O340" s="76"/>
      <c r="P340" s="77"/>
      <c r="Q340" s="77"/>
      <c r="R340" s="89"/>
      <c r="S340" s="49">
        <v>0</v>
      </c>
      <c r="T340" s="49">
        <v>1</v>
      </c>
      <c r="U340" s="50">
        <v>0</v>
      </c>
      <c r="V340" s="50">
        <v>0.011236</v>
      </c>
      <c r="W340" s="50">
        <v>0</v>
      </c>
      <c r="X340" s="50">
        <v>0.502584</v>
      </c>
      <c r="Y340" s="50">
        <v>0</v>
      </c>
      <c r="Z340" s="50">
        <v>0</v>
      </c>
      <c r="AA340" s="72">
        <v>340</v>
      </c>
      <c r="AB340" s="72"/>
      <c r="AC340" s="73"/>
      <c r="AD340" s="80" t="s">
        <v>1898</v>
      </c>
      <c r="AE340" s="80" t="s">
        <v>2531</v>
      </c>
      <c r="AF340" s="80"/>
      <c r="AG340" s="80"/>
      <c r="AH340" s="80"/>
      <c r="AI340" s="80"/>
      <c r="AJ340" s="87">
        <v>39810.86409722222</v>
      </c>
      <c r="AK340" s="85" t="str">
        <f>HYPERLINK("https://yt3.ggpht.com/ytc/AAUvwniM3Oxy_qo5L8lSE-jE6R0Iaxv4l6N5Qn5Ely2R=s88-c-k-c0x00ffffff-no-rj")</f>
        <v>https://yt3.ggpht.com/ytc/AAUvwniM3Oxy_qo5L8lSE-jE6R0Iaxv4l6N5Qn5Ely2R=s88-c-k-c0x00ffffff-no-rj</v>
      </c>
      <c r="AL340" s="80">
        <v>0</v>
      </c>
      <c r="AM340" s="80">
        <v>0</v>
      </c>
      <c r="AN340" s="80">
        <v>69</v>
      </c>
      <c r="AO340" s="80" t="b">
        <v>0</v>
      </c>
      <c r="AP340" s="80">
        <v>0</v>
      </c>
      <c r="AQ340" s="80"/>
      <c r="AR340" s="80"/>
      <c r="AS340" s="80" t="s">
        <v>2664</v>
      </c>
      <c r="AT340" s="85" t="str">
        <f>HYPERLINK("https://www.youtube.com/channel/UCPeYFNsWAt25nCX-o5oa4ug")</f>
        <v>https://www.youtube.com/channel/UCPeYFNsWAt25nCX-o5oa4ug</v>
      </c>
      <c r="AU340" s="80" t="str">
        <f>REPLACE(INDEX(GroupVertices[Group],MATCH(Vertices[[#This Row],[Vertex]],GroupVertices[Vertex],0)),1,1,"")</f>
        <v>5</v>
      </c>
      <c r="AV340" s="49">
        <v>2</v>
      </c>
      <c r="AW340" s="50">
        <v>16.666666666666668</v>
      </c>
      <c r="AX340" s="49">
        <v>0</v>
      </c>
      <c r="AY340" s="50">
        <v>0</v>
      </c>
      <c r="AZ340" s="49">
        <v>0</v>
      </c>
      <c r="BA340" s="50">
        <v>0</v>
      </c>
      <c r="BB340" s="49">
        <v>10</v>
      </c>
      <c r="BC340" s="50">
        <v>83.33333333333333</v>
      </c>
      <c r="BD340" s="49">
        <v>12</v>
      </c>
      <c r="BE340" s="49"/>
      <c r="BF340" s="49"/>
      <c r="BG340" s="49"/>
      <c r="BH340" s="49"/>
      <c r="BI340" s="49"/>
      <c r="BJ340" s="49"/>
      <c r="BK340" s="111" t="s">
        <v>3926</v>
      </c>
      <c r="BL340" s="111" t="s">
        <v>3926</v>
      </c>
      <c r="BM340" s="111" t="s">
        <v>4390</v>
      </c>
      <c r="BN340" s="111" t="s">
        <v>4390</v>
      </c>
      <c r="BO340" s="2"/>
      <c r="BP340" s="3"/>
      <c r="BQ340" s="3"/>
      <c r="BR340" s="3"/>
      <c r="BS340" s="3"/>
    </row>
    <row r="341" spans="1:71" ht="15">
      <c r="A341" s="65" t="s">
        <v>540</v>
      </c>
      <c r="B341" s="66"/>
      <c r="C341" s="66"/>
      <c r="D341" s="67">
        <v>150</v>
      </c>
      <c r="E341" s="69"/>
      <c r="F341" s="103" t="str">
        <f>HYPERLINK("https://yt3.ggpht.com/ytc/AAUvwnhUlGjCqS3mby8utHZRMBqeHJ0dwaPjrqGu-B5I=s88-c-k-c0x00ffffff-no-rj")</f>
        <v>https://yt3.ggpht.com/ytc/AAUvwnhUlGjCqS3mby8utHZRMBqeHJ0dwaPjrqGu-B5I=s88-c-k-c0x00ffffff-no-rj</v>
      </c>
      <c r="G341" s="66"/>
      <c r="H341" s="70" t="s">
        <v>1899</v>
      </c>
      <c r="I341" s="71"/>
      <c r="J341" s="71" t="s">
        <v>159</v>
      </c>
      <c r="K341" s="70" t="s">
        <v>1899</v>
      </c>
      <c r="L341" s="74">
        <v>1</v>
      </c>
      <c r="M341" s="75">
        <v>4681.13623046875</v>
      </c>
      <c r="N341" s="75">
        <v>5219.68798828125</v>
      </c>
      <c r="O341" s="76"/>
      <c r="P341" s="77"/>
      <c r="Q341" s="77"/>
      <c r="R341" s="89"/>
      <c r="S341" s="49">
        <v>0</v>
      </c>
      <c r="T341" s="49">
        <v>1</v>
      </c>
      <c r="U341" s="50">
        <v>0</v>
      </c>
      <c r="V341" s="50">
        <v>0.011236</v>
      </c>
      <c r="W341" s="50">
        <v>0</v>
      </c>
      <c r="X341" s="50">
        <v>0.502584</v>
      </c>
      <c r="Y341" s="50">
        <v>0</v>
      </c>
      <c r="Z341" s="50">
        <v>0</v>
      </c>
      <c r="AA341" s="72">
        <v>341</v>
      </c>
      <c r="AB341" s="72"/>
      <c r="AC341" s="73"/>
      <c r="AD341" s="80" t="s">
        <v>1899</v>
      </c>
      <c r="AE341" s="80"/>
      <c r="AF341" s="80"/>
      <c r="AG341" s="80"/>
      <c r="AH341" s="80"/>
      <c r="AI341" s="80"/>
      <c r="AJ341" s="87">
        <v>44039.377905092595</v>
      </c>
      <c r="AK341" s="85" t="str">
        <f>HYPERLINK("https://yt3.ggpht.com/ytc/AAUvwnhUlGjCqS3mby8utHZRMBqeHJ0dwaPjrqGu-B5I=s88-c-k-c0x00ffffff-no-rj")</f>
        <v>https://yt3.ggpht.com/ytc/AAUvwnhUlGjCqS3mby8utHZRMBqeHJ0dwaPjrqGu-B5I=s88-c-k-c0x00ffffff-no-rj</v>
      </c>
      <c r="AL341" s="80">
        <v>0</v>
      </c>
      <c r="AM341" s="80">
        <v>0</v>
      </c>
      <c r="AN341" s="80">
        <v>12</v>
      </c>
      <c r="AO341" s="80" t="b">
        <v>0</v>
      </c>
      <c r="AP341" s="80">
        <v>0</v>
      </c>
      <c r="AQ341" s="80"/>
      <c r="AR341" s="80"/>
      <c r="AS341" s="80" t="s">
        <v>2664</v>
      </c>
      <c r="AT341" s="85" t="str">
        <f>HYPERLINK("https://www.youtube.com/channel/UCBUk5buOGR9HCieq9IA37Jg")</f>
        <v>https://www.youtube.com/channel/UCBUk5buOGR9HCieq9IA37Jg</v>
      </c>
      <c r="AU341" s="80" t="str">
        <f>REPLACE(INDEX(GroupVertices[Group],MATCH(Vertices[[#This Row],[Vertex]],GroupVertices[Vertex],0)),1,1,"")</f>
        <v>5</v>
      </c>
      <c r="AV341" s="49">
        <v>8</v>
      </c>
      <c r="AW341" s="50">
        <v>5.882352941176471</v>
      </c>
      <c r="AX341" s="49">
        <v>5</v>
      </c>
      <c r="AY341" s="50">
        <v>3.676470588235294</v>
      </c>
      <c r="AZ341" s="49">
        <v>0</v>
      </c>
      <c r="BA341" s="50">
        <v>0</v>
      </c>
      <c r="BB341" s="49">
        <v>123</v>
      </c>
      <c r="BC341" s="50">
        <v>90.44117647058823</v>
      </c>
      <c r="BD341" s="49">
        <v>136</v>
      </c>
      <c r="BE341" s="49"/>
      <c r="BF341" s="49"/>
      <c r="BG341" s="49"/>
      <c r="BH341" s="49"/>
      <c r="BI341" s="49"/>
      <c r="BJ341" s="49"/>
      <c r="BK341" s="111" t="s">
        <v>3927</v>
      </c>
      <c r="BL341" s="111" t="s">
        <v>3927</v>
      </c>
      <c r="BM341" s="111" t="s">
        <v>4391</v>
      </c>
      <c r="BN341" s="111" t="s">
        <v>4391</v>
      </c>
      <c r="BO341" s="2"/>
      <c r="BP341" s="3"/>
      <c r="BQ341" s="3"/>
      <c r="BR341" s="3"/>
      <c r="BS341" s="3"/>
    </row>
    <row r="342" spans="1:71" ht="15">
      <c r="A342" s="65" t="s">
        <v>541</v>
      </c>
      <c r="B342" s="66"/>
      <c r="C342" s="66"/>
      <c r="D342" s="67">
        <v>150</v>
      </c>
      <c r="E342" s="69"/>
      <c r="F342" s="103" t="str">
        <f>HYPERLINK("https://yt3.ggpht.com/ytc/AAUvwni7LPyxslSqV3YhX6bK9pUf6idut4b6TC4BdQ=s88-c-k-c0x00ffffff-no-rj")</f>
        <v>https://yt3.ggpht.com/ytc/AAUvwni7LPyxslSqV3YhX6bK9pUf6idut4b6TC4BdQ=s88-c-k-c0x00ffffff-no-rj</v>
      </c>
      <c r="G342" s="66"/>
      <c r="H342" s="70" t="s">
        <v>1900</v>
      </c>
      <c r="I342" s="71"/>
      <c r="J342" s="71" t="s">
        <v>159</v>
      </c>
      <c r="K342" s="70" t="s">
        <v>1900</v>
      </c>
      <c r="L342" s="74">
        <v>1</v>
      </c>
      <c r="M342" s="75">
        <v>4578.15869140625</v>
      </c>
      <c r="N342" s="75">
        <v>5164.1953125</v>
      </c>
      <c r="O342" s="76"/>
      <c r="P342" s="77"/>
      <c r="Q342" s="77"/>
      <c r="R342" s="89"/>
      <c r="S342" s="49">
        <v>0</v>
      </c>
      <c r="T342" s="49">
        <v>1</v>
      </c>
      <c r="U342" s="50">
        <v>0</v>
      </c>
      <c r="V342" s="50">
        <v>0.011236</v>
      </c>
      <c r="W342" s="50">
        <v>0</v>
      </c>
      <c r="X342" s="50">
        <v>0.502584</v>
      </c>
      <c r="Y342" s="50">
        <v>0</v>
      </c>
      <c r="Z342" s="50">
        <v>0</v>
      </c>
      <c r="AA342" s="72">
        <v>342</v>
      </c>
      <c r="AB342" s="72"/>
      <c r="AC342" s="73"/>
      <c r="AD342" s="80" t="s">
        <v>1900</v>
      </c>
      <c r="AE342" s="80"/>
      <c r="AF342" s="80"/>
      <c r="AG342" s="80"/>
      <c r="AH342" s="80"/>
      <c r="AI342" s="80"/>
      <c r="AJ342" s="87">
        <v>44034.59652777778</v>
      </c>
      <c r="AK342" s="85" t="str">
        <f>HYPERLINK("https://yt3.ggpht.com/ytc/AAUvwni7LPyxslSqV3YhX6bK9pUf6idut4b6TC4BdQ=s88-c-k-c0x00ffffff-no-rj")</f>
        <v>https://yt3.ggpht.com/ytc/AAUvwni7LPyxslSqV3YhX6bK9pUf6idut4b6TC4BdQ=s88-c-k-c0x00ffffff-no-rj</v>
      </c>
      <c r="AL342" s="80">
        <v>0</v>
      </c>
      <c r="AM342" s="80">
        <v>0</v>
      </c>
      <c r="AN342" s="80">
        <v>0</v>
      </c>
      <c r="AO342" s="80" t="b">
        <v>0</v>
      </c>
      <c r="AP342" s="80">
        <v>0</v>
      </c>
      <c r="AQ342" s="80"/>
      <c r="AR342" s="80"/>
      <c r="AS342" s="80" t="s">
        <v>2664</v>
      </c>
      <c r="AT342" s="85" t="str">
        <f>HYPERLINK("https://www.youtube.com/channel/UCZ0FGT_t-KwGJyk9eeegamw")</f>
        <v>https://www.youtube.com/channel/UCZ0FGT_t-KwGJyk9eeegamw</v>
      </c>
      <c r="AU342" s="80" t="str">
        <f>REPLACE(INDEX(GroupVertices[Group],MATCH(Vertices[[#This Row],[Vertex]],GroupVertices[Vertex],0)),1,1,"")</f>
        <v>5</v>
      </c>
      <c r="AV342" s="49">
        <v>0</v>
      </c>
      <c r="AW342" s="50">
        <v>0</v>
      </c>
      <c r="AX342" s="49">
        <v>0</v>
      </c>
      <c r="AY342" s="50">
        <v>0</v>
      </c>
      <c r="AZ342" s="49">
        <v>0</v>
      </c>
      <c r="BA342" s="50">
        <v>0</v>
      </c>
      <c r="BB342" s="49">
        <v>8</v>
      </c>
      <c r="BC342" s="50">
        <v>100</v>
      </c>
      <c r="BD342" s="49">
        <v>8</v>
      </c>
      <c r="BE342" s="49"/>
      <c r="BF342" s="49"/>
      <c r="BG342" s="49"/>
      <c r="BH342" s="49"/>
      <c r="BI342" s="49"/>
      <c r="BJ342" s="49"/>
      <c r="BK342" s="111" t="s">
        <v>3928</v>
      </c>
      <c r="BL342" s="111" t="s">
        <v>3928</v>
      </c>
      <c r="BM342" s="111" t="s">
        <v>4392</v>
      </c>
      <c r="BN342" s="111" t="s">
        <v>4392</v>
      </c>
      <c r="BO342" s="2"/>
      <c r="BP342" s="3"/>
      <c r="BQ342" s="3"/>
      <c r="BR342" s="3"/>
      <c r="BS342" s="3"/>
    </row>
    <row r="343" spans="1:71" ht="15">
      <c r="A343" s="65" t="s">
        <v>542</v>
      </c>
      <c r="B343" s="66"/>
      <c r="C343" s="66"/>
      <c r="D343" s="67">
        <v>1000</v>
      </c>
      <c r="E343" s="69"/>
      <c r="F343" s="103" t="str">
        <f>HYPERLINK("https://yt3.ggpht.com/ytc/AAUvwnjo6n1aW-M_iThR-v7M8DYJpQeK7oG-FdQ5iUly_A=s88-c-k-c0x00ffffff-no-rj")</f>
        <v>https://yt3.ggpht.com/ytc/AAUvwnjo6n1aW-M_iThR-v7M8DYJpQeK7oG-FdQ5iUly_A=s88-c-k-c0x00ffffff-no-rj</v>
      </c>
      <c r="G343" s="66"/>
      <c r="H343" s="70" t="s">
        <v>1901</v>
      </c>
      <c r="I343" s="71"/>
      <c r="J343" s="71" t="s">
        <v>75</v>
      </c>
      <c r="K343" s="70" t="s">
        <v>1901</v>
      </c>
      <c r="L343" s="74">
        <v>572.3142857142857</v>
      </c>
      <c r="M343" s="75">
        <v>8235.0029296875</v>
      </c>
      <c r="N343" s="75">
        <v>759.328369140625</v>
      </c>
      <c r="O343" s="76"/>
      <c r="P343" s="77"/>
      <c r="Q343" s="77"/>
      <c r="R343" s="89"/>
      <c r="S343" s="49">
        <v>6</v>
      </c>
      <c r="T343" s="49">
        <v>6</v>
      </c>
      <c r="U343" s="50">
        <v>20</v>
      </c>
      <c r="V343" s="50">
        <v>0.2</v>
      </c>
      <c r="W343" s="50">
        <v>0</v>
      </c>
      <c r="X343" s="50">
        <v>2.83453</v>
      </c>
      <c r="Y343" s="50">
        <v>0</v>
      </c>
      <c r="Z343" s="50">
        <v>1</v>
      </c>
      <c r="AA343" s="72">
        <v>343</v>
      </c>
      <c r="AB343" s="72"/>
      <c r="AC343" s="73"/>
      <c r="AD343" s="80" t="s">
        <v>1901</v>
      </c>
      <c r="AE343" s="80" t="s">
        <v>2532</v>
      </c>
      <c r="AF343" s="80"/>
      <c r="AG343" s="80"/>
      <c r="AH343" s="80"/>
      <c r="AI343" s="80" t="s">
        <v>2641</v>
      </c>
      <c r="AJ343" s="87">
        <v>39091.91103009259</v>
      </c>
      <c r="AK343" s="85" t="str">
        <f>HYPERLINK("https://yt3.ggpht.com/ytc/AAUvwnjo6n1aW-M_iThR-v7M8DYJpQeK7oG-FdQ5iUly_A=s88-c-k-c0x00ffffff-no-rj")</f>
        <v>https://yt3.ggpht.com/ytc/AAUvwnjo6n1aW-M_iThR-v7M8DYJpQeK7oG-FdQ5iUly_A=s88-c-k-c0x00ffffff-no-rj</v>
      </c>
      <c r="AL343" s="80">
        <v>5080196</v>
      </c>
      <c r="AM343" s="80">
        <v>0</v>
      </c>
      <c r="AN343" s="80">
        <v>101000</v>
      </c>
      <c r="AO343" s="80" t="b">
        <v>0</v>
      </c>
      <c r="AP343" s="80">
        <v>115</v>
      </c>
      <c r="AQ343" s="80"/>
      <c r="AR343" s="80"/>
      <c r="AS343" s="80" t="s">
        <v>2664</v>
      </c>
      <c r="AT343" s="85" t="str">
        <f>HYPERLINK("https://www.youtube.com/channel/UCig0KhrB5NClMvX9QrbXcrw")</f>
        <v>https://www.youtube.com/channel/UCig0KhrB5NClMvX9QrbXcrw</v>
      </c>
      <c r="AU343" s="80" t="str">
        <f>REPLACE(INDEX(GroupVertices[Group],MATCH(Vertices[[#This Row],[Vertex]],GroupVertices[Vertex],0)),1,1,"")</f>
        <v>15</v>
      </c>
      <c r="AV343" s="49">
        <v>10</v>
      </c>
      <c r="AW343" s="50">
        <v>8.403361344537815</v>
      </c>
      <c r="AX343" s="49">
        <v>0</v>
      </c>
      <c r="AY343" s="50">
        <v>0</v>
      </c>
      <c r="AZ343" s="49">
        <v>0</v>
      </c>
      <c r="BA343" s="50">
        <v>0</v>
      </c>
      <c r="BB343" s="49">
        <v>109</v>
      </c>
      <c r="BC343" s="50">
        <v>91.59663865546219</v>
      </c>
      <c r="BD343" s="49">
        <v>119</v>
      </c>
      <c r="BE343" s="49"/>
      <c r="BF343" s="49"/>
      <c r="BG343" s="49"/>
      <c r="BH343" s="49"/>
      <c r="BI343" s="49"/>
      <c r="BJ343" s="49"/>
      <c r="BK343" s="111" t="s">
        <v>3929</v>
      </c>
      <c r="BL343" s="111" t="s">
        <v>3929</v>
      </c>
      <c r="BM343" s="111" t="s">
        <v>4393</v>
      </c>
      <c r="BN343" s="111" t="s">
        <v>4393</v>
      </c>
      <c r="BO343" s="2"/>
      <c r="BP343" s="3"/>
      <c r="BQ343" s="3"/>
      <c r="BR343" s="3"/>
      <c r="BS343" s="3"/>
    </row>
    <row r="344" spans="1:71" ht="15">
      <c r="A344" s="65" t="s">
        <v>543</v>
      </c>
      <c r="B344" s="66"/>
      <c r="C344" s="66"/>
      <c r="D344" s="67">
        <v>291.66666666666663</v>
      </c>
      <c r="E344" s="69"/>
      <c r="F344" s="103" t="str">
        <f>HYPERLINK("https://yt3.ggpht.com/ytc/AAUvwnjq1w_pL1IPnnQWHnsLD0ejunXxXgcFZUbwmnAQtQ=s88-c-k-c0x00ffffff-no-rj")</f>
        <v>https://yt3.ggpht.com/ytc/AAUvwnjq1w_pL1IPnnQWHnsLD0ejunXxXgcFZUbwmnAQtQ=s88-c-k-c0x00ffffff-no-rj</v>
      </c>
      <c r="G344" s="66"/>
      <c r="H344" s="70" t="s">
        <v>1902</v>
      </c>
      <c r="I344" s="71"/>
      <c r="J344" s="71" t="s">
        <v>159</v>
      </c>
      <c r="K344" s="70" t="s">
        <v>1902</v>
      </c>
      <c r="L344" s="74">
        <v>96.21904761904761</v>
      </c>
      <c r="M344" s="75">
        <v>8138.314453125</v>
      </c>
      <c r="N344" s="75">
        <v>144.4942169189453</v>
      </c>
      <c r="O344" s="76"/>
      <c r="P344" s="77"/>
      <c r="Q344" s="77"/>
      <c r="R344" s="89"/>
      <c r="S344" s="49">
        <v>1</v>
      </c>
      <c r="T344" s="49">
        <v>1</v>
      </c>
      <c r="U344" s="50">
        <v>0</v>
      </c>
      <c r="V344" s="50">
        <v>0.111111</v>
      </c>
      <c r="W344" s="50">
        <v>0</v>
      </c>
      <c r="X344" s="50">
        <v>0.551558</v>
      </c>
      <c r="Y344" s="50">
        <v>0</v>
      </c>
      <c r="Z344" s="50">
        <v>1</v>
      </c>
      <c r="AA344" s="72">
        <v>344</v>
      </c>
      <c r="AB344" s="72"/>
      <c r="AC344" s="73"/>
      <c r="AD344" s="80" t="s">
        <v>1902</v>
      </c>
      <c r="AE344" s="80"/>
      <c r="AF344" s="80"/>
      <c r="AG344" s="80"/>
      <c r="AH344" s="80"/>
      <c r="AI344" s="80" t="s">
        <v>2642</v>
      </c>
      <c r="AJ344" s="87">
        <v>40820.04040509259</v>
      </c>
      <c r="AK344" s="85" t="str">
        <f>HYPERLINK("https://yt3.ggpht.com/ytc/AAUvwnjq1w_pL1IPnnQWHnsLD0ejunXxXgcFZUbwmnAQtQ=s88-c-k-c0x00ffffff-no-rj")</f>
        <v>https://yt3.ggpht.com/ytc/AAUvwnjq1w_pL1IPnnQWHnsLD0ejunXxXgcFZUbwmnAQtQ=s88-c-k-c0x00ffffff-no-rj</v>
      </c>
      <c r="AL344" s="80">
        <v>39</v>
      </c>
      <c r="AM344" s="80">
        <v>0</v>
      </c>
      <c r="AN344" s="80">
        <v>1</v>
      </c>
      <c r="AO344" s="80" t="b">
        <v>0</v>
      </c>
      <c r="AP344" s="80">
        <v>1</v>
      </c>
      <c r="AQ344" s="80"/>
      <c r="AR344" s="80"/>
      <c r="AS344" s="80" t="s">
        <v>2664</v>
      </c>
      <c r="AT344" s="85" t="str">
        <f>HYPERLINK("https://www.youtube.com/channel/UC7i1o6d7tVtn2I004e0a2Pg")</f>
        <v>https://www.youtube.com/channel/UC7i1o6d7tVtn2I004e0a2Pg</v>
      </c>
      <c r="AU344" s="80" t="str">
        <f>REPLACE(INDEX(GroupVertices[Group],MATCH(Vertices[[#This Row],[Vertex]],GroupVertices[Vertex],0)),1,1,"")</f>
        <v>15</v>
      </c>
      <c r="AV344" s="49">
        <v>7</v>
      </c>
      <c r="AW344" s="50">
        <v>6.25</v>
      </c>
      <c r="AX344" s="49">
        <v>3</v>
      </c>
      <c r="AY344" s="50">
        <v>2.6785714285714284</v>
      </c>
      <c r="AZ344" s="49">
        <v>0</v>
      </c>
      <c r="BA344" s="50">
        <v>0</v>
      </c>
      <c r="BB344" s="49">
        <v>102</v>
      </c>
      <c r="BC344" s="50">
        <v>91.07142857142857</v>
      </c>
      <c r="BD344" s="49">
        <v>112</v>
      </c>
      <c r="BE344" s="49"/>
      <c r="BF344" s="49"/>
      <c r="BG344" s="49"/>
      <c r="BH344" s="49"/>
      <c r="BI344" s="49"/>
      <c r="BJ344" s="49"/>
      <c r="BK344" s="111" t="s">
        <v>3930</v>
      </c>
      <c r="BL344" s="111" t="s">
        <v>4133</v>
      </c>
      <c r="BM344" s="111" t="s">
        <v>4394</v>
      </c>
      <c r="BN344" s="111" t="s">
        <v>4584</v>
      </c>
      <c r="BO344" s="2"/>
      <c r="BP344" s="3"/>
      <c r="BQ344" s="3"/>
      <c r="BR344" s="3"/>
      <c r="BS344" s="3"/>
    </row>
    <row r="345" spans="1:71" ht="15">
      <c r="A345" s="65" t="s">
        <v>544</v>
      </c>
      <c r="B345" s="66"/>
      <c r="C345" s="66"/>
      <c r="D345" s="67">
        <v>291.66666666666663</v>
      </c>
      <c r="E345" s="69"/>
      <c r="F345" s="103" t="str">
        <f>HYPERLINK("https://yt3.ggpht.com/ytc/AAUvwngZx3KRy7gG6qtDlAbT8hUwztDlMjEmQbPsiIsmTg=s88-c-k-c0x00ffffff-no-rj")</f>
        <v>https://yt3.ggpht.com/ytc/AAUvwngZx3KRy7gG6qtDlAbT8hUwztDlMjEmQbPsiIsmTg=s88-c-k-c0x00ffffff-no-rj</v>
      </c>
      <c r="G345" s="66"/>
      <c r="H345" s="70" t="s">
        <v>1903</v>
      </c>
      <c r="I345" s="71"/>
      <c r="J345" s="71" t="s">
        <v>159</v>
      </c>
      <c r="K345" s="70" t="s">
        <v>1903</v>
      </c>
      <c r="L345" s="74">
        <v>96.21904761904761</v>
      </c>
      <c r="M345" s="75">
        <v>8491.7197265625</v>
      </c>
      <c r="N345" s="75">
        <v>381.7155456542969</v>
      </c>
      <c r="O345" s="76"/>
      <c r="P345" s="77"/>
      <c r="Q345" s="77"/>
      <c r="R345" s="89"/>
      <c r="S345" s="49">
        <v>1</v>
      </c>
      <c r="T345" s="49">
        <v>1</v>
      </c>
      <c r="U345" s="50">
        <v>0</v>
      </c>
      <c r="V345" s="50">
        <v>0.111111</v>
      </c>
      <c r="W345" s="50">
        <v>0</v>
      </c>
      <c r="X345" s="50">
        <v>0.551558</v>
      </c>
      <c r="Y345" s="50">
        <v>0</v>
      </c>
      <c r="Z345" s="50">
        <v>1</v>
      </c>
      <c r="AA345" s="72">
        <v>345</v>
      </c>
      <c r="AB345" s="72"/>
      <c r="AC345" s="73"/>
      <c r="AD345" s="80" t="s">
        <v>1903</v>
      </c>
      <c r="AE345" s="80"/>
      <c r="AF345" s="80"/>
      <c r="AG345" s="80"/>
      <c r="AH345" s="80"/>
      <c r="AI345" s="80"/>
      <c r="AJ345" s="87">
        <v>40866.76150462963</v>
      </c>
      <c r="AK345" s="85" t="str">
        <f>HYPERLINK("https://yt3.ggpht.com/ytc/AAUvwngZx3KRy7gG6qtDlAbT8hUwztDlMjEmQbPsiIsmTg=s88-c-k-c0x00ffffff-no-rj")</f>
        <v>https://yt3.ggpht.com/ytc/AAUvwngZx3KRy7gG6qtDlAbT8hUwztDlMjEmQbPsiIsmTg=s88-c-k-c0x00ffffff-no-rj</v>
      </c>
      <c r="AL345" s="80">
        <v>0</v>
      </c>
      <c r="AM345" s="80">
        <v>0</v>
      </c>
      <c r="AN345" s="80">
        <v>0</v>
      </c>
      <c r="AO345" s="80" t="b">
        <v>0</v>
      </c>
      <c r="AP345" s="80">
        <v>0</v>
      </c>
      <c r="AQ345" s="80"/>
      <c r="AR345" s="80"/>
      <c r="AS345" s="80" t="s">
        <v>2664</v>
      </c>
      <c r="AT345" s="85" t="str">
        <f>HYPERLINK("https://www.youtube.com/channel/UCd9YqD9yL_muyGcFjiJvDbw")</f>
        <v>https://www.youtube.com/channel/UCd9YqD9yL_muyGcFjiJvDbw</v>
      </c>
      <c r="AU345" s="80" t="str">
        <f>REPLACE(INDEX(GroupVertices[Group],MATCH(Vertices[[#This Row],[Vertex]],GroupVertices[Vertex],0)),1,1,"")</f>
        <v>15</v>
      </c>
      <c r="AV345" s="49">
        <v>1</v>
      </c>
      <c r="AW345" s="50">
        <v>8.333333333333334</v>
      </c>
      <c r="AX345" s="49">
        <v>0</v>
      </c>
      <c r="AY345" s="50">
        <v>0</v>
      </c>
      <c r="AZ345" s="49">
        <v>0</v>
      </c>
      <c r="BA345" s="50">
        <v>0</v>
      </c>
      <c r="BB345" s="49">
        <v>11</v>
      </c>
      <c r="BC345" s="50">
        <v>91.66666666666667</v>
      </c>
      <c r="BD345" s="49">
        <v>12</v>
      </c>
      <c r="BE345" s="49"/>
      <c r="BF345" s="49"/>
      <c r="BG345" s="49"/>
      <c r="BH345" s="49"/>
      <c r="BI345" s="49"/>
      <c r="BJ345" s="49"/>
      <c r="BK345" s="111" t="s">
        <v>3931</v>
      </c>
      <c r="BL345" s="111" t="s">
        <v>3931</v>
      </c>
      <c r="BM345" s="111" t="s">
        <v>4395</v>
      </c>
      <c r="BN345" s="111" t="s">
        <v>4395</v>
      </c>
      <c r="BO345" s="2"/>
      <c r="BP345" s="3"/>
      <c r="BQ345" s="3"/>
      <c r="BR345" s="3"/>
      <c r="BS345" s="3"/>
    </row>
    <row r="346" spans="1:71" ht="15">
      <c r="A346" s="65" t="s">
        <v>545</v>
      </c>
      <c r="B346" s="66"/>
      <c r="C346" s="66"/>
      <c r="D346" s="67">
        <v>291.66666666666663</v>
      </c>
      <c r="E346" s="69"/>
      <c r="F346" s="103" t="str">
        <f>HYPERLINK("https://yt3.ggpht.com/ytc/AAUvwnh_W3m-UB0Ds2-OTKGKL9ukNf8qG9-a3I7IHXfAag=s88-c-k-c0x00ffffff-no-rj")</f>
        <v>https://yt3.ggpht.com/ytc/AAUvwnh_W3m-UB0Ds2-OTKGKL9ukNf8qG9-a3I7IHXfAag=s88-c-k-c0x00ffffff-no-rj</v>
      </c>
      <c r="G346" s="66"/>
      <c r="H346" s="70" t="s">
        <v>1904</v>
      </c>
      <c r="I346" s="71"/>
      <c r="J346" s="71" t="s">
        <v>159</v>
      </c>
      <c r="K346" s="70" t="s">
        <v>1904</v>
      </c>
      <c r="L346" s="74">
        <v>96.21904761904761</v>
      </c>
      <c r="M346" s="75">
        <v>8490.3515625</v>
      </c>
      <c r="N346" s="75">
        <v>1140.78564453125</v>
      </c>
      <c r="O346" s="76"/>
      <c r="P346" s="77"/>
      <c r="Q346" s="77"/>
      <c r="R346" s="89"/>
      <c r="S346" s="49">
        <v>1</v>
      </c>
      <c r="T346" s="49">
        <v>1</v>
      </c>
      <c r="U346" s="50">
        <v>0</v>
      </c>
      <c r="V346" s="50">
        <v>0.111111</v>
      </c>
      <c r="W346" s="50">
        <v>0</v>
      </c>
      <c r="X346" s="50">
        <v>0.551558</v>
      </c>
      <c r="Y346" s="50">
        <v>0</v>
      </c>
      <c r="Z346" s="50">
        <v>1</v>
      </c>
      <c r="AA346" s="72">
        <v>346</v>
      </c>
      <c r="AB346" s="72"/>
      <c r="AC346" s="73"/>
      <c r="AD346" s="80" t="s">
        <v>1904</v>
      </c>
      <c r="AE346" s="80"/>
      <c r="AF346" s="80"/>
      <c r="AG346" s="80"/>
      <c r="AH346" s="80"/>
      <c r="AI346" s="80"/>
      <c r="AJ346" s="87">
        <v>41741.30354166667</v>
      </c>
      <c r="AK346" s="85" t="str">
        <f>HYPERLINK("https://yt3.ggpht.com/ytc/AAUvwnh_W3m-UB0Ds2-OTKGKL9ukNf8qG9-a3I7IHXfAag=s88-c-k-c0x00ffffff-no-rj")</f>
        <v>https://yt3.ggpht.com/ytc/AAUvwnh_W3m-UB0Ds2-OTKGKL9ukNf8qG9-a3I7IHXfAag=s88-c-k-c0x00ffffff-no-rj</v>
      </c>
      <c r="AL346" s="80">
        <v>0</v>
      </c>
      <c r="AM346" s="80">
        <v>0</v>
      </c>
      <c r="AN346" s="80">
        <v>1</v>
      </c>
      <c r="AO346" s="80" t="b">
        <v>0</v>
      </c>
      <c r="AP346" s="80">
        <v>0</v>
      </c>
      <c r="AQ346" s="80"/>
      <c r="AR346" s="80"/>
      <c r="AS346" s="80" t="s">
        <v>2664</v>
      </c>
      <c r="AT346" s="85" t="str">
        <f>HYPERLINK("https://www.youtube.com/channel/UCf3n0HOm04_pmgj8PKCo6oA")</f>
        <v>https://www.youtube.com/channel/UCf3n0HOm04_pmgj8PKCo6oA</v>
      </c>
      <c r="AU346" s="80" t="str">
        <f>REPLACE(INDEX(GroupVertices[Group],MATCH(Vertices[[#This Row],[Vertex]],GroupVertices[Vertex],0)),1,1,"")</f>
        <v>15</v>
      </c>
      <c r="AV346" s="49">
        <v>2</v>
      </c>
      <c r="AW346" s="50">
        <v>1.9047619047619047</v>
      </c>
      <c r="AX346" s="49">
        <v>1</v>
      </c>
      <c r="AY346" s="50">
        <v>0.9523809523809523</v>
      </c>
      <c r="AZ346" s="49">
        <v>0</v>
      </c>
      <c r="BA346" s="50">
        <v>0</v>
      </c>
      <c r="BB346" s="49">
        <v>102</v>
      </c>
      <c r="BC346" s="50">
        <v>97.14285714285714</v>
      </c>
      <c r="BD346" s="49">
        <v>105</v>
      </c>
      <c r="BE346" s="49"/>
      <c r="BF346" s="49"/>
      <c r="BG346" s="49"/>
      <c r="BH346" s="49"/>
      <c r="BI346" s="49"/>
      <c r="BJ346" s="49"/>
      <c r="BK346" s="111" t="s">
        <v>3932</v>
      </c>
      <c r="BL346" s="111" t="s">
        <v>3932</v>
      </c>
      <c r="BM346" s="111" t="s">
        <v>4396</v>
      </c>
      <c r="BN346" s="111" t="s">
        <v>4396</v>
      </c>
      <c r="BO346" s="2"/>
      <c r="BP346" s="3"/>
      <c r="BQ346" s="3"/>
      <c r="BR346" s="3"/>
      <c r="BS346" s="3"/>
    </row>
    <row r="347" spans="1:71" ht="15">
      <c r="A347" s="65" t="s">
        <v>546</v>
      </c>
      <c r="B347" s="66"/>
      <c r="C347" s="66"/>
      <c r="D347" s="67">
        <v>291.66666666666663</v>
      </c>
      <c r="E347" s="69"/>
      <c r="F347" s="103" t="str">
        <f>HYPERLINK("https://yt3.ggpht.com/ytc/AAUvwnhNElW959xsy3vrTdO_OOArdsdah3sGgOOaumLj8w=s88-c-k-c0x00ffffff-no-rj")</f>
        <v>https://yt3.ggpht.com/ytc/AAUvwnhNElW959xsy3vrTdO_OOArdsdah3sGgOOaumLj8w=s88-c-k-c0x00ffffff-no-rj</v>
      </c>
      <c r="G347" s="66"/>
      <c r="H347" s="70" t="s">
        <v>1905</v>
      </c>
      <c r="I347" s="71"/>
      <c r="J347" s="71" t="s">
        <v>159</v>
      </c>
      <c r="K347" s="70" t="s">
        <v>1905</v>
      </c>
      <c r="L347" s="74">
        <v>96.21904761904761</v>
      </c>
      <c r="M347" s="75">
        <v>7918.52880859375</v>
      </c>
      <c r="N347" s="75">
        <v>756.953369140625</v>
      </c>
      <c r="O347" s="76"/>
      <c r="P347" s="77"/>
      <c r="Q347" s="77"/>
      <c r="R347" s="89"/>
      <c r="S347" s="49">
        <v>1</v>
      </c>
      <c r="T347" s="49">
        <v>1</v>
      </c>
      <c r="U347" s="50">
        <v>0</v>
      </c>
      <c r="V347" s="50">
        <v>0.111111</v>
      </c>
      <c r="W347" s="50">
        <v>0</v>
      </c>
      <c r="X347" s="50">
        <v>0.551558</v>
      </c>
      <c r="Y347" s="50">
        <v>0</v>
      </c>
      <c r="Z347" s="50">
        <v>1</v>
      </c>
      <c r="AA347" s="72">
        <v>347</v>
      </c>
      <c r="AB347" s="72"/>
      <c r="AC347" s="73"/>
      <c r="AD347" s="80" t="s">
        <v>1905</v>
      </c>
      <c r="AE347" s="80" t="s">
        <v>2533</v>
      </c>
      <c r="AF347" s="80"/>
      <c r="AG347" s="80"/>
      <c r="AH347" s="80"/>
      <c r="AI347" s="80" t="s">
        <v>2643</v>
      </c>
      <c r="AJ347" s="87">
        <v>40742.6621875</v>
      </c>
      <c r="AK347" s="85" t="str">
        <f>HYPERLINK("https://yt3.ggpht.com/ytc/AAUvwnhNElW959xsy3vrTdO_OOArdsdah3sGgOOaumLj8w=s88-c-k-c0x00ffffff-no-rj")</f>
        <v>https://yt3.ggpht.com/ytc/AAUvwnhNElW959xsy3vrTdO_OOArdsdah3sGgOOaumLj8w=s88-c-k-c0x00ffffff-no-rj</v>
      </c>
      <c r="AL347" s="80">
        <v>45970</v>
      </c>
      <c r="AM347" s="80">
        <v>0</v>
      </c>
      <c r="AN347" s="80">
        <v>0</v>
      </c>
      <c r="AO347" s="80" t="b">
        <v>1</v>
      </c>
      <c r="AP347" s="80">
        <v>10</v>
      </c>
      <c r="AQ347" s="80"/>
      <c r="AR347" s="80"/>
      <c r="AS347" s="80" t="s">
        <v>2664</v>
      </c>
      <c r="AT347" s="85" t="str">
        <f>HYPERLINK("https://www.youtube.com/channel/UCspOgcY19gaQ0LVK2SOsHMw")</f>
        <v>https://www.youtube.com/channel/UCspOgcY19gaQ0LVK2SOsHMw</v>
      </c>
      <c r="AU347" s="80" t="str">
        <f>REPLACE(INDEX(GroupVertices[Group],MATCH(Vertices[[#This Row],[Vertex]],GroupVertices[Vertex],0)),1,1,"")</f>
        <v>15</v>
      </c>
      <c r="AV347" s="49">
        <v>1</v>
      </c>
      <c r="AW347" s="50">
        <v>0.7633587786259542</v>
      </c>
      <c r="AX347" s="49">
        <v>4</v>
      </c>
      <c r="AY347" s="50">
        <v>3.053435114503817</v>
      </c>
      <c r="AZ347" s="49">
        <v>0</v>
      </c>
      <c r="BA347" s="50">
        <v>0</v>
      </c>
      <c r="BB347" s="49">
        <v>126</v>
      </c>
      <c r="BC347" s="50">
        <v>96.18320610687023</v>
      </c>
      <c r="BD347" s="49">
        <v>131</v>
      </c>
      <c r="BE347" s="49"/>
      <c r="BF347" s="49"/>
      <c r="BG347" s="49"/>
      <c r="BH347" s="49"/>
      <c r="BI347" s="49"/>
      <c r="BJ347" s="49"/>
      <c r="BK347" s="111" t="s">
        <v>3933</v>
      </c>
      <c r="BL347" s="111" t="s">
        <v>3933</v>
      </c>
      <c r="BM347" s="111" t="s">
        <v>4397</v>
      </c>
      <c r="BN347" s="111" t="s">
        <v>4397</v>
      </c>
      <c r="BO347" s="2"/>
      <c r="BP347" s="3"/>
      <c r="BQ347" s="3"/>
      <c r="BR347" s="3"/>
      <c r="BS347" s="3"/>
    </row>
    <row r="348" spans="1:71" ht="15">
      <c r="A348" s="65" t="s">
        <v>547</v>
      </c>
      <c r="B348" s="66"/>
      <c r="C348" s="66"/>
      <c r="D348" s="67">
        <v>433.3333333333333</v>
      </c>
      <c r="E348" s="69"/>
      <c r="F348" s="103" t="str">
        <f>HYPERLINK("https://yt3.ggpht.com/ytc/AAUvwngEYqC3sG1eHwSrgMTcNZjGP1EFphZLEt7ObeCOKQ=s88-c-k-c0x00ffffff-no-rj")</f>
        <v>https://yt3.ggpht.com/ytc/AAUvwngEYqC3sG1eHwSrgMTcNZjGP1EFphZLEt7ObeCOKQ=s88-c-k-c0x00ffffff-no-rj</v>
      </c>
      <c r="G348" s="66"/>
      <c r="H348" s="70" t="s">
        <v>1906</v>
      </c>
      <c r="I348" s="71"/>
      <c r="J348" s="71" t="s">
        <v>75</v>
      </c>
      <c r="K348" s="70" t="s">
        <v>1906</v>
      </c>
      <c r="L348" s="74">
        <v>191.43809523809523</v>
      </c>
      <c r="M348" s="75">
        <v>8136.099609375</v>
      </c>
      <c r="N348" s="75">
        <v>1372.695068359375</v>
      </c>
      <c r="O348" s="76"/>
      <c r="P348" s="77"/>
      <c r="Q348" s="77"/>
      <c r="R348" s="89"/>
      <c r="S348" s="49">
        <v>2</v>
      </c>
      <c r="T348" s="49">
        <v>2</v>
      </c>
      <c r="U348" s="50">
        <v>0</v>
      </c>
      <c r="V348" s="50">
        <v>0.111111</v>
      </c>
      <c r="W348" s="50">
        <v>0</v>
      </c>
      <c r="X348" s="50">
        <v>0.959232</v>
      </c>
      <c r="Y348" s="50">
        <v>0</v>
      </c>
      <c r="Z348" s="50">
        <v>1</v>
      </c>
      <c r="AA348" s="72">
        <v>348</v>
      </c>
      <c r="AB348" s="72"/>
      <c r="AC348" s="73"/>
      <c r="AD348" s="80" t="s">
        <v>1906</v>
      </c>
      <c r="AE348" s="80" t="s">
        <v>2534</v>
      </c>
      <c r="AF348" s="80"/>
      <c r="AG348" s="80"/>
      <c r="AH348" s="80"/>
      <c r="AI348" s="80"/>
      <c r="AJ348" s="87">
        <v>42231.97283564815</v>
      </c>
      <c r="AK348" s="85" t="str">
        <f>HYPERLINK("https://yt3.ggpht.com/ytc/AAUvwngEYqC3sG1eHwSrgMTcNZjGP1EFphZLEt7ObeCOKQ=s88-c-k-c0x00ffffff-no-rj")</f>
        <v>https://yt3.ggpht.com/ytc/AAUvwngEYqC3sG1eHwSrgMTcNZjGP1EFphZLEt7ObeCOKQ=s88-c-k-c0x00ffffff-no-rj</v>
      </c>
      <c r="AL348" s="80">
        <v>19070</v>
      </c>
      <c r="AM348" s="80">
        <v>0</v>
      </c>
      <c r="AN348" s="80">
        <v>185</v>
      </c>
      <c r="AO348" s="80" t="b">
        <v>0</v>
      </c>
      <c r="AP348" s="80">
        <v>96</v>
      </c>
      <c r="AQ348" s="80"/>
      <c r="AR348" s="80"/>
      <c r="AS348" s="80" t="s">
        <v>2664</v>
      </c>
      <c r="AT348" s="85" t="str">
        <f>HYPERLINK("https://www.youtube.com/channel/UCilVHLxNKoC98Vke9PZIZxA")</f>
        <v>https://www.youtube.com/channel/UCilVHLxNKoC98Vke9PZIZxA</v>
      </c>
      <c r="AU348" s="80" t="str">
        <f>REPLACE(INDEX(GroupVertices[Group],MATCH(Vertices[[#This Row],[Vertex]],GroupVertices[Vertex],0)),1,1,"")</f>
        <v>15</v>
      </c>
      <c r="AV348" s="49">
        <v>0</v>
      </c>
      <c r="AW348" s="50">
        <v>0</v>
      </c>
      <c r="AX348" s="49">
        <v>0</v>
      </c>
      <c r="AY348" s="50">
        <v>0</v>
      </c>
      <c r="AZ348" s="49">
        <v>0</v>
      </c>
      <c r="BA348" s="50">
        <v>0</v>
      </c>
      <c r="BB348" s="49">
        <v>17</v>
      </c>
      <c r="BC348" s="50">
        <v>100</v>
      </c>
      <c r="BD348" s="49">
        <v>17</v>
      </c>
      <c r="BE348" s="49"/>
      <c r="BF348" s="49"/>
      <c r="BG348" s="49"/>
      <c r="BH348" s="49"/>
      <c r="BI348" s="49"/>
      <c r="BJ348" s="49"/>
      <c r="BK348" s="111" t="s">
        <v>3934</v>
      </c>
      <c r="BL348" s="111" t="s">
        <v>3934</v>
      </c>
      <c r="BM348" s="111" t="s">
        <v>4398</v>
      </c>
      <c r="BN348" s="111" t="s">
        <v>4398</v>
      </c>
      <c r="BO348" s="2"/>
      <c r="BP348" s="3"/>
      <c r="BQ348" s="3"/>
      <c r="BR348" s="3"/>
      <c r="BS348" s="3"/>
    </row>
    <row r="349" spans="1:71" ht="15">
      <c r="A349" s="65" t="s">
        <v>548</v>
      </c>
      <c r="B349" s="66"/>
      <c r="C349" s="66"/>
      <c r="D349" s="67">
        <v>150</v>
      </c>
      <c r="E349" s="69"/>
      <c r="F349" s="103" t="str">
        <f>HYPERLINK("https://yt3.ggpht.com/ytc/AAUvwniS-hw5IH9IqbNVrtlsgblz05BaMftLIV7WsaOo_A=s88-c-k-c0x00ffffff-no-rj")</f>
        <v>https://yt3.ggpht.com/ytc/AAUvwniS-hw5IH9IqbNVrtlsgblz05BaMftLIV7WsaOo_A=s88-c-k-c0x00ffffff-no-rj</v>
      </c>
      <c r="G349" s="66"/>
      <c r="H349" s="70" t="s">
        <v>1907</v>
      </c>
      <c r="I349" s="71"/>
      <c r="J349" s="71" t="s">
        <v>159</v>
      </c>
      <c r="K349" s="70" t="s">
        <v>1907</v>
      </c>
      <c r="L349" s="74">
        <v>1</v>
      </c>
      <c r="M349" s="75">
        <v>2007.947265625</v>
      </c>
      <c r="N349" s="75">
        <v>7236.623046875</v>
      </c>
      <c r="O349" s="76"/>
      <c r="P349" s="77"/>
      <c r="Q349" s="77"/>
      <c r="R349" s="89"/>
      <c r="S349" s="49">
        <v>0</v>
      </c>
      <c r="T349" s="49">
        <v>1</v>
      </c>
      <c r="U349" s="50">
        <v>0</v>
      </c>
      <c r="V349" s="50">
        <v>0.002801</v>
      </c>
      <c r="W349" s="50">
        <v>0.008244</v>
      </c>
      <c r="X349" s="50">
        <v>0.512495</v>
      </c>
      <c r="Y349" s="50">
        <v>0</v>
      </c>
      <c r="Z349" s="50">
        <v>0</v>
      </c>
      <c r="AA349" s="72">
        <v>349</v>
      </c>
      <c r="AB349" s="72"/>
      <c r="AC349" s="73"/>
      <c r="AD349" s="80" t="s">
        <v>1907</v>
      </c>
      <c r="AE349" s="80" t="s">
        <v>2535</v>
      </c>
      <c r="AF349" s="80"/>
      <c r="AG349" s="80"/>
      <c r="AH349" s="80"/>
      <c r="AI349" s="80"/>
      <c r="AJ349" s="87">
        <v>41557.85853009259</v>
      </c>
      <c r="AK349" s="85" t="str">
        <f>HYPERLINK("https://yt3.ggpht.com/ytc/AAUvwniS-hw5IH9IqbNVrtlsgblz05BaMftLIV7WsaOo_A=s88-c-k-c0x00ffffff-no-rj")</f>
        <v>https://yt3.ggpht.com/ytc/AAUvwniS-hw5IH9IqbNVrtlsgblz05BaMftLIV7WsaOo_A=s88-c-k-c0x00ffffff-no-rj</v>
      </c>
      <c r="AL349" s="80">
        <v>1626</v>
      </c>
      <c r="AM349" s="80">
        <v>0</v>
      </c>
      <c r="AN349" s="80">
        <v>58</v>
      </c>
      <c r="AO349" s="80" t="b">
        <v>0</v>
      </c>
      <c r="AP349" s="80">
        <v>21</v>
      </c>
      <c r="AQ349" s="80"/>
      <c r="AR349" s="80"/>
      <c r="AS349" s="80" t="s">
        <v>2664</v>
      </c>
      <c r="AT349" s="85" t="str">
        <f>HYPERLINK("https://www.youtube.com/channel/UCguC9iBJti3CgOP95wGmQnw")</f>
        <v>https://www.youtube.com/channel/UCguC9iBJti3CgOP95wGmQnw</v>
      </c>
      <c r="AU349" s="80" t="str">
        <f>REPLACE(INDEX(GroupVertices[Group],MATCH(Vertices[[#This Row],[Vertex]],GroupVertices[Vertex],0)),1,1,"")</f>
        <v>1</v>
      </c>
      <c r="AV349" s="49">
        <v>2</v>
      </c>
      <c r="AW349" s="50">
        <v>22.22222222222222</v>
      </c>
      <c r="AX349" s="49">
        <v>0</v>
      </c>
      <c r="AY349" s="50">
        <v>0</v>
      </c>
      <c r="AZ349" s="49">
        <v>0</v>
      </c>
      <c r="BA349" s="50">
        <v>0</v>
      </c>
      <c r="BB349" s="49">
        <v>7</v>
      </c>
      <c r="BC349" s="50">
        <v>77.77777777777777</v>
      </c>
      <c r="BD349" s="49">
        <v>9</v>
      </c>
      <c r="BE349" s="49"/>
      <c r="BF349" s="49"/>
      <c r="BG349" s="49"/>
      <c r="BH349" s="49"/>
      <c r="BI349" s="49"/>
      <c r="BJ349" s="49"/>
      <c r="BK349" s="111" t="s">
        <v>3935</v>
      </c>
      <c r="BL349" s="111" t="s">
        <v>3935</v>
      </c>
      <c r="BM349" s="111" t="s">
        <v>4399</v>
      </c>
      <c r="BN349" s="111" t="s">
        <v>4399</v>
      </c>
      <c r="BO349" s="2"/>
      <c r="BP349" s="3"/>
      <c r="BQ349" s="3"/>
      <c r="BR349" s="3"/>
      <c r="BS349" s="3"/>
    </row>
    <row r="350" spans="1:71" ht="15">
      <c r="A350" s="65" t="s">
        <v>553</v>
      </c>
      <c r="B350" s="66"/>
      <c r="C350" s="66"/>
      <c r="D350" s="67">
        <v>1000</v>
      </c>
      <c r="E350" s="69"/>
      <c r="F350" s="103" t="str">
        <f>HYPERLINK("https://yt3.ggpht.com/ytc/AAUvwnjbOcFNj5hgWtH4ORFu4b9gwXpxFxkgaYY166sYDw=s88-c-k-c0x00ffffff-no-rj")</f>
        <v>https://yt3.ggpht.com/ytc/AAUvwnjbOcFNj5hgWtH4ORFu4b9gwXpxFxkgaYY166sYDw=s88-c-k-c0x00ffffff-no-rj</v>
      </c>
      <c r="G350" s="66"/>
      <c r="H350" s="70" t="s">
        <v>1912</v>
      </c>
      <c r="I350" s="71"/>
      <c r="J350" s="71" t="s">
        <v>75</v>
      </c>
      <c r="K350" s="70" t="s">
        <v>1912</v>
      </c>
      <c r="L350" s="74">
        <v>9999</v>
      </c>
      <c r="M350" s="75">
        <v>1739.0439453125</v>
      </c>
      <c r="N350" s="75">
        <v>7032.171875</v>
      </c>
      <c r="O350" s="76"/>
      <c r="P350" s="77"/>
      <c r="Q350" s="77"/>
      <c r="R350" s="89"/>
      <c r="S350" s="49">
        <v>105</v>
      </c>
      <c r="T350" s="49">
        <v>10</v>
      </c>
      <c r="U350" s="50">
        <v>23314.166667</v>
      </c>
      <c r="V350" s="50">
        <v>0.004902</v>
      </c>
      <c r="W350" s="50">
        <v>0.088809</v>
      </c>
      <c r="X350" s="50">
        <v>44.778759</v>
      </c>
      <c r="Y350" s="50">
        <v>9.335324869305452E-05</v>
      </c>
      <c r="Z350" s="50">
        <v>0.08653846153846154</v>
      </c>
      <c r="AA350" s="72">
        <v>350</v>
      </c>
      <c r="AB350" s="72"/>
      <c r="AC350" s="73"/>
      <c r="AD350" s="80" t="s">
        <v>1912</v>
      </c>
      <c r="AE350" s="80" t="s">
        <v>2536</v>
      </c>
      <c r="AF350" s="80"/>
      <c r="AG350" s="80"/>
      <c r="AH350" s="80"/>
      <c r="AI350" s="80" t="s">
        <v>2644</v>
      </c>
      <c r="AJ350" s="87">
        <v>41585.83268518518</v>
      </c>
      <c r="AK350" s="85" t="str">
        <f>HYPERLINK("https://yt3.ggpht.com/ytc/AAUvwnjbOcFNj5hgWtH4ORFu4b9gwXpxFxkgaYY166sYDw=s88-c-k-c0x00ffffff-no-rj")</f>
        <v>https://yt3.ggpht.com/ytc/AAUvwnjbOcFNj5hgWtH4ORFu4b9gwXpxFxkgaYY166sYDw=s88-c-k-c0x00ffffff-no-rj</v>
      </c>
      <c r="AL350" s="80">
        <v>81817272</v>
      </c>
      <c r="AM350" s="80">
        <v>0</v>
      </c>
      <c r="AN350" s="80">
        <v>473000</v>
      </c>
      <c r="AO350" s="80" t="b">
        <v>0</v>
      </c>
      <c r="AP350" s="80">
        <v>476</v>
      </c>
      <c r="AQ350" s="80"/>
      <c r="AR350" s="80"/>
      <c r="AS350" s="80" t="s">
        <v>2664</v>
      </c>
      <c r="AT350" s="85" t="str">
        <f>HYPERLINK("https://www.youtube.com/channel/UCqbOeHaAUXw9Il7sBVG3_bw")</f>
        <v>https://www.youtube.com/channel/UCqbOeHaAUXw9Il7sBVG3_bw</v>
      </c>
      <c r="AU350" s="80" t="str">
        <f>REPLACE(INDEX(GroupVertices[Group],MATCH(Vertices[[#This Row],[Vertex]],GroupVertices[Vertex],0)),1,1,"")</f>
        <v>1</v>
      </c>
      <c r="AV350" s="49">
        <v>4</v>
      </c>
      <c r="AW350" s="50">
        <v>2.366863905325444</v>
      </c>
      <c r="AX350" s="49">
        <v>4</v>
      </c>
      <c r="AY350" s="50">
        <v>2.366863905325444</v>
      </c>
      <c r="AZ350" s="49">
        <v>0</v>
      </c>
      <c r="BA350" s="50">
        <v>0</v>
      </c>
      <c r="BB350" s="49">
        <v>161</v>
      </c>
      <c r="BC350" s="50">
        <v>95.26627218934911</v>
      </c>
      <c r="BD350" s="49">
        <v>169</v>
      </c>
      <c r="BE350" s="49"/>
      <c r="BF350" s="49"/>
      <c r="BG350" s="49"/>
      <c r="BH350" s="49"/>
      <c r="BI350" s="49"/>
      <c r="BJ350" s="49"/>
      <c r="BK350" s="111" t="s">
        <v>3936</v>
      </c>
      <c r="BL350" s="111" t="s">
        <v>4134</v>
      </c>
      <c r="BM350" s="111" t="s">
        <v>4400</v>
      </c>
      <c r="BN350" s="111" t="s">
        <v>4400</v>
      </c>
      <c r="BO350" s="2"/>
      <c r="BP350" s="3"/>
      <c r="BQ350" s="3"/>
      <c r="BR350" s="3"/>
      <c r="BS350" s="3"/>
    </row>
    <row r="351" spans="1:71" ht="15">
      <c r="A351" s="65" t="s">
        <v>549</v>
      </c>
      <c r="B351" s="66"/>
      <c r="C351" s="66"/>
      <c r="D351" s="67">
        <v>150</v>
      </c>
      <c r="E351" s="69"/>
      <c r="F351" s="103" t="str">
        <f>HYPERLINK("https://yt3.ggpht.com/ytc/AAUvwnikvfERxxlBe87I3YWubTqfSBHoX30cZ1m7h-Df=s88-c-k-c0x00ffffff-no-rj")</f>
        <v>https://yt3.ggpht.com/ytc/AAUvwnikvfERxxlBe87I3YWubTqfSBHoX30cZ1m7h-Df=s88-c-k-c0x00ffffff-no-rj</v>
      </c>
      <c r="G351" s="66"/>
      <c r="H351" s="70" t="s">
        <v>1908</v>
      </c>
      <c r="I351" s="71"/>
      <c r="J351" s="71" t="s">
        <v>159</v>
      </c>
      <c r="K351" s="70" t="s">
        <v>1908</v>
      </c>
      <c r="L351" s="74">
        <v>1</v>
      </c>
      <c r="M351" s="75">
        <v>2344.18408203125</v>
      </c>
      <c r="N351" s="75">
        <v>6880.748046875</v>
      </c>
      <c r="O351" s="76"/>
      <c r="P351" s="77"/>
      <c r="Q351" s="77"/>
      <c r="R351" s="89"/>
      <c r="S351" s="49">
        <v>0</v>
      </c>
      <c r="T351" s="49">
        <v>1</v>
      </c>
      <c r="U351" s="50">
        <v>0</v>
      </c>
      <c r="V351" s="50">
        <v>0.002801</v>
      </c>
      <c r="W351" s="50">
        <v>0.008244</v>
      </c>
      <c r="X351" s="50">
        <v>0.512495</v>
      </c>
      <c r="Y351" s="50">
        <v>0</v>
      </c>
      <c r="Z351" s="50">
        <v>0</v>
      </c>
      <c r="AA351" s="72">
        <v>351</v>
      </c>
      <c r="AB351" s="72"/>
      <c r="AC351" s="73"/>
      <c r="AD351" s="80" t="s">
        <v>1908</v>
      </c>
      <c r="AE351" s="80"/>
      <c r="AF351" s="80"/>
      <c r="AG351" s="80"/>
      <c r="AH351" s="80"/>
      <c r="AI351" s="80"/>
      <c r="AJ351" s="87">
        <v>42794.721041666664</v>
      </c>
      <c r="AK351" s="85" t="str">
        <f>HYPERLINK("https://yt3.ggpht.com/ytc/AAUvwnikvfERxxlBe87I3YWubTqfSBHoX30cZ1m7h-Df=s88-c-k-c0x00ffffff-no-rj")</f>
        <v>https://yt3.ggpht.com/ytc/AAUvwnikvfERxxlBe87I3YWubTqfSBHoX30cZ1m7h-Df=s88-c-k-c0x00ffffff-no-rj</v>
      </c>
      <c r="AL351" s="80">
        <v>0</v>
      </c>
      <c r="AM351" s="80">
        <v>0</v>
      </c>
      <c r="AN351" s="80">
        <v>0</v>
      </c>
      <c r="AO351" s="80" t="b">
        <v>0</v>
      </c>
      <c r="AP351" s="80">
        <v>0</v>
      </c>
      <c r="AQ351" s="80"/>
      <c r="AR351" s="80"/>
      <c r="AS351" s="80" t="s">
        <v>2664</v>
      </c>
      <c r="AT351" s="85" t="str">
        <f>HYPERLINK("https://www.youtube.com/channel/UCIY-WKG4zBHG59bNY3vt27g")</f>
        <v>https://www.youtube.com/channel/UCIY-WKG4zBHG59bNY3vt27g</v>
      </c>
      <c r="AU351" s="80" t="str">
        <f>REPLACE(INDEX(GroupVertices[Group],MATCH(Vertices[[#This Row],[Vertex]],GroupVertices[Vertex],0)),1,1,"")</f>
        <v>1</v>
      </c>
      <c r="AV351" s="49">
        <v>0</v>
      </c>
      <c r="AW351" s="50">
        <v>0</v>
      </c>
      <c r="AX351" s="49">
        <v>0</v>
      </c>
      <c r="AY351" s="50">
        <v>0</v>
      </c>
      <c r="AZ351" s="49">
        <v>0</v>
      </c>
      <c r="BA351" s="50">
        <v>0</v>
      </c>
      <c r="BB351" s="49">
        <v>1</v>
      </c>
      <c r="BC351" s="50">
        <v>100</v>
      </c>
      <c r="BD351" s="49">
        <v>1</v>
      </c>
      <c r="BE351" s="49"/>
      <c r="BF351" s="49"/>
      <c r="BG351" s="49"/>
      <c r="BH351" s="49"/>
      <c r="BI351" s="49"/>
      <c r="BJ351" s="49"/>
      <c r="BK351" s="111" t="s">
        <v>2390</v>
      </c>
      <c r="BL351" s="111" t="s">
        <v>2390</v>
      </c>
      <c r="BM351" s="111" t="s">
        <v>2390</v>
      </c>
      <c r="BN351" s="111" t="s">
        <v>2390</v>
      </c>
      <c r="BO351" s="2"/>
      <c r="BP351" s="3"/>
      <c r="BQ351" s="3"/>
      <c r="BR351" s="3"/>
      <c r="BS351" s="3"/>
    </row>
    <row r="352" spans="1:71" ht="15">
      <c r="A352" s="65" t="s">
        <v>550</v>
      </c>
      <c r="B352" s="66"/>
      <c r="C352" s="66"/>
      <c r="D352" s="67">
        <v>150</v>
      </c>
      <c r="E352" s="69"/>
      <c r="F352" s="103" t="str">
        <f>HYPERLINK("https://yt3.ggpht.com/ytc/AAUvwnhUow9SJnHqF7BfsHAhDC-3NjQf_ryUcgFNdthEbw=s88-c-k-c0x00ffffff-no-rj")</f>
        <v>https://yt3.ggpht.com/ytc/AAUvwnhUow9SJnHqF7BfsHAhDC-3NjQf_ryUcgFNdthEbw=s88-c-k-c0x00ffffff-no-rj</v>
      </c>
      <c r="G352" s="66"/>
      <c r="H352" s="70" t="s">
        <v>1909</v>
      </c>
      <c r="I352" s="71"/>
      <c r="J352" s="71" t="s">
        <v>159</v>
      </c>
      <c r="K352" s="70" t="s">
        <v>1909</v>
      </c>
      <c r="L352" s="74">
        <v>1</v>
      </c>
      <c r="M352" s="75">
        <v>2632.203125</v>
      </c>
      <c r="N352" s="75">
        <v>9398.486328125</v>
      </c>
      <c r="O352" s="76"/>
      <c r="P352" s="77"/>
      <c r="Q352" s="77"/>
      <c r="R352" s="89"/>
      <c r="S352" s="49">
        <v>0</v>
      </c>
      <c r="T352" s="49">
        <v>1</v>
      </c>
      <c r="U352" s="50">
        <v>0</v>
      </c>
      <c r="V352" s="50">
        <v>0.001969</v>
      </c>
      <c r="W352" s="50">
        <v>0.000772</v>
      </c>
      <c r="X352" s="50">
        <v>0.575828</v>
      </c>
      <c r="Y352" s="50">
        <v>0</v>
      </c>
      <c r="Z352" s="50">
        <v>0</v>
      </c>
      <c r="AA352" s="72">
        <v>352</v>
      </c>
      <c r="AB352" s="72"/>
      <c r="AC352" s="73"/>
      <c r="AD352" s="80" t="s">
        <v>1909</v>
      </c>
      <c r="AE352" s="80" t="s">
        <v>2537</v>
      </c>
      <c r="AF352" s="80"/>
      <c r="AG352" s="80"/>
      <c r="AH352" s="80"/>
      <c r="AI352" s="80"/>
      <c r="AJ352" s="87">
        <v>41462.994375</v>
      </c>
      <c r="AK352" s="85" t="str">
        <f>HYPERLINK("https://yt3.ggpht.com/ytc/AAUvwnhUow9SJnHqF7BfsHAhDC-3NjQf_ryUcgFNdthEbw=s88-c-k-c0x00ffffff-no-rj")</f>
        <v>https://yt3.ggpht.com/ytc/AAUvwnhUow9SJnHqF7BfsHAhDC-3NjQf_ryUcgFNdthEbw=s88-c-k-c0x00ffffff-no-rj</v>
      </c>
      <c r="AL352" s="80">
        <v>142</v>
      </c>
      <c r="AM352" s="80">
        <v>0</v>
      </c>
      <c r="AN352" s="80">
        <v>14</v>
      </c>
      <c r="AO352" s="80" t="b">
        <v>0</v>
      </c>
      <c r="AP352" s="80">
        <v>2</v>
      </c>
      <c r="AQ352" s="80"/>
      <c r="AR352" s="80"/>
      <c r="AS352" s="80" t="s">
        <v>2664</v>
      </c>
      <c r="AT352" s="85" t="str">
        <f>HYPERLINK("https://www.youtube.com/channel/UCeHjXb2gbbNp8UVz6tv8lgg")</f>
        <v>https://www.youtube.com/channel/UCeHjXb2gbbNp8UVz6tv8lgg</v>
      </c>
      <c r="AU352" s="80" t="str">
        <f>REPLACE(INDEX(GroupVertices[Group],MATCH(Vertices[[#This Row],[Vertex]],GroupVertices[Vertex],0)),1,1,"")</f>
        <v>1</v>
      </c>
      <c r="AV352" s="49">
        <v>2</v>
      </c>
      <c r="AW352" s="50">
        <v>22.22222222222222</v>
      </c>
      <c r="AX352" s="49">
        <v>0</v>
      </c>
      <c r="AY352" s="50">
        <v>0</v>
      </c>
      <c r="AZ352" s="49">
        <v>0</v>
      </c>
      <c r="BA352" s="50">
        <v>0</v>
      </c>
      <c r="BB352" s="49">
        <v>7</v>
      </c>
      <c r="BC352" s="50">
        <v>77.77777777777777</v>
      </c>
      <c r="BD352" s="49">
        <v>9</v>
      </c>
      <c r="BE352" s="49"/>
      <c r="BF352" s="49"/>
      <c r="BG352" s="49"/>
      <c r="BH352" s="49"/>
      <c r="BI352" s="49"/>
      <c r="BJ352" s="49"/>
      <c r="BK352" s="111" t="s">
        <v>3937</v>
      </c>
      <c r="BL352" s="111" t="s">
        <v>3937</v>
      </c>
      <c r="BM352" s="111" t="s">
        <v>4401</v>
      </c>
      <c r="BN352" s="111" t="s">
        <v>4401</v>
      </c>
      <c r="BO352" s="2"/>
      <c r="BP352" s="3"/>
      <c r="BQ352" s="3"/>
      <c r="BR352" s="3"/>
      <c r="BS352" s="3"/>
    </row>
    <row r="353" spans="1:71" ht="15">
      <c r="A353" s="65" t="s">
        <v>551</v>
      </c>
      <c r="B353" s="66"/>
      <c r="C353" s="66"/>
      <c r="D353" s="67">
        <v>291.66666666666663</v>
      </c>
      <c r="E353" s="69"/>
      <c r="F353" s="103" t="str">
        <f>HYPERLINK("https://yt3.ggpht.com/ytc/AAUvwnhcZII8cviBk2mZTm67ginMAiOFYPzWRH-Peg=s88-c-k-c0x00ffffff-no-rj")</f>
        <v>https://yt3.ggpht.com/ytc/AAUvwnhcZII8cviBk2mZTm67ginMAiOFYPzWRH-Peg=s88-c-k-c0x00ffffff-no-rj</v>
      </c>
      <c r="G353" s="66"/>
      <c r="H353" s="70" t="s">
        <v>1910</v>
      </c>
      <c r="I353" s="71"/>
      <c r="J353" s="71" t="s">
        <v>159</v>
      </c>
      <c r="K353" s="70" t="s">
        <v>1910</v>
      </c>
      <c r="L353" s="74">
        <v>96.21904761904761</v>
      </c>
      <c r="M353" s="75">
        <v>2406.993896484375</v>
      </c>
      <c r="N353" s="75">
        <v>7945.1396484375</v>
      </c>
      <c r="O353" s="76"/>
      <c r="P353" s="77"/>
      <c r="Q353" s="77"/>
      <c r="R353" s="89"/>
      <c r="S353" s="49">
        <v>1</v>
      </c>
      <c r="T353" s="49">
        <v>1</v>
      </c>
      <c r="U353" s="50">
        <v>306</v>
      </c>
      <c r="V353" s="50">
        <v>0.002817</v>
      </c>
      <c r="W353" s="50">
        <v>0.008315</v>
      </c>
      <c r="X353" s="50">
        <v>1.001948</v>
      </c>
      <c r="Y353" s="50">
        <v>0</v>
      </c>
      <c r="Z353" s="50">
        <v>0</v>
      </c>
      <c r="AA353" s="72">
        <v>353</v>
      </c>
      <c r="AB353" s="72"/>
      <c r="AC353" s="73"/>
      <c r="AD353" s="80" t="s">
        <v>1910</v>
      </c>
      <c r="AE353" s="80"/>
      <c r="AF353" s="80"/>
      <c r="AG353" s="80"/>
      <c r="AH353" s="80"/>
      <c r="AI353" s="80"/>
      <c r="AJ353" s="87">
        <v>42366.92481481482</v>
      </c>
      <c r="AK353" s="85" t="str">
        <f>HYPERLINK("https://yt3.ggpht.com/ytc/AAUvwnhcZII8cviBk2mZTm67ginMAiOFYPzWRH-Peg=s88-c-k-c0x00ffffff-no-rj")</f>
        <v>https://yt3.ggpht.com/ytc/AAUvwnhcZII8cviBk2mZTm67ginMAiOFYPzWRH-Peg=s88-c-k-c0x00ffffff-no-rj</v>
      </c>
      <c r="AL353" s="80">
        <v>0</v>
      </c>
      <c r="AM353" s="80">
        <v>0</v>
      </c>
      <c r="AN353" s="80">
        <v>1</v>
      </c>
      <c r="AO353" s="80" t="b">
        <v>0</v>
      </c>
      <c r="AP353" s="80">
        <v>0</v>
      </c>
      <c r="AQ353" s="80"/>
      <c r="AR353" s="80"/>
      <c r="AS353" s="80" t="s">
        <v>2664</v>
      </c>
      <c r="AT353" s="85" t="str">
        <f>HYPERLINK("https://www.youtube.com/channel/UCUPcct3wU_fPe5Jz4z9aKBg")</f>
        <v>https://www.youtube.com/channel/UCUPcct3wU_fPe5Jz4z9aKBg</v>
      </c>
      <c r="AU353" s="80" t="str">
        <f>REPLACE(INDEX(GroupVertices[Group],MATCH(Vertices[[#This Row],[Vertex]],GroupVertices[Vertex],0)),1,1,"")</f>
        <v>1</v>
      </c>
      <c r="AV353" s="49">
        <v>0</v>
      </c>
      <c r="AW353" s="50">
        <v>0</v>
      </c>
      <c r="AX353" s="49">
        <v>0</v>
      </c>
      <c r="AY353" s="50">
        <v>0</v>
      </c>
      <c r="AZ353" s="49">
        <v>0</v>
      </c>
      <c r="BA353" s="50">
        <v>0</v>
      </c>
      <c r="BB353" s="49">
        <v>12</v>
      </c>
      <c r="BC353" s="50">
        <v>100</v>
      </c>
      <c r="BD353" s="49">
        <v>12</v>
      </c>
      <c r="BE353" s="49"/>
      <c r="BF353" s="49"/>
      <c r="BG353" s="49"/>
      <c r="BH353" s="49"/>
      <c r="BI353" s="49"/>
      <c r="BJ353" s="49"/>
      <c r="BK353" s="111" t="s">
        <v>3938</v>
      </c>
      <c r="BL353" s="111" t="s">
        <v>3938</v>
      </c>
      <c r="BM353" s="111" t="s">
        <v>4402</v>
      </c>
      <c r="BN353" s="111" t="s">
        <v>4402</v>
      </c>
      <c r="BO353" s="2"/>
      <c r="BP353" s="3"/>
      <c r="BQ353" s="3"/>
      <c r="BR353" s="3"/>
      <c r="BS353" s="3"/>
    </row>
    <row r="354" spans="1:71" ht="15">
      <c r="A354" s="65" t="s">
        <v>552</v>
      </c>
      <c r="B354" s="66"/>
      <c r="C354" s="66"/>
      <c r="D354" s="67">
        <v>150</v>
      </c>
      <c r="E354" s="69"/>
      <c r="F354" s="103" t="str">
        <f>HYPERLINK("https://yt3.ggpht.com/ytc/AAUvwngjH6FNWhpmNAEn6y279s8AUXY1lGk3ZF00TSSThA=s88-c-k-c0x00ffffff-no-rj")</f>
        <v>https://yt3.ggpht.com/ytc/AAUvwngjH6FNWhpmNAEn6y279s8AUXY1lGk3ZF00TSSThA=s88-c-k-c0x00ffffff-no-rj</v>
      </c>
      <c r="G354" s="66"/>
      <c r="H354" s="70" t="s">
        <v>1911</v>
      </c>
      <c r="I354" s="71"/>
      <c r="J354" s="71" t="s">
        <v>159</v>
      </c>
      <c r="K354" s="70" t="s">
        <v>1911</v>
      </c>
      <c r="L354" s="74">
        <v>1</v>
      </c>
      <c r="M354" s="75">
        <v>345.56854248046875</v>
      </c>
      <c r="N354" s="75">
        <v>5541.875</v>
      </c>
      <c r="O354" s="76"/>
      <c r="P354" s="77"/>
      <c r="Q354" s="77"/>
      <c r="R354" s="89"/>
      <c r="S354" s="49">
        <v>0</v>
      </c>
      <c r="T354" s="49">
        <v>1</v>
      </c>
      <c r="U354" s="50">
        <v>0</v>
      </c>
      <c r="V354" s="50">
        <v>0.001969</v>
      </c>
      <c r="W354" s="50">
        <v>0.000851</v>
      </c>
      <c r="X354" s="50">
        <v>0.531082</v>
      </c>
      <c r="Y354" s="50">
        <v>0</v>
      </c>
      <c r="Z354" s="50">
        <v>0</v>
      </c>
      <c r="AA354" s="72">
        <v>354</v>
      </c>
      <c r="AB354" s="72"/>
      <c r="AC354" s="73"/>
      <c r="AD354" s="80" t="s">
        <v>1911</v>
      </c>
      <c r="AE354" s="80"/>
      <c r="AF354" s="80"/>
      <c r="AG354" s="80"/>
      <c r="AH354" s="80"/>
      <c r="AI354" s="80"/>
      <c r="AJ354" s="87">
        <v>42171.75877314815</v>
      </c>
      <c r="AK354" s="85" t="str">
        <f>HYPERLINK("https://yt3.ggpht.com/ytc/AAUvwngjH6FNWhpmNAEn6y279s8AUXY1lGk3ZF00TSSThA=s88-c-k-c0x00ffffff-no-rj")</f>
        <v>https://yt3.ggpht.com/ytc/AAUvwngjH6FNWhpmNAEn6y279s8AUXY1lGk3ZF00TSSThA=s88-c-k-c0x00ffffff-no-rj</v>
      </c>
      <c r="AL354" s="80">
        <v>72</v>
      </c>
      <c r="AM354" s="80">
        <v>0</v>
      </c>
      <c r="AN354" s="80">
        <v>825</v>
      </c>
      <c r="AO354" s="80" t="b">
        <v>0</v>
      </c>
      <c r="AP354" s="80">
        <v>1</v>
      </c>
      <c r="AQ354" s="80"/>
      <c r="AR354" s="80"/>
      <c r="AS354" s="80" t="s">
        <v>2664</v>
      </c>
      <c r="AT354" s="85" t="str">
        <f>HYPERLINK("https://www.youtube.com/channel/UCjhTwB83OdNFIX5Z68V5mGg")</f>
        <v>https://www.youtube.com/channel/UCjhTwB83OdNFIX5Z68V5mGg</v>
      </c>
      <c r="AU354" s="80" t="str">
        <f>REPLACE(INDEX(GroupVertices[Group],MATCH(Vertices[[#This Row],[Vertex]],GroupVertices[Vertex],0)),1,1,"")</f>
        <v>1</v>
      </c>
      <c r="AV354" s="49">
        <v>1</v>
      </c>
      <c r="AW354" s="50">
        <v>12.5</v>
      </c>
      <c r="AX354" s="49">
        <v>0</v>
      </c>
      <c r="AY354" s="50">
        <v>0</v>
      </c>
      <c r="AZ354" s="49">
        <v>0</v>
      </c>
      <c r="BA354" s="50">
        <v>0</v>
      </c>
      <c r="BB354" s="49">
        <v>7</v>
      </c>
      <c r="BC354" s="50">
        <v>87.5</v>
      </c>
      <c r="BD354" s="49">
        <v>8</v>
      </c>
      <c r="BE354" s="49"/>
      <c r="BF354" s="49"/>
      <c r="BG354" s="49"/>
      <c r="BH354" s="49"/>
      <c r="BI354" s="49"/>
      <c r="BJ354" s="49"/>
      <c r="BK354" s="111" t="s">
        <v>3939</v>
      </c>
      <c r="BL354" s="111" t="s">
        <v>3939</v>
      </c>
      <c r="BM354" s="111" t="s">
        <v>4403</v>
      </c>
      <c r="BN354" s="111" t="s">
        <v>4403</v>
      </c>
      <c r="BO354" s="2"/>
      <c r="BP354" s="3"/>
      <c r="BQ354" s="3"/>
      <c r="BR354" s="3"/>
      <c r="BS354" s="3"/>
    </row>
    <row r="355" spans="1:71" ht="15">
      <c r="A355" s="65" t="s">
        <v>554</v>
      </c>
      <c r="B355" s="66"/>
      <c r="C355" s="66"/>
      <c r="D355" s="67">
        <v>575</v>
      </c>
      <c r="E355" s="69"/>
      <c r="F355" s="103" t="str">
        <f>HYPERLINK("https://yt3.ggpht.com/ytc/AAUvwnjPwEJa-AYPAOS8JwrESPfSMEUElT61wSl4P_B3ew=s88-c-k-c0x00ffffff-no-rj")</f>
        <v>https://yt3.ggpht.com/ytc/AAUvwnjPwEJa-AYPAOS8JwrESPfSMEUElT61wSl4P_B3ew=s88-c-k-c0x00ffffff-no-rj</v>
      </c>
      <c r="G355" s="66"/>
      <c r="H355" s="70" t="s">
        <v>1913</v>
      </c>
      <c r="I355" s="71"/>
      <c r="J355" s="71" t="s">
        <v>75</v>
      </c>
      <c r="K355" s="70" t="s">
        <v>1913</v>
      </c>
      <c r="L355" s="74">
        <v>286.65714285714284</v>
      </c>
      <c r="M355" s="75">
        <v>986.3849487304688</v>
      </c>
      <c r="N355" s="75">
        <v>6272.54833984375</v>
      </c>
      <c r="O355" s="76"/>
      <c r="P355" s="77"/>
      <c r="Q355" s="77"/>
      <c r="R355" s="89"/>
      <c r="S355" s="49">
        <v>3</v>
      </c>
      <c r="T355" s="49">
        <v>2</v>
      </c>
      <c r="U355" s="50">
        <v>306</v>
      </c>
      <c r="V355" s="50">
        <v>0.002817</v>
      </c>
      <c r="W355" s="50">
        <v>0.009174</v>
      </c>
      <c r="X355" s="50">
        <v>1.344997</v>
      </c>
      <c r="Y355" s="50">
        <v>0</v>
      </c>
      <c r="Z355" s="50">
        <v>0.5</v>
      </c>
      <c r="AA355" s="72">
        <v>355</v>
      </c>
      <c r="AB355" s="72"/>
      <c r="AC355" s="73"/>
      <c r="AD355" s="80" t="s">
        <v>1913</v>
      </c>
      <c r="AE355" s="80"/>
      <c r="AF355" s="80"/>
      <c r="AG355" s="80"/>
      <c r="AH355" s="80"/>
      <c r="AI355" s="80"/>
      <c r="AJ355" s="87">
        <v>42118.85556712963</v>
      </c>
      <c r="AK355" s="85" t="str">
        <f>HYPERLINK("https://yt3.ggpht.com/ytc/AAUvwnjPwEJa-AYPAOS8JwrESPfSMEUElT61wSl4P_B3ew=s88-c-k-c0x00ffffff-no-rj")</f>
        <v>https://yt3.ggpht.com/ytc/AAUvwnjPwEJa-AYPAOS8JwrESPfSMEUElT61wSl4P_B3ew=s88-c-k-c0x00ffffff-no-rj</v>
      </c>
      <c r="AL355" s="80">
        <v>0</v>
      </c>
      <c r="AM355" s="80">
        <v>0</v>
      </c>
      <c r="AN355" s="80">
        <v>13</v>
      </c>
      <c r="AO355" s="80" t="b">
        <v>0</v>
      </c>
      <c r="AP355" s="80">
        <v>0</v>
      </c>
      <c r="AQ355" s="80"/>
      <c r="AR355" s="80"/>
      <c r="AS355" s="80" t="s">
        <v>2664</v>
      </c>
      <c r="AT355" s="85" t="str">
        <f>HYPERLINK("https://www.youtube.com/channel/UCyeyCkuIHgXnMCiLXWOBc0w")</f>
        <v>https://www.youtube.com/channel/UCyeyCkuIHgXnMCiLXWOBc0w</v>
      </c>
      <c r="AU355" s="80" t="str">
        <f>REPLACE(INDEX(GroupVertices[Group],MATCH(Vertices[[#This Row],[Vertex]],GroupVertices[Vertex],0)),1,1,"")</f>
        <v>1</v>
      </c>
      <c r="AV355" s="49">
        <v>0</v>
      </c>
      <c r="AW355" s="50">
        <v>0</v>
      </c>
      <c r="AX355" s="49">
        <v>0</v>
      </c>
      <c r="AY355" s="50">
        <v>0</v>
      </c>
      <c r="AZ355" s="49">
        <v>0</v>
      </c>
      <c r="BA355" s="50">
        <v>0</v>
      </c>
      <c r="BB355" s="49">
        <v>49</v>
      </c>
      <c r="BC355" s="50">
        <v>100</v>
      </c>
      <c r="BD355" s="49">
        <v>49</v>
      </c>
      <c r="BE355" s="49"/>
      <c r="BF355" s="49"/>
      <c r="BG355" s="49"/>
      <c r="BH355" s="49"/>
      <c r="BI355" s="49"/>
      <c r="BJ355" s="49"/>
      <c r="BK355" s="111" t="s">
        <v>3940</v>
      </c>
      <c r="BL355" s="111" t="s">
        <v>3940</v>
      </c>
      <c r="BM355" s="111" t="s">
        <v>4404</v>
      </c>
      <c r="BN355" s="111" t="s">
        <v>4404</v>
      </c>
      <c r="BO355" s="2"/>
      <c r="BP355" s="3"/>
      <c r="BQ355" s="3"/>
      <c r="BR355" s="3"/>
      <c r="BS355" s="3"/>
    </row>
    <row r="356" spans="1:71" ht="15">
      <c r="A356" s="65" t="s">
        <v>555</v>
      </c>
      <c r="B356" s="66"/>
      <c r="C356" s="66"/>
      <c r="D356" s="67">
        <v>150</v>
      </c>
      <c r="E356" s="69"/>
      <c r="F356" s="103" t="str">
        <f>HYPERLINK("https://yt3.ggpht.com/ytc/AAUvwnhBQtqxiVK7Mg9b2Vdd_NEWtp70AAI7uQ__Qn6eqg=s88-c-k-c0x00ffffff-no-rj")</f>
        <v>https://yt3.ggpht.com/ytc/AAUvwnhBQtqxiVK7Mg9b2Vdd_NEWtp70AAI7uQ__Qn6eqg=s88-c-k-c0x00ffffff-no-rj</v>
      </c>
      <c r="G356" s="66"/>
      <c r="H356" s="70" t="s">
        <v>1914</v>
      </c>
      <c r="I356" s="71"/>
      <c r="J356" s="71" t="s">
        <v>159</v>
      </c>
      <c r="K356" s="70" t="s">
        <v>1914</v>
      </c>
      <c r="L356" s="74">
        <v>1</v>
      </c>
      <c r="M356" s="75">
        <v>122.31212615966797</v>
      </c>
      <c r="N356" s="75">
        <v>7517.744140625</v>
      </c>
      <c r="O356" s="76"/>
      <c r="P356" s="77"/>
      <c r="Q356" s="77"/>
      <c r="R356" s="89"/>
      <c r="S356" s="49">
        <v>0</v>
      </c>
      <c r="T356" s="49">
        <v>1</v>
      </c>
      <c r="U356" s="50">
        <v>0</v>
      </c>
      <c r="V356" s="50">
        <v>0.001969</v>
      </c>
      <c r="W356" s="50">
        <v>0.000851</v>
      </c>
      <c r="X356" s="50">
        <v>0.531082</v>
      </c>
      <c r="Y356" s="50">
        <v>0</v>
      </c>
      <c r="Z356" s="50">
        <v>0</v>
      </c>
      <c r="AA356" s="72">
        <v>356</v>
      </c>
      <c r="AB356" s="72"/>
      <c r="AC356" s="73"/>
      <c r="AD356" s="80" t="s">
        <v>1914</v>
      </c>
      <c r="AE356" s="80" t="s">
        <v>2538</v>
      </c>
      <c r="AF356" s="80"/>
      <c r="AG356" s="80"/>
      <c r="AH356" s="80"/>
      <c r="AI356" s="80"/>
      <c r="AJ356" s="87">
        <v>42063.70407407408</v>
      </c>
      <c r="AK356" s="85" t="str">
        <f>HYPERLINK("https://yt3.ggpht.com/ytc/AAUvwnhBQtqxiVK7Mg9b2Vdd_NEWtp70AAI7uQ__Qn6eqg=s88-c-k-c0x00ffffff-no-rj")</f>
        <v>https://yt3.ggpht.com/ytc/AAUvwnhBQtqxiVK7Mg9b2Vdd_NEWtp70AAI7uQ__Qn6eqg=s88-c-k-c0x00ffffff-no-rj</v>
      </c>
      <c r="AL356" s="80">
        <v>0</v>
      </c>
      <c r="AM356" s="80">
        <v>0</v>
      </c>
      <c r="AN356" s="80">
        <v>70</v>
      </c>
      <c r="AO356" s="80" t="b">
        <v>0</v>
      </c>
      <c r="AP356" s="80">
        <v>0</v>
      </c>
      <c r="AQ356" s="80"/>
      <c r="AR356" s="80"/>
      <c r="AS356" s="80" t="s">
        <v>2664</v>
      </c>
      <c r="AT356" s="85" t="str">
        <f>HYPERLINK("https://www.youtube.com/channel/UCapct-0qZHnpMSiPBD8EQHA")</f>
        <v>https://www.youtube.com/channel/UCapct-0qZHnpMSiPBD8EQHA</v>
      </c>
      <c r="AU356" s="80" t="str">
        <f>REPLACE(INDEX(GroupVertices[Group],MATCH(Vertices[[#This Row],[Vertex]],GroupVertices[Vertex],0)),1,1,"")</f>
        <v>1</v>
      </c>
      <c r="AV356" s="49">
        <v>0</v>
      </c>
      <c r="AW356" s="50">
        <v>0</v>
      </c>
      <c r="AX356" s="49">
        <v>0</v>
      </c>
      <c r="AY356" s="50">
        <v>0</v>
      </c>
      <c r="AZ356" s="49">
        <v>0</v>
      </c>
      <c r="BA356" s="50">
        <v>0</v>
      </c>
      <c r="BB356" s="49">
        <v>2</v>
      </c>
      <c r="BC356" s="50">
        <v>100</v>
      </c>
      <c r="BD356" s="49">
        <v>2</v>
      </c>
      <c r="BE356" s="49"/>
      <c r="BF356" s="49"/>
      <c r="BG356" s="49"/>
      <c r="BH356" s="49"/>
      <c r="BI356" s="49"/>
      <c r="BJ356" s="49"/>
      <c r="BK356" s="111" t="s">
        <v>3139</v>
      </c>
      <c r="BL356" s="111" t="s">
        <v>3139</v>
      </c>
      <c r="BM356" s="111" t="s">
        <v>2390</v>
      </c>
      <c r="BN356" s="111" t="s">
        <v>2390</v>
      </c>
      <c r="BO356" s="2"/>
      <c r="BP356" s="3"/>
      <c r="BQ356" s="3"/>
      <c r="BR356" s="3"/>
      <c r="BS356" s="3"/>
    </row>
    <row r="357" spans="1:71" ht="15">
      <c r="A357" s="65" t="s">
        <v>556</v>
      </c>
      <c r="B357" s="66"/>
      <c r="C357" s="66"/>
      <c r="D357" s="67">
        <v>433.3333333333333</v>
      </c>
      <c r="E357" s="69"/>
      <c r="F357" s="103" t="str">
        <f>HYPERLINK("https://yt3.ggpht.com/ytc/AAUvwniKM5ez5ezf1GV0p8S0bbyOf_pnOfyFsdnaaNCqEQ=s88-c-k-c0x00ffffff-no-rj")</f>
        <v>https://yt3.ggpht.com/ytc/AAUvwniKM5ez5ezf1GV0p8S0bbyOf_pnOfyFsdnaaNCqEQ=s88-c-k-c0x00ffffff-no-rj</v>
      </c>
      <c r="G357" s="66"/>
      <c r="H357" s="70" t="s">
        <v>1915</v>
      </c>
      <c r="I357" s="71"/>
      <c r="J357" s="71" t="s">
        <v>75</v>
      </c>
      <c r="K357" s="70" t="s">
        <v>1915</v>
      </c>
      <c r="L357" s="74">
        <v>191.43809523809523</v>
      </c>
      <c r="M357" s="75">
        <v>880.111328125</v>
      </c>
      <c r="N357" s="75">
        <v>7301.9287109375</v>
      </c>
      <c r="O357" s="76"/>
      <c r="P357" s="77"/>
      <c r="Q357" s="77"/>
      <c r="R357" s="89"/>
      <c r="S357" s="49">
        <v>2</v>
      </c>
      <c r="T357" s="49">
        <v>2</v>
      </c>
      <c r="U357" s="50">
        <v>306</v>
      </c>
      <c r="V357" s="50">
        <v>0.002817</v>
      </c>
      <c r="W357" s="50">
        <v>0.009174</v>
      </c>
      <c r="X357" s="50">
        <v>1.344997</v>
      </c>
      <c r="Y357" s="50">
        <v>0</v>
      </c>
      <c r="Z357" s="50">
        <v>0</v>
      </c>
      <c r="AA357" s="72">
        <v>357</v>
      </c>
      <c r="AB357" s="72"/>
      <c r="AC357" s="73"/>
      <c r="AD357" s="80" t="s">
        <v>1915</v>
      </c>
      <c r="AE357" s="80"/>
      <c r="AF357" s="80"/>
      <c r="AG357" s="80"/>
      <c r="AH357" s="80"/>
      <c r="AI357" s="80"/>
      <c r="AJ357" s="87">
        <v>42114.71157407408</v>
      </c>
      <c r="AK357" s="85" t="str">
        <f>HYPERLINK("https://yt3.ggpht.com/ytc/AAUvwniKM5ez5ezf1GV0p8S0bbyOf_pnOfyFsdnaaNCqEQ=s88-c-k-c0x00ffffff-no-rj")</f>
        <v>https://yt3.ggpht.com/ytc/AAUvwniKM5ez5ezf1GV0p8S0bbyOf_pnOfyFsdnaaNCqEQ=s88-c-k-c0x00ffffff-no-rj</v>
      </c>
      <c r="AL357" s="80">
        <v>216</v>
      </c>
      <c r="AM357" s="80">
        <v>0</v>
      </c>
      <c r="AN357" s="80">
        <v>4</v>
      </c>
      <c r="AO357" s="80" t="b">
        <v>0</v>
      </c>
      <c r="AP357" s="80">
        <v>20</v>
      </c>
      <c r="AQ357" s="80"/>
      <c r="AR357" s="80"/>
      <c r="AS357" s="80" t="s">
        <v>2664</v>
      </c>
      <c r="AT357" s="85" t="str">
        <f>HYPERLINK("https://www.youtube.com/channel/UCQznmXyQd8I9VMzc-4UISQA")</f>
        <v>https://www.youtube.com/channel/UCQznmXyQd8I9VMzc-4UISQA</v>
      </c>
      <c r="AU357" s="80" t="str">
        <f>REPLACE(INDEX(GroupVertices[Group],MATCH(Vertices[[#This Row],[Vertex]],GroupVertices[Vertex],0)),1,1,"")</f>
        <v>1</v>
      </c>
      <c r="AV357" s="49">
        <v>1</v>
      </c>
      <c r="AW357" s="50">
        <v>3.3333333333333335</v>
      </c>
      <c r="AX357" s="49">
        <v>0</v>
      </c>
      <c r="AY357" s="50">
        <v>0</v>
      </c>
      <c r="AZ357" s="49">
        <v>0</v>
      </c>
      <c r="BA357" s="50">
        <v>0</v>
      </c>
      <c r="BB357" s="49">
        <v>29</v>
      </c>
      <c r="BC357" s="50">
        <v>96.66666666666667</v>
      </c>
      <c r="BD357" s="49">
        <v>30</v>
      </c>
      <c r="BE357" s="49" t="s">
        <v>3434</v>
      </c>
      <c r="BF357" s="49" t="s">
        <v>3434</v>
      </c>
      <c r="BG357" s="49" t="s">
        <v>2379</v>
      </c>
      <c r="BH357" s="49" t="s">
        <v>2379</v>
      </c>
      <c r="BI357" s="49"/>
      <c r="BJ357" s="49"/>
      <c r="BK357" s="111" t="s">
        <v>3941</v>
      </c>
      <c r="BL357" s="111" t="s">
        <v>3941</v>
      </c>
      <c r="BM357" s="111" t="s">
        <v>4405</v>
      </c>
      <c r="BN357" s="111" t="s">
        <v>4405</v>
      </c>
      <c r="BO357" s="2"/>
      <c r="BP357" s="3"/>
      <c r="BQ357" s="3"/>
      <c r="BR357" s="3"/>
      <c r="BS357" s="3"/>
    </row>
    <row r="358" spans="1:71" ht="15">
      <c r="A358" s="65" t="s">
        <v>557</v>
      </c>
      <c r="B358" s="66"/>
      <c r="C358" s="66"/>
      <c r="D358" s="67">
        <v>150</v>
      </c>
      <c r="E358" s="69"/>
      <c r="F358" s="103" t="str">
        <f>HYPERLINK("https://yt3.ggpht.com/ytc/AAUvwnirGnnj4cp-kSWuSvJvvExXv9xyYSFn_FFa2pgp_w=s88-c-k-c0x00ffffff-no-rj")</f>
        <v>https://yt3.ggpht.com/ytc/AAUvwnirGnnj4cp-kSWuSvJvvExXv9xyYSFn_FFa2pgp_w=s88-c-k-c0x00ffffff-no-rj</v>
      </c>
      <c r="G358" s="66"/>
      <c r="H358" s="70" t="s">
        <v>1916</v>
      </c>
      <c r="I358" s="71"/>
      <c r="J358" s="71" t="s">
        <v>159</v>
      </c>
      <c r="K358" s="70" t="s">
        <v>1916</v>
      </c>
      <c r="L358" s="74">
        <v>1</v>
      </c>
      <c r="M358" s="75">
        <v>1970.0731201171875</v>
      </c>
      <c r="N358" s="75">
        <v>8301.9013671875</v>
      </c>
      <c r="O358" s="76"/>
      <c r="P358" s="77"/>
      <c r="Q358" s="77"/>
      <c r="R358" s="89"/>
      <c r="S358" s="49">
        <v>0</v>
      </c>
      <c r="T358" s="49">
        <v>1</v>
      </c>
      <c r="U358" s="50">
        <v>0</v>
      </c>
      <c r="V358" s="50">
        <v>0.002801</v>
      </c>
      <c r="W358" s="50">
        <v>0.008244</v>
      </c>
      <c r="X358" s="50">
        <v>0.512495</v>
      </c>
      <c r="Y358" s="50">
        <v>0</v>
      </c>
      <c r="Z358" s="50">
        <v>0</v>
      </c>
      <c r="AA358" s="72">
        <v>358</v>
      </c>
      <c r="AB358" s="72"/>
      <c r="AC358" s="73"/>
      <c r="AD358" s="80" t="s">
        <v>1916</v>
      </c>
      <c r="AE358" s="80"/>
      <c r="AF358" s="80"/>
      <c r="AG358" s="80"/>
      <c r="AH358" s="80"/>
      <c r="AI358" s="80"/>
      <c r="AJ358" s="87">
        <v>42283.75126157407</v>
      </c>
      <c r="AK358" s="85" t="str">
        <f>HYPERLINK("https://yt3.ggpht.com/ytc/AAUvwnirGnnj4cp-kSWuSvJvvExXv9xyYSFn_FFa2pgp_w=s88-c-k-c0x00ffffff-no-rj")</f>
        <v>https://yt3.ggpht.com/ytc/AAUvwnirGnnj4cp-kSWuSvJvvExXv9xyYSFn_FFa2pgp_w=s88-c-k-c0x00ffffff-no-rj</v>
      </c>
      <c r="AL358" s="80">
        <v>0</v>
      </c>
      <c r="AM358" s="80">
        <v>0</v>
      </c>
      <c r="AN358" s="80">
        <v>1</v>
      </c>
      <c r="AO358" s="80" t="b">
        <v>0</v>
      </c>
      <c r="AP358" s="80">
        <v>0</v>
      </c>
      <c r="AQ358" s="80"/>
      <c r="AR358" s="80"/>
      <c r="AS358" s="80" t="s">
        <v>2664</v>
      </c>
      <c r="AT358" s="85" t="str">
        <f>HYPERLINK("https://www.youtube.com/channel/UCb1BOZo8RLQpHmPIHT2F1Xw")</f>
        <v>https://www.youtube.com/channel/UCb1BOZo8RLQpHmPIHT2F1Xw</v>
      </c>
      <c r="AU358" s="80" t="str">
        <f>REPLACE(INDEX(GroupVertices[Group],MATCH(Vertices[[#This Row],[Vertex]],GroupVertices[Vertex],0)),1,1,"")</f>
        <v>1</v>
      </c>
      <c r="AV358" s="49">
        <v>0</v>
      </c>
      <c r="AW358" s="50">
        <v>0</v>
      </c>
      <c r="AX358" s="49">
        <v>0</v>
      </c>
      <c r="AY358" s="50">
        <v>0</v>
      </c>
      <c r="AZ358" s="49">
        <v>0</v>
      </c>
      <c r="BA358" s="50">
        <v>0</v>
      </c>
      <c r="BB358" s="49">
        <v>4</v>
      </c>
      <c r="BC358" s="50">
        <v>100</v>
      </c>
      <c r="BD358" s="49">
        <v>4</v>
      </c>
      <c r="BE358" s="49"/>
      <c r="BF358" s="49"/>
      <c r="BG358" s="49"/>
      <c r="BH358" s="49"/>
      <c r="BI358" s="49"/>
      <c r="BJ358" s="49"/>
      <c r="BK358" s="111" t="s">
        <v>3942</v>
      </c>
      <c r="BL358" s="111" t="s">
        <v>3942</v>
      </c>
      <c r="BM358" s="111" t="s">
        <v>4406</v>
      </c>
      <c r="BN358" s="111" t="s">
        <v>4406</v>
      </c>
      <c r="BO358" s="2"/>
      <c r="BP358" s="3"/>
      <c r="BQ358" s="3"/>
      <c r="BR358" s="3"/>
      <c r="BS358" s="3"/>
    </row>
    <row r="359" spans="1:71" ht="15">
      <c r="A359" s="65" t="s">
        <v>558</v>
      </c>
      <c r="B359" s="66"/>
      <c r="C359" s="66"/>
      <c r="D359" s="67">
        <v>150</v>
      </c>
      <c r="E359" s="69"/>
      <c r="F359" s="103" t="str">
        <f>HYPERLINK("https://yt3.ggpht.com/ytc/AAUvwngZ3NlP1Bqngfr9TkLV2MEVzIwF83DI3NE7wOvShA=s88-c-k-c0x00ffffff-no-rj")</f>
        <v>https://yt3.ggpht.com/ytc/AAUvwngZ3NlP1Bqngfr9TkLV2MEVzIwF83DI3NE7wOvShA=s88-c-k-c0x00ffffff-no-rj</v>
      </c>
      <c r="G359" s="66"/>
      <c r="H359" s="70" t="s">
        <v>1917</v>
      </c>
      <c r="I359" s="71"/>
      <c r="J359" s="71" t="s">
        <v>159</v>
      </c>
      <c r="K359" s="70" t="s">
        <v>1917</v>
      </c>
      <c r="L359" s="74">
        <v>1</v>
      </c>
      <c r="M359" s="75">
        <v>1362.2420654296875</v>
      </c>
      <c r="N359" s="75">
        <v>5974.5224609375</v>
      </c>
      <c r="O359" s="76"/>
      <c r="P359" s="77"/>
      <c r="Q359" s="77"/>
      <c r="R359" s="89"/>
      <c r="S359" s="49">
        <v>0</v>
      </c>
      <c r="T359" s="49">
        <v>1</v>
      </c>
      <c r="U359" s="50">
        <v>0</v>
      </c>
      <c r="V359" s="50">
        <v>0.002801</v>
      </c>
      <c r="W359" s="50">
        <v>0.008244</v>
      </c>
      <c r="X359" s="50">
        <v>0.512495</v>
      </c>
      <c r="Y359" s="50">
        <v>0</v>
      </c>
      <c r="Z359" s="50">
        <v>0</v>
      </c>
      <c r="AA359" s="72">
        <v>359</v>
      </c>
      <c r="AB359" s="72"/>
      <c r="AC359" s="73"/>
      <c r="AD359" s="80" t="s">
        <v>1917</v>
      </c>
      <c r="AE359" s="80"/>
      <c r="AF359" s="80"/>
      <c r="AG359" s="80"/>
      <c r="AH359" s="80"/>
      <c r="AI359" s="80"/>
      <c r="AJ359" s="87">
        <v>42464.05689814815</v>
      </c>
      <c r="AK359" s="85" t="str">
        <f>HYPERLINK("https://yt3.ggpht.com/ytc/AAUvwngZ3NlP1Bqngfr9TkLV2MEVzIwF83DI3NE7wOvShA=s88-c-k-c0x00ffffff-no-rj")</f>
        <v>https://yt3.ggpht.com/ytc/AAUvwngZ3NlP1Bqngfr9TkLV2MEVzIwF83DI3NE7wOvShA=s88-c-k-c0x00ffffff-no-rj</v>
      </c>
      <c r="AL359" s="80">
        <v>0</v>
      </c>
      <c r="AM359" s="80">
        <v>0</v>
      </c>
      <c r="AN359" s="80">
        <v>17</v>
      </c>
      <c r="AO359" s="80" t="b">
        <v>0</v>
      </c>
      <c r="AP359" s="80">
        <v>0</v>
      </c>
      <c r="AQ359" s="80"/>
      <c r="AR359" s="80"/>
      <c r="AS359" s="80" t="s">
        <v>2664</v>
      </c>
      <c r="AT359" s="85" t="str">
        <f>HYPERLINK("https://www.youtube.com/channel/UCDMC7Sr5zY92l060olkC9tg")</f>
        <v>https://www.youtube.com/channel/UCDMC7Sr5zY92l060olkC9tg</v>
      </c>
      <c r="AU359" s="80" t="str">
        <f>REPLACE(INDEX(GroupVertices[Group],MATCH(Vertices[[#This Row],[Vertex]],GroupVertices[Vertex],0)),1,1,"")</f>
        <v>1</v>
      </c>
      <c r="AV359" s="49">
        <v>0</v>
      </c>
      <c r="AW359" s="50">
        <v>0</v>
      </c>
      <c r="AX359" s="49">
        <v>0</v>
      </c>
      <c r="AY359" s="50">
        <v>0</v>
      </c>
      <c r="AZ359" s="49">
        <v>0</v>
      </c>
      <c r="BA359" s="50">
        <v>0</v>
      </c>
      <c r="BB359" s="49">
        <v>7</v>
      </c>
      <c r="BC359" s="50">
        <v>100</v>
      </c>
      <c r="BD359" s="49">
        <v>7</v>
      </c>
      <c r="BE359" s="49"/>
      <c r="BF359" s="49"/>
      <c r="BG359" s="49"/>
      <c r="BH359" s="49"/>
      <c r="BI359" s="49"/>
      <c r="BJ359" s="49"/>
      <c r="BK359" s="111" t="s">
        <v>3943</v>
      </c>
      <c r="BL359" s="111" t="s">
        <v>3943</v>
      </c>
      <c r="BM359" s="111" t="s">
        <v>4407</v>
      </c>
      <c r="BN359" s="111" t="s">
        <v>4407</v>
      </c>
      <c r="BO359" s="2"/>
      <c r="BP359" s="3"/>
      <c r="BQ359" s="3"/>
      <c r="BR359" s="3"/>
      <c r="BS359" s="3"/>
    </row>
    <row r="360" spans="1:71" ht="15">
      <c r="A360" s="65" t="s">
        <v>559</v>
      </c>
      <c r="B360" s="66"/>
      <c r="C360" s="66"/>
      <c r="D360" s="67">
        <v>150</v>
      </c>
      <c r="E360" s="69"/>
      <c r="F360" s="103" t="str">
        <f>HYPERLINK("https://yt3.ggpht.com/ytc/AAUvwnhp37yMvYvMi-BtDAzkysbqjF3uBS2-VwEQ9w=s88-c-k-c0x00ffffff-no-rj")</f>
        <v>https://yt3.ggpht.com/ytc/AAUvwnhp37yMvYvMi-BtDAzkysbqjF3uBS2-VwEQ9w=s88-c-k-c0x00ffffff-no-rj</v>
      </c>
      <c r="G360" s="66"/>
      <c r="H360" s="70" t="s">
        <v>1918</v>
      </c>
      <c r="I360" s="71"/>
      <c r="J360" s="71" t="s">
        <v>159</v>
      </c>
      <c r="K360" s="70" t="s">
        <v>1918</v>
      </c>
      <c r="L360" s="74">
        <v>1</v>
      </c>
      <c r="M360" s="75">
        <v>1443.0177001953125</v>
      </c>
      <c r="N360" s="75">
        <v>8358.09375</v>
      </c>
      <c r="O360" s="76"/>
      <c r="P360" s="77"/>
      <c r="Q360" s="77"/>
      <c r="R360" s="89"/>
      <c r="S360" s="49">
        <v>0</v>
      </c>
      <c r="T360" s="49">
        <v>1</v>
      </c>
      <c r="U360" s="50">
        <v>0</v>
      </c>
      <c r="V360" s="50">
        <v>0.002801</v>
      </c>
      <c r="W360" s="50">
        <v>0.008244</v>
      </c>
      <c r="X360" s="50">
        <v>0.512495</v>
      </c>
      <c r="Y360" s="50">
        <v>0</v>
      </c>
      <c r="Z360" s="50">
        <v>0</v>
      </c>
      <c r="AA360" s="72">
        <v>360</v>
      </c>
      <c r="AB360" s="72"/>
      <c r="AC360" s="73"/>
      <c r="AD360" s="80" t="s">
        <v>1918</v>
      </c>
      <c r="AE360" s="80"/>
      <c r="AF360" s="80"/>
      <c r="AG360" s="80"/>
      <c r="AH360" s="80"/>
      <c r="AI360" s="80"/>
      <c r="AJ360" s="87">
        <v>43453.88230324074</v>
      </c>
      <c r="AK360" s="85" t="str">
        <f>HYPERLINK("https://yt3.ggpht.com/ytc/AAUvwnhp37yMvYvMi-BtDAzkysbqjF3uBS2-VwEQ9w=s88-c-k-c0x00ffffff-no-rj")</f>
        <v>https://yt3.ggpht.com/ytc/AAUvwnhp37yMvYvMi-BtDAzkysbqjF3uBS2-VwEQ9w=s88-c-k-c0x00ffffff-no-rj</v>
      </c>
      <c r="AL360" s="80">
        <v>0</v>
      </c>
      <c r="AM360" s="80">
        <v>0</v>
      </c>
      <c r="AN360" s="80">
        <v>0</v>
      </c>
      <c r="AO360" s="80" t="b">
        <v>0</v>
      </c>
      <c r="AP360" s="80">
        <v>0</v>
      </c>
      <c r="AQ360" s="80"/>
      <c r="AR360" s="80"/>
      <c r="AS360" s="80" t="s">
        <v>2664</v>
      </c>
      <c r="AT360" s="85" t="str">
        <f>HYPERLINK("https://www.youtube.com/channel/UC7mO_O8XR-C-86AGtSGj_Gg")</f>
        <v>https://www.youtube.com/channel/UC7mO_O8XR-C-86AGtSGj_Gg</v>
      </c>
      <c r="AU360" s="80" t="str">
        <f>REPLACE(INDEX(GroupVertices[Group],MATCH(Vertices[[#This Row],[Vertex]],GroupVertices[Vertex],0)),1,1,"")</f>
        <v>1</v>
      </c>
      <c r="AV360" s="49">
        <v>1</v>
      </c>
      <c r="AW360" s="50">
        <v>16.666666666666668</v>
      </c>
      <c r="AX360" s="49">
        <v>0</v>
      </c>
      <c r="AY360" s="50">
        <v>0</v>
      </c>
      <c r="AZ360" s="49">
        <v>0</v>
      </c>
      <c r="BA360" s="50">
        <v>0</v>
      </c>
      <c r="BB360" s="49">
        <v>5</v>
      </c>
      <c r="BC360" s="50">
        <v>83.33333333333333</v>
      </c>
      <c r="BD360" s="49">
        <v>6</v>
      </c>
      <c r="BE360" s="49"/>
      <c r="BF360" s="49"/>
      <c r="BG360" s="49"/>
      <c r="BH360" s="49"/>
      <c r="BI360" s="49"/>
      <c r="BJ360" s="49"/>
      <c r="BK360" s="111" t="s">
        <v>3944</v>
      </c>
      <c r="BL360" s="111" t="s">
        <v>3944</v>
      </c>
      <c r="BM360" s="111" t="s">
        <v>4408</v>
      </c>
      <c r="BN360" s="111" t="s">
        <v>4408</v>
      </c>
      <c r="BO360" s="2"/>
      <c r="BP360" s="3"/>
      <c r="BQ360" s="3"/>
      <c r="BR360" s="3"/>
      <c r="BS360" s="3"/>
    </row>
    <row r="361" spans="1:71" ht="15">
      <c r="A361" s="65" t="s">
        <v>560</v>
      </c>
      <c r="B361" s="66"/>
      <c r="C361" s="66"/>
      <c r="D361" s="67">
        <v>150</v>
      </c>
      <c r="E361" s="69"/>
      <c r="F361" s="103" t="str">
        <f>HYPERLINK("https://yt3.ggpht.com/ytc/AAUvwng8FaMTq26DSsGExV6hz-hPLmtbiMCu_QFDTVt-2A=s88-c-k-c0x00ffffff-no-rj")</f>
        <v>https://yt3.ggpht.com/ytc/AAUvwng8FaMTq26DSsGExV6hz-hPLmtbiMCu_QFDTVt-2A=s88-c-k-c0x00ffffff-no-rj</v>
      </c>
      <c r="G361" s="66"/>
      <c r="H361" s="70" t="s">
        <v>1919</v>
      </c>
      <c r="I361" s="71"/>
      <c r="J361" s="71" t="s">
        <v>159</v>
      </c>
      <c r="K361" s="70" t="s">
        <v>1919</v>
      </c>
      <c r="L361" s="74">
        <v>1</v>
      </c>
      <c r="M361" s="75">
        <v>1858.5718994140625</v>
      </c>
      <c r="N361" s="75">
        <v>8171.7392578125</v>
      </c>
      <c r="O361" s="76"/>
      <c r="P361" s="77"/>
      <c r="Q361" s="77"/>
      <c r="R361" s="89"/>
      <c r="S361" s="49">
        <v>0</v>
      </c>
      <c r="T361" s="49">
        <v>1</v>
      </c>
      <c r="U361" s="50">
        <v>0</v>
      </c>
      <c r="V361" s="50">
        <v>0.002801</v>
      </c>
      <c r="W361" s="50">
        <v>0.008244</v>
      </c>
      <c r="X361" s="50">
        <v>0.512495</v>
      </c>
      <c r="Y361" s="50">
        <v>0</v>
      </c>
      <c r="Z361" s="50">
        <v>0</v>
      </c>
      <c r="AA361" s="72">
        <v>361</v>
      </c>
      <c r="AB361" s="72"/>
      <c r="AC361" s="73"/>
      <c r="AD361" s="80" t="s">
        <v>1919</v>
      </c>
      <c r="AE361" s="80"/>
      <c r="AF361" s="80"/>
      <c r="AG361" s="80"/>
      <c r="AH361" s="80"/>
      <c r="AI361" s="80"/>
      <c r="AJ361" s="87">
        <v>42908.85858796296</v>
      </c>
      <c r="AK361" s="85" t="str">
        <f>HYPERLINK("https://yt3.ggpht.com/ytc/AAUvwng8FaMTq26DSsGExV6hz-hPLmtbiMCu_QFDTVt-2A=s88-c-k-c0x00ffffff-no-rj")</f>
        <v>https://yt3.ggpht.com/ytc/AAUvwng8FaMTq26DSsGExV6hz-hPLmtbiMCu_QFDTVt-2A=s88-c-k-c0x00ffffff-no-rj</v>
      </c>
      <c r="AL361" s="80">
        <v>0</v>
      </c>
      <c r="AM361" s="80">
        <v>0</v>
      </c>
      <c r="AN361" s="80">
        <v>3</v>
      </c>
      <c r="AO361" s="80" t="b">
        <v>0</v>
      </c>
      <c r="AP361" s="80">
        <v>0</v>
      </c>
      <c r="AQ361" s="80"/>
      <c r="AR361" s="80"/>
      <c r="AS361" s="80" t="s">
        <v>2664</v>
      </c>
      <c r="AT361" s="85" t="str">
        <f>HYPERLINK("https://www.youtube.com/channel/UCfLjyRgLFvB_zaQtDY4e-zg")</f>
        <v>https://www.youtube.com/channel/UCfLjyRgLFvB_zaQtDY4e-zg</v>
      </c>
      <c r="AU361" s="80" t="str">
        <f>REPLACE(INDEX(GroupVertices[Group],MATCH(Vertices[[#This Row],[Vertex]],GroupVertices[Vertex],0)),1,1,"")</f>
        <v>1</v>
      </c>
      <c r="AV361" s="49">
        <v>1</v>
      </c>
      <c r="AW361" s="50">
        <v>6.25</v>
      </c>
      <c r="AX361" s="49">
        <v>0</v>
      </c>
      <c r="AY361" s="50">
        <v>0</v>
      </c>
      <c r="AZ361" s="49">
        <v>0</v>
      </c>
      <c r="BA361" s="50">
        <v>0</v>
      </c>
      <c r="BB361" s="49">
        <v>15</v>
      </c>
      <c r="BC361" s="50">
        <v>93.75</v>
      </c>
      <c r="BD361" s="49">
        <v>16</v>
      </c>
      <c r="BE361" s="49"/>
      <c r="BF361" s="49"/>
      <c r="BG361" s="49"/>
      <c r="BH361" s="49"/>
      <c r="BI361" s="49"/>
      <c r="BJ361" s="49"/>
      <c r="BK361" s="111" t="s">
        <v>3945</v>
      </c>
      <c r="BL361" s="111" t="s">
        <v>3945</v>
      </c>
      <c r="BM361" s="111" t="s">
        <v>4409</v>
      </c>
      <c r="BN361" s="111" t="s">
        <v>4409</v>
      </c>
      <c r="BO361" s="2"/>
      <c r="BP361" s="3"/>
      <c r="BQ361" s="3"/>
      <c r="BR361" s="3"/>
      <c r="BS361" s="3"/>
    </row>
    <row r="362" spans="1:71" ht="15">
      <c r="A362" s="65" t="s">
        <v>561</v>
      </c>
      <c r="B362" s="66"/>
      <c r="C362" s="66"/>
      <c r="D362" s="67">
        <v>150</v>
      </c>
      <c r="E362" s="69"/>
      <c r="F362" s="103" t="str">
        <f>HYPERLINK("https://yt3.ggpht.com/ytc/AAUvwni18OMvlqFxXyiWNnMd3KFTyhdXhT_g25Fl2Q=s88-c-k-c0x00ffffff-no-rj")</f>
        <v>https://yt3.ggpht.com/ytc/AAUvwni18OMvlqFxXyiWNnMd3KFTyhdXhT_g25Fl2Q=s88-c-k-c0x00ffffff-no-rj</v>
      </c>
      <c r="G362" s="66"/>
      <c r="H362" s="70" t="s">
        <v>1920</v>
      </c>
      <c r="I362" s="71"/>
      <c r="J362" s="71" t="s">
        <v>159</v>
      </c>
      <c r="K362" s="70" t="s">
        <v>1920</v>
      </c>
      <c r="L362" s="74">
        <v>1</v>
      </c>
      <c r="M362" s="75">
        <v>587.292724609375</v>
      </c>
      <c r="N362" s="75">
        <v>5019.96728515625</v>
      </c>
      <c r="O362" s="76"/>
      <c r="P362" s="77"/>
      <c r="Q362" s="77"/>
      <c r="R362" s="89"/>
      <c r="S362" s="49">
        <v>0</v>
      </c>
      <c r="T362" s="49">
        <v>1</v>
      </c>
      <c r="U362" s="50">
        <v>0</v>
      </c>
      <c r="V362" s="50">
        <v>0.001969</v>
      </c>
      <c r="W362" s="50">
        <v>0.000772</v>
      </c>
      <c r="X362" s="50">
        <v>0.575828</v>
      </c>
      <c r="Y362" s="50">
        <v>0</v>
      </c>
      <c r="Z362" s="50">
        <v>0</v>
      </c>
      <c r="AA362" s="72">
        <v>362</v>
      </c>
      <c r="AB362" s="72"/>
      <c r="AC362" s="73"/>
      <c r="AD362" s="80" t="s">
        <v>1920</v>
      </c>
      <c r="AE362" s="80"/>
      <c r="AF362" s="80"/>
      <c r="AG362" s="80"/>
      <c r="AH362" s="80"/>
      <c r="AI362" s="80"/>
      <c r="AJ362" s="87">
        <v>42769.68303240741</v>
      </c>
      <c r="AK362" s="85" t="str">
        <f>HYPERLINK("https://yt3.ggpht.com/ytc/AAUvwni18OMvlqFxXyiWNnMd3KFTyhdXhT_g25Fl2Q=s88-c-k-c0x00ffffff-no-rj")</f>
        <v>https://yt3.ggpht.com/ytc/AAUvwni18OMvlqFxXyiWNnMd3KFTyhdXhT_g25Fl2Q=s88-c-k-c0x00ffffff-no-rj</v>
      </c>
      <c r="AL362" s="80">
        <v>0</v>
      </c>
      <c r="AM362" s="80">
        <v>0</v>
      </c>
      <c r="AN362" s="80">
        <v>0</v>
      </c>
      <c r="AO362" s="80" t="b">
        <v>0</v>
      </c>
      <c r="AP362" s="80">
        <v>0</v>
      </c>
      <c r="AQ362" s="80"/>
      <c r="AR362" s="80"/>
      <c r="AS362" s="80" t="s">
        <v>2664</v>
      </c>
      <c r="AT362" s="85" t="str">
        <f>HYPERLINK("https://www.youtube.com/channel/UCL2LP9dATw558s3V6q3JkYw")</f>
        <v>https://www.youtube.com/channel/UCL2LP9dATw558s3V6q3JkYw</v>
      </c>
      <c r="AU362" s="80" t="str">
        <f>REPLACE(INDEX(GroupVertices[Group],MATCH(Vertices[[#This Row],[Vertex]],GroupVertices[Vertex],0)),1,1,"")</f>
        <v>1</v>
      </c>
      <c r="AV362" s="49">
        <v>0</v>
      </c>
      <c r="AW362" s="50">
        <v>0</v>
      </c>
      <c r="AX362" s="49">
        <v>0</v>
      </c>
      <c r="AY362" s="50">
        <v>0</v>
      </c>
      <c r="AZ362" s="49">
        <v>0</v>
      </c>
      <c r="BA362" s="50">
        <v>0</v>
      </c>
      <c r="BB362" s="49">
        <v>5</v>
      </c>
      <c r="BC362" s="50">
        <v>100</v>
      </c>
      <c r="BD362" s="49">
        <v>5</v>
      </c>
      <c r="BE362" s="49"/>
      <c r="BF362" s="49"/>
      <c r="BG362" s="49"/>
      <c r="BH362" s="49"/>
      <c r="BI362" s="49"/>
      <c r="BJ362" s="49"/>
      <c r="BK362" s="111" t="s">
        <v>2749</v>
      </c>
      <c r="BL362" s="111" t="s">
        <v>2749</v>
      </c>
      <c r="BM362" s="111" t="s">
        <v>2390</v>
      </c>
      <c r="BN362" s="111" t="s">
        <v>2390</v>
      </c>
      <c r="BO362" s="2"/>
      <c r="BP362" s="3"/>
      <c r="BQ362" s="3"/>
      <c r="BR362" s="3"/>
      <c r="BS362" s="3"/>
    </row>
    <row r="363" spans="1:71" ht="15">
      <c r="A363" s="65" t="s">
        <v>562</v>
      </c>
      <c r="B363" s="66"/>
      <c r="C363" s="66"/>
      <c r="D363" s="67">
        <v>291.66666666666663</v>
      </c>
      <c r="E363" s="69"/>
      <c r="F363" s="103" t="str">
        <f>HYPERLINK("https://yt3.ggpht.com/ytc/AAUvwnhwihkvGqLqmws7Mo_1C3GlPlkGmRzlSxt_ug=s88-c-k-c0x00ffffff-no-rj")</f>
        <v>https://yt3.ggpht.com/ytc/AAUvwnhwihkvGqLqmws7Mo_1C3GlPlkGmRzlSxt_ug=s88-c-k-c0x00ffffff-no-rj</v>
      </c>
      <c r="G363" s="66"/>
      <c r="H363" s="70" t="s">
        <v>1921</v>
      </c>
      <c r="I363" s="71"/>
      <c r="J363" s="71" t="s">
        <v>159</v>
      </c>
      <c r="K363" s="70" t="s">
        <v>1921</v>
      </c>
      <c r="L363" s="74">
        <v>96.21904761904761</v>
      </c>
      <c r="M363" s="75">
        <v>1131.244384765625</v>
      </c>
      <c r="N363" s="75">
        <v>5958.93896484375</v>
      </c>
      <c r="O363" s="76"/>
      <c r="P363" s="77"/>
      <c r="Q363" s="77"/>
      <c r="R363" s="89"/>
      <c r="S363" s="49">
        <v>1</v>
      </c>
      <c r="T363" s="49">
        <v>1</v>
      </c>
      <c r="U363" s="50">
        <v>306</v>
      </c>
      <c r="V363" s="50">
        <v>0.002817</v>
      </c>
      <c r="W363" s="50">
        <v>0.008315</v>
      </c>
      <c r="X363" s="50">
        <v>1.001948</v>
      </c>
      <c r="Y363" s="50">
        <v>0</v>
      </c>
      <c r="Z363" s="50">
        <v>0</v>
      </c>
      <c r="AA363" s="72">
        <v>363</v>
      </c>
      <c r="AB363" s="72"/>
      <c r="AC363" s="73"/>
      <c r="AD363" s="80" t="s">
        <v>1921</v>
      </c>
      <c r="AE363" s="80"/>
      <c r="AF363" s="80"/>
      <c r="AG363" s="80"/>
      <c r="AH363" s="80"/>
      <c r="AI363" s="80"/>
      <c r="AJ363" s="87">
        <v>43109.732766203706</v>
      </c>
      <c r="AK363" s="85" t="str">
        <f>HYPERLINK("https://yt3.ggpht.com/ytc/AAUvwnhwihkvGqLqmws7Mo_1C3GlPlkGmRzlSxt_ug=s88-c-k-c0x00ffffff-no-rj")</f>
        <v>https://yt3.ggpht.com/ytc/AAUvwnhwihkvGqLqmws7Mo_1C3GlPlkGmRzlSxt_ug=s88-c-k-c0x00ffffff-no-rj</v>
      </c>
      <c r="AL363" s="80">
        <v>0</v>
      </c>
      <c r="AM363" s="80">
        <v>0</v>
      </c>
      <c r="AN363" s="80">
        <v>0</v>
      </c>
      <c r="AO363" s="80" t="b">
        <v>0</v>
      </c>
      <c r="AP363" s="80">
        <v>0</v>
      </c>
      <c r="AQ363" s="80"/>
      <c r="AR363" s="80"/>
      <c r="AS363" s="80" t="s">
        <v>2664</v>
      </c>
      <c r="AT363" s="85" t="str">
        <f>HYPERLINK("https://www.youtube.com/channel/UCmtf4_4EAkoBep4SXTVFZMg")</f>
        <v>https://www.youtube.com/channel/UCmtf4_4EAkoBep4SXTVFZMg</v>
      </c>
      <c r="AU363" s="80" t="str">
        <f>REPLACE(INDEX(GroupVertices[Group],MATCH(Vertices[[#This Row],[Vertex]],GroupVertices[Vertex],0)),1,1,"")</f>
        <v>1</v>
      </c>
      <c r="AV363" s="49">
        <v>0</v>
      </c>
      <c r="AW363" s="50">
        <v>0</v>
      </c>
      <c r="AX363" s="49">
        <v>1</v>
      </c>
      <c r="AY363" s="50">
        <v>3.3333333333333335</v>
      </c>
      <c r="AZ363" s="49">
        <v>0</v>
      </c>
      <c r="BA363" s="50">
        <v>0</v>
      </c>
      <c r="BB363" s="49">
        <v>29</v>
      </c>
      <c r="BC363" s="50">
        <v>96.66666666666667</v>
      </c>
      <c r="BD363" s="49">
        <v>30</v>
      </c>
      <c r="BE363" s="49"/>
      <c r="BF363" s="49"/>
      <c r="BG363" s="49"/>
      <c r="BH363" s="49"/>
      <c r="BI363" s="49"/>
      <c r="BJ363" s="49"/>
      <c r="BK363" s="111" t="s">
        <v>3946</v>
      </c>
      <c r="BL363" s="111" t="s">
        <v>3946</v>
      </c>
      <c r="BM363" s="111" t="s">
        <v>4410</v>
      </c>
      <c r="BN363" s="111" t="s">
        <v>4410</v>
      </c>
      <c r="BO363" s="2"/>
      <c r="BP363" s="3"/>
      <c r="BQ363" s="3"/>
      <c r="BR363" s="3"/>
      <c r="BS363" s="3"/>
    </row>
    <row r="364" spans="1:71" ht="15">
      <c r="A364" s="65" t="s">
        <v>563</v>
      </c>
      <c r="B364" s="66"/>
      <c r="C364" s="66"/>
      <c r="D364" s="67">
        <v>291.66666666666663</v>
      </c>
      <c r="E364" s="69"/>
      <c r="F364" s="103" t="str">
        <f>HYPERLINK("https://yt3.ggpht.com/ytc/AAUvwnhM5mr9n2EnCvkbYoI_PAUMa7bQZCeBYRnhDQ=s88-c-k-c0x00ffffff-no-rj")</f>
        <v>https://yt3.ggpht.com/ytc/AAUvwnhM5mr9n2EnCvkbYoI_PAUMa7bQZCeBYRnhDQ=s88-c-k-c0x00ffffff-no-rj</v>
      </c>
      <c r="G364" s="66"/>
      <c r="H364" s="70" t="s">
        <v>1922</v>
      </c>
      <c r="I364" s="71"/>
      <c r="J364" s="71" t="s">
        <v>159</v>
      </c>
      <c r="K364" s="70" t="s">
        <v>1922</v>
      </c>
      <c r="L364" s="74">
        <v>96.21904761904761</v>
      </c>
      <c r="M364" s="75">
        <v>1225.908203125</v>
      </c>
      <c r="N364" s="75">
        <v>7996.572265625</v>
      </c>
      <c r="O364" s="76"/>
      <c r="P364" s="77"/>
      <c r="Q364" s="77"/>
      <c r="R364" s="89"/>
      <c r="S364" s="49">
        <v>1</v>
      </c>
      <c r="T364" s="49">
        <v>1</v>
      </c>
      <c r="U364" s="50">
        <v>0</v>
      </c>
      <c r="V364" s="50">
        <v>0.002801</v>
      </c>
      <c r="W364" s="50">
        <v>0.008244</v>
      </c>
      <c r="X364" s="50">
        <v>0.512495</v>
      </c>
      <c r="Y364" s="50">
        <v>0</v>
      </c>
      <c r="Z364" s="50">
        <v>1</v>
      </c>
      <c r="AA364" s="72">
        <v>364</v>
      </c>
      <c r="AB364" s="72"/>
      <c r="AC364" s="73"/>
      <c r="AD364" s="80" t="s">
        <v>1922</v>
      </c>
      <c r="AE364" s="80"/>
      <c r="AF364" s="80"/>
      <c r="AG364" s="80"/>
      <c r="AH364" s="80"/>
      <c r="AI364" s="80"/>
      <c r="AJ364" s="87">
        <v>42267.09422453704</v>
      </c>
      <c r="AK364" s="85" t="str">
        <f>HYPERLINK("https://yt3.ggpht.com/ytc/AAUvwnhM5mr9n2EnCvkbYoI_PAUMa7bQZCeBYRnhDQ=s88-c-k-c0x00ffffff-no-rj")</f>
        <v>https://yt3.ggpht.com/ytc/AAUvwnhM5mr9n2EnCvkbYoI_PAUMa7bQZCeBYRnhDQ=s88-c-k-c0x00ffffff-no-rj</v>
      </c>
      <c r="AL364" s="80">
        <v>0</v>
      </c>
      <c r="AM364" s="80">
        <v>0</v>
      </c>
      <c r="AN364" s="80">
        <v>4</v>
      </c>
      <c r="AO364" s="80" t="b">
        <v>0</v>
      </c>
      <c r="AP364" s="80">
        <v>0</v>
      </c>
      <c r="AQ364" s="80"/>
      <c r="AR364" s="80"/>
      <c r="AS364" s="80" t="s">
        <v>2664</v>
      </c>
      <c r="AT364" s="85" t="str">
        <f>HYPERLINK("https://www.youtube.com/channel/UCzmwAs1EMN_EGzNw_cklJkQ")</f>
        <v>https://www.youtube.com/channel/UCzmwAs1EMN_EGzNw_cklJkQ</v>
      </c>
      <c r="AU364" s="80" t="str">
        <f>REPLACE(INDEX(GroupVertices[Group],MATCH(Vertices[[#This Row],[Vertex]],GroupVertices[Vertex],0)),1,1,"")</f>
        <v>1</v>
      </c>
      <c r="AV364" s="49">
        <v>0</v>
      </c>
      <c r="AW364" s="50">
        <v>0</v>
      </c>
      <c r="AX364" s="49">
        <v>1</v>
      </c>
      <c r="AY364" s="50">
        <v>5.882352941176471</v>
      </c>
      <c r="AZ364" s="49">
        <v>0</v>
      </c>
      <c r="BA364" s="50">
        <v>0</v>
      </c>
      <c r="BB364" s="49">
        <v>16</v>
      </c>
      <c r="BC364" s="50">
        <v>94.11764705882354</v>
      </c>
      <c r="BD364" s="49">
        <v>17</v>
      </c>
      <c r="BE364" s="49"/>
      <c r="BF364" s="49"/>
      <c r="BG364" s="49"/>
      <c r="BH364" s="49"/>
      <c r="BI364" s="49"/>
      <c r="BJ364" s="49"/>
      <c r="BK364" s="111" t="s">
        <v>3947</v>
      </c>
      <c r="BL364" s="111" t="s">
        <v>3947</v>
      </c>
      <c r="BM364" s="111" t="s">
        <v>4411</v>
      </c>
      <c r="BN364" s="111" t="s">
        <v>4411</v>
      </c>
      <c r="BO364" s="2"/>
      <c r="BP364" s="3"/>
      <c r="BQ364" s="3"/>
      <c r="BR364" s="3"/>
      <c r="BS364" s="3"/>
    </row>
    <row r="365" spans="1:71" ht="15">
      <c r="A365" s="65" t="s">
        <v>564</v>
      </c>
      <c r="B365" s="66"/>
      <c r="C365" s="66"/>
      <c r="D365" s="67">
        <v>150</v>
      </c>
      <c r="E365" s="69"/>
      <c r="F365" s="103" t="str">
        <f>HYPERLINK("https://yt3.ggpht.com/ytc/AAUvwngSEbiUFfCGfkiKXGewBnlulAzkvHwYexksaQ=s88-c-k-c0x00ffffff-no-rj")</f>
        <v>https://yt3.ggpht.com/ytc/AAUvwngSEbiUFfCGfkiKXGewBnlulAzkvHwYexksaQ=s88-c-k-c0x00ffffff-no-rj</v>
      </c>
      <c r="G365" s="66"/>
      <c r="H365" s="70" t="s">
        <v>1923</v>
      </c>
      <c r="I365" s="71"/>
      <c r="J365" s="71" t="s">
        <v>159</v>
      </c>
      <c r="K365" s="70" t="s">
        <v>1923</v>
      </c>
      <c r="L365" s="74">
        <v>1</v>
      </c>
      <c r="M365" s="75">
        <v>899.0180053710938</v>
      </c>
      <c r="N365" s="75">
        <v>4605.23486328125</v>
      </c>
      <c r="O365" s="76"/>
      <c r="P365" s="77"/>
      <c r="Q365" s="77"/>
      <c r="R365" s="89"/>
      <c r="S365" s="49">
        <v>0</v>
      </c>
      <c r="T365" s="49">
        <v>1</v>
      </c>
      <c r="U365" s="50">
        <v>0</v>
      </c>
      <c r="V365" s="50">
        <v>0.001969</v>
      </c>
      <c r="W365" s="50">
        <v>0.000772</v>
      </c>
      <c r="X365" s="50">
        <v>0.575828</v>
      </c>
      <c r="Y365" s="50">
        <v>0</v>
      </c>
      <c r="Z365" s="50">
        <v>0</v>
      </c>
      <c r="AA365" s="72">
        <v>365</v>
      </c>
      <c r="AB365" s="72"/>
      <c r="AC365" s="73"/>
      <c r="AD365" s="80" t="s">
        <v>1923</v>
      </c>
      <c r="AE365" s="80"/>
      <c r="AF365" s="80"/>
      <c r="AG365" s="80"/>
      <c r="AH365" s="80"/>
      <c r="AI365" s="80"/>
      <c r="AJ365" s="87">
        <v>41695.54275462963</v>
      </c>
      <c r="AK365" s="85" t="str">
        <f>HYPERLINK("https://yt3.ggpht.com/ytc/AAUvwngSEbiUFfCGfkiKXGewBnlulAzkvHwYexksaQ=s88-c-k-c0x00ffffff-no-rj")</f>
        <v>https://yt3.ggpht.com/ytc/AAUvwngSEbiUFfCGfkiKXGewBnlulAzkvHwYexksaQ=s88-c-k-c0x00ffffff-no-rj</v>
      </c>
      <c r="AL365" s="80">
        <v>0</v>
      </c>
      <c r="AM365" s="80">
        <v>0</v>
      </c>
      <c r="AN365" s="80">
        <v>0</v>
      </c>
      <c r="AO365" s="80" t="b">
        <v>0</v>
      </c>
      <c r="AP365" s="80">
        <v>0</v>
      </c>
      <c r="AQ365" s="80"/>
      <c r="AR365" s="80"/>
      <c r="AS365" s="80" t="s">
        <v>2664</v>
      </c>
      <c r="AT365" s="85" t="str">
        <f>HYPERLINK("https://www.youtube.com/channel/UCsR1w2kBQfipEKf1qfoZ8Qg")</f>
        <v>https://www.youtube.com/channel/UCsR1w2kBQfipEKf1qfoZ8Qg</v>
      </c>
      <c r="AU365" s="80" t="str">
        <f>REPLACE(INDEX(GroupVertices[Group],MATCH(Vertices[[#This Row],[Vertex]],GroupVertices[Vertex],0)),1,1,"")</f>
        <v>1</v>
      </c>
      <c r="AV365" s="49">
        <v>0</v>
      </c>
      <c r="AW365" s="50">
        <v>0</v>
      </c>
      <c r="AX365" s="49">
        <v>0</v>
      </c>
      <c r="AY365" s="50">
        <v>0</v>
      </c>
      <c r="AZ365" s="49">
        <v>0</v>
      </c>
      <c r="BA365" s="50">
        <v>0</v>
      </c>
      <c r="BB365" s="49">
        <v>1</v>
      </c>
      <c r="BC365" s="50">
        <v>100</v>
      </c>
      <c r="BD365" s="49">
        <v>1</v>
      </c>
      <c r="BE365" s="49"/>
      <c r="BF365" s="49"/>
      <c r="BG365" s="49"/>
      <c r="BH365" s="49"/>
      <c r="BI365" s="49"/>
      <c r="BJ365" s="49"/>
      <c r="BK365" s="111" t="s">
        <v>2890</v>
      </c>
      <c r="BL365" s="111" t="s">
        <v>2890</v>
      </c>
      <c r="BM365" s="111" t="s">
        <v>2390</v>
      </c>
      <c r="BN365" s="111" t="s">
        <v>2390</v>
      </c>
      <c r="BO365" s="2"/>
      <c r="BP365" s="3"/>
      <c r="BQ365" s="3"/>
      <c r="BR365" s="3"/>
      <c r="BS365" s="3"/>
    </row>
    <row r="366" spans="1:71" ht="15">
      <c r="A366" s="65" t="s">
        <v>565</v>
      </c>
      <c r="B366" s="66"/>
      <c r="C366" s="66"/>
      <c r="D366" s="67">
        <v>291.66666666666663</v>
      </c>
      <c r="E366" s="69"/>
      <c r="F366" s="103" t="str">
        <f>HYPERLINK("https://yt3.ggpht.com/ytc/AAUvwniGJJPDJVwlVp1ZIt4p3iTku4m-KxEDTOqeGjKP=s88-c-k-c0x00ffffff-no-rj")</f>
        <v>https://yt3.ggpht.com/ytc/AAUvwniGJJPDJVwlVp1ZIt4p3iTku4m-KxEDTOqeGjKP=s88-c-k-c0x00ffffff-no-rj</v>
      </c>
      <c r="G366" s="66"/>
      <c r="H366" s="70" t="s">
        <v>1924</v>
      </c>
      <c r="I366" s="71"/>
      <c r="J366" s="71" t="s">
        <v>159</v>
      </c>
      <c r="K366" s="70" t="s">
        <v>1924</v>
      </c>
      <c r="L366" s="74">
        <v>96.21904761904761</v>
      </c>
      <c r="M366" s="75">
        <v>1278.3092041015625</v>
      </c>
      <c r="N366" s="75">
        <v>5774.43310546875</v>
      </c>
      <c r="O366" s="76"/>
      <c r="P366" s="77"/>
      <c r="Q366" s="77"/>
      <c r="R366" s="89"/>
      <c r="S366" s="49">
        <v>1</v>
      </c>
      <c r="T366" s="49">
        <v>1</v>
      </c>
      <c r="U366" s="50">
        <v>306</v>
      </c>
      <c r="V366" s="50">
        <v>0.002817</v>
      </c>
      <c r="W366" s="50">
        <v>0.008315</v>
      </c>
      <c r="X366" s="50">
        <v>1.001948</v>
      </c>
      <c r="Y366" s="50">
        <v>0</v>
      </c>
      <c r="Z366" s="50">
        <v>0</v>
      </c>
      <c r="AA366" s="72">
        <v>366</v>
      </c>
      <c r="AB366" s="72"/>
      <c r="AC366" s="73"/>
      <c r="AD366" s="80" t="s">
        <v>1924</v>
      </c>
      <c r="AE366" s="80"/>
      <c r="AF366" s="80"/>
      <c r="AG366" s="80"/>
      <c r="AH366" s="80"/>
      <c r="AI366" s="80"/>
      <c r="AJ366" s="87">
        <v>42924.485</v>
      </c>
      <c r="AK366" s="85" t="str">
        <f>HYPERLINK("https://yt3.ggpht.com/ytc/AAUvwniGJJPDJVwlVp1ZIt4p3iTku4m-KxEDTOqeGjKP=s88-c-k-c0x00ffffff-no-rj")</f>
        <v>https://yt3.ggpht.com/ytc/AAUvwniGJJPDJVwlVp1ZIt4p3iTku4m-KxEDTOqeGjKP=s88-c-k-c0x00ffffff-no-rj</v>
      </c>
      <c r="AL366" s="80">
        <v>0</v>
      </c>
      <c r="AM366" s="80">
        <v>0</v>
      </c>
      <c r="AN366" s="80">
        <v>0</v>
      </c>
      <c r="AO366" s="80" t="b">
        <v>0</v>
      </c>
      <c r="AP366" s="80">
        <v>0</v>
      </c>
      <c r="AQ366" s="80"/>
      <c r="AR366" s="80"/>
      <c r="AS366" s="80" t="s">
        <v>2664</v>
      </c>
      <c r="AT366" s="85" t="str">
        <f>HYPERLINK("https://www.youtube.com/channel/UC4KctW4IVLRpkMn1bc8IO0Q")</f>
        <v>https://www.youtube.com/channel/UC4KctW4IVLRpkMn1bc8IO0Q</v>
      </c>
      <c r="AU366" s="80" t="str">
        <f>REPLACE(INDEX(GroupVertices[Group],MATCH(Vertices[[#This Row],[Vertex]],GroupVertices[Vertex],0)),1,1,"")</f>
        <v>1</v>
      </c>
      <c r="AV366" s="49">
        <v>0</v>
      </c>
      <c r="AW366" s="50">
        <v>0</v>
      </c>
      <c r="AX366" s="49">
        <v>0</v>
      </c>
      <c r="AY366" s="50">
        <v>0</v>
      </c>
      <c r="AZ366" s="49">
        <v>0</v>
      </c>
      <c r="BA366" s="50">
        <v>0</v>
      </c>
      <c r="BB366" s="49">
        <v>5</v>
      </c>
      <c r="BC366" s="50">
        <v>100</v>
      </c>
      <c r="BD366" s="49">
        <v>5</v>
      </c>
      <c r="BE366" s="49"/>
      <c r="BF366" s="49"/>
      <c r="BG366" s="49"/>
      <c r="BH366" s="49"/>
      <c r="BI366" s="49"/>
      <c r="BJ366" s="49"/>
      <c r="BK366" s="111" t="s">
        <v>3948</v>
      </c>
      <c r="BL366" s="111" t="s">
        <v>3948</v>
      </c>
      <c r="BM366" s="111" t="s">
        <v>4412</v>
      </c>
      <c r="BN366" s="111" t="s">
        <v>4412</v>
      </c>
      <c r="BO366" s="2"/>
      <c r="BP366" s="3"/>
      <c r="BQ366" s="3"/>
      <c r="BR366" s="3"/>
      <c r="BS366" s="3"/>
    </row>
    <row r="367" spans="1:71" ht="15">
      <c r="A367" s="65" t="s">
        <v>566</v>
      </c>
      <c r="B367" s="66"/>
      <c r="C367" s="66"/>
      <c r="D367" s="67">
        <v>150</v>
      </c>
      <c r="E367" s="69"/>
      <c r="F367" s="103" t="str">
        <f>HYPERLINK("https://yt3.ggpht.com/ytc/AAUvwng3Lu3H3Z4R8celEsqS1sodGY5A4oBeWdQCx8zSAw=s88-c-k-c0x00ffffff-no-rj")</f>
        <v>https://yt3.ggpht.com/ytc/AAUvwng3Lu3H3Z4R8celEsqS1sodGY5A4oBeWdQCx8zSAw=s88-c-k-c0x00ffffff-no-rj</v>
      </c>
      <c r="G367" s="66"/>
      <c r="H367" s="70" t="s">
        <v>1925</v>
      </c>
      <c r="I367" s="71"/>
      <c r="J367" s="71" t="s">
        <v>159</v>
      </c>
      <c r="K367" s="70" t="s">
        <v>1925</v>
      </c>
      <c r="L367" s="74">
        <v>1</v>
      </c>
      <c r="M367" s="75">
        <v>1928.1763916015625</v>
      </c>
      <c r="N367" s="75">
        <v>6912.5146484375</v>
      </c>
      <c r="O367" s="76"/>
      <c r="P367" s="77"/>
      <c r="Q367" s="77"/>
      <c r="R367" s="89"/>
      <c r="S367" s="49">
        <v>0</v>
      </c>
      <c r="T367" s="49">
        <v>1</v>
      </c>
      <c r="U367" s="50">
        <v>0</v>
      </c>
      <c r="V367" s="50">
        <v>0.002801</v>
      </c>
      <c r="W367" s="50">
        <v>0.008244</v>
      </c>
      <c r="X367" s="50">
        <v>0.512495</v>
      </c>
      <c r="Y367" s="50">
        <v>0</v>
      </c>
      <c r="Z367" s="50">
        <v>0</v>
      </c>
      <c r="AA367" s="72">
        <v>367</v>
      </c>
      <c r="AB367" s="72"/>
      <c r="AC367" s="73"/>
      <c r="AD367" s="80" t="s">
        <v>1925</v>
      </c>
      <c r="AE367" s="80" t="s">
        <v>2539</v>
      </c>
      <c r="AF367" s="80"/>
      <c r="AG367" s="80"/>
      <c r="AH367" s="80"/>
      <c r="AI367" s="80"/>
      <c r="AJ367" s="87">
        <v>43380.42878472222</v>
      </c>
      <c r="AK367" s="85" t="str">
        <f>HYPERLINK("https://yt3.ggpht.com/ytc/AAUvwng3Lu3H3Z4R8celEsqS1sodGY5A4oBeWdQCx8zSAw=s88-c-k-c0x00ffffff-no-rj")</f>
        <v>https://yt3.ggpht.com/ytc/AAUvwng3Lu3H3Z4R8celEsqS1sodGY5A4oBeWdQCx8zSAw=s88-c-k-c0x00ffffff-no-rj</v>
      </c>
      <c r="AL367" s="80">
        <v>10681</v>
      </c>
      <c r="AM367" s="80">
        <v>0</v>
      </c>
      <c r="AN367" s="80">
        <v>419</v>
      </c>
      <c r="AO367" s="80" t="b">
        <v>0</v>
      </c>
      <c r="AP367" s="80">
        <v>36</v>
      </c>
      <c r="AQ367" s="80"/>
      <c r="AR367" s="80"/>
      <c r="AS367" s="80" t="s">
        <v>2664</v>
      </c>
      <c r="AT367" s="85" t="str">
        <f>HYPERLINK("https://www.youtube.com/channel/UCAHz4FFVkO9z-flkiU84MlA")</f>
        <v>https://www.youtube.com/channel/UCAHz4FFVkO9z-flkiU84MlA</v>
      </c>
      <c r="AU367" s="80" t="str">
        <f>REPLACE(INDEX(GroupVertices[Group],MATCH(Vertices[[#This Row],[Vertex]],GroupVertices[Vertex],0)),1,1,"")</f>
        <v>1</v>
      </c>
      <c r="AV367" s="49">
        <v>0</v>
      </c>
      <c r="AW367" s="50">
        <v>0</v>
      </c>
      <c r="AX367" s="49">
        <v>0</v>
      </c>
      <c r="AY367" s="50">
        <v>0</v>
      </c>
      <c r="AZ367" s="49">
        <v>0</v>
      </c>
      <c r="BA367" s="50">
        <v>0</v>
      </c>
      <c r="BB367" s="49">
        <v>30</v>
      </c>
      <c r="BC367" s="50">
        <v>100</v>
      </c>
      <c r="BD367" s="49">
        <v>30</v>
      </c>
      <c r="BE367" s="49"/>
      <c r="BF367" s="49"/>
      <c r="BG367" s="49"/>
      <c r="BH367" s="49"/>
      <c r="BI367" s="49"/>
      <c r="BJ367" s="49"/>
      <c r="BK367" s="111" t="s">
        <v>3949</v>
      </c>
      <c r="BL367" s="111" t="s">
        <v>3949</v>
      </c>
      <c r="BM367" s="111" t="s">
        <v>4413</v>
      </c>
      <c r="BN367" s="111" t="s">
        <v>4413</v>
      </c>
      <c r="BO367" s="2"/>
      <c r="BP367" s="3"/>
      <c r="BQ367" s="3"/>
      <c r="BR367" s="3"/>
      <c r="BS367" s="3"/>
    </row>
    <row r="368" spans="1:71" ht="15">
      <c r="A368" s="65" t="s">
        <v>567</v>
      </c>
      <c r="B368" s="66"/>
      <c r="C368" s="66"/>
      <c r="D368" s="67">
        <v>150</v>
      </c>
      <c r="E368" s="69"/>
      <c r="F368" s="103" t="str">
        <f>HYPERLINK("https://yt3.ggpht.com/Zgdpfgo79SLWSdPMUOe9rwwJiOPk-Yakkl50je_YFYUdo-Dda-pBpMpxwUzfDPDcx9sauB8W5w=s88-c-k-c0x00ffffff-no-rj")</f>
        <v>https://yt3.ggpht.com/Zgdpfgo79SLWSdPMUOe9rwwJiOPk-Yakkl50je_YFYUdo-Dda-pBpMpxwUzfDPDcx9sauB8W5w=s88-c-k-c0x00ffffff-no-rj</v>
      </c>
      <c r="G368" s="66"/>
      <c r="H368" s="70" t="s">
        <v>1926</v>
      </c>
      <c r="I368" s="71"/>
      <c r="J368" s="71" t="s">
        <v>159</v>
      </c>
      <c r="K368" s="70" t="s">
        <v>1926</v>
      </c>
      <c r="L368" s="74">
        <v>1</v>
      </c>
      <c r="M368" s="75">
        <v>7079.97119140625</v>
      </c>
      <c r="N368" s="75">
        <v>947.510498046875</v>
      </c>
      <c r="O368" s="76"/>
      <c r="P368" s="77"/>
      <c r="Q368" s="77"/>
      <c r="R368" s="89"/>
      <c r="S368" s="49">
        <v>0</v>
      </c>
      <c r="T368" s="49">
        <v>1</v>
      </c>
      <c r="U368" s="50">
        <v>0</v>
      </c>
      <c r="V368" s="50">
        <v>0.002008</v>
      </c>
      <c r="W368" s="50">
        <v>0.000807</v>
      </c>
      <c r="X368" s="50">
        <v>0.557456</v>
      </c>
      <c r="Y368" s="50">
        <v>0</v>
      </c>
      <c r="Z368" s="50">
        <v>0</v>
      </c>
      <c r="AA368" s="72">
        <v>368</v>
      </c>
      <c r="AB368" s="72"/>
      <c r="AC368" s="73"/>
      <c r="AD368" s="80" t="s">
        <v>1926</v>
      </c>
      <c r="AE368" s="80"/>
      <c r="AF368" s="80"/>
      <c r="AG368" s="80"/>
      <c r="AH368" s="80"/>
      <c r="AI368" s="80"/>
      <c r="AJ368" s="87">
        <v>42109.37923611111</v>
      </c>
      <c r="AK368" s="85" t="str">
        <f>HYPERLINK("https://yt3.ggpht.com/Zgdpfgo79SLWSdPMUOe9rwwJiOPk-Yakkl50je_YFYUdo-Dda-pBpMpxwUzfDPDcx9sauB8W5w=s88-c-k-c0x00ffffff-no-rj")</f>
        <v>https://yt3.ggpht.com/Zgdpfgo79SLWSdPMUOe9rwwJiOPk-Yakkl50je_YFYUdo-Dda-pBpMpxwUzfDPDcx9sauB8W5w=s88-c-k-c0x00ffffff-no-rj</v>
      </c>
      <c r="AL368" s="80">
        <v>0</v>
      </c>
      <c r="AM368" s="80">
        <v>0</v>
      </c>
      <c r="AN368" s="80">
        <v>7</v>
      </c>
      <c r="AO368" s="80" t="b">
        <v>0</v>
      </c>
      <c r="AP368" s="80">
        <v>0</v>
      </c>
      <c r="AQ368" s="80"/>
      <c r="AR368" s="80"/>
      <c r="AS368" s="80" t="s">
        <v>2664</v>
      </c>
      <c r="AT368" s="85" t="str">
        <f>HYPERLINK("https://www.youtube.com/channel/UC7bbF7uzixVKOh4huPcf2zQ")</f>
        <v>https://www.youtube.com/channel/UC7bbF7uzixVKOh4huPcf2zQ</v>
      </c>
      <c r="AU368" s="80" t="str">
        <f>REPLACE(INDEX(GroupVertices[Group],MATCH(Vertices[[#This Row],[Vertex]],GroupVertices[Vertex],0)),1,1,"")</f>
        <v>14</v>
      </c>
      <c r="AV368" s="49">
        <v>0</v>
      </c>
      <c r="AW368" s="50">
        <v>0</v>
      </c>
      <c r="AX368" s="49">
        <v>0</v>
      </c>
      <c r="AY368" s="50">
        <v>0</v>
      </c>
      <c r="AZ368" s="49">
        <v>0</v>
      </c>
      <c r="BA368" s="50">
        <v>0</v>
      </c>
      <c r="BB368" s="49">
        <v>2</v>
      </c>
      <c r="BC368" s="50">
        <v>100</v>
      </c>
      <c r="BD368" s="49">
        <v>2</v>
      </c>
      <c r="BE368" s="49"/>
      <c r="BF368" s="49"/>
      <c r="BG368" s="49"/>
      <c r="BH368" s="49"/>
      <c r="BI368" s="49"/>
      <c r="BJ368" s="49"/>
      <c r="BK368" s="111" t="s">
        <v>3176</v>
      </c>
      <c r="BL368" s="111" t="s">
        <v>3176</v>
      </c>
      <c r="BM368" s="111" t="s">
        <v>2390</v>
      </c>
      <c r="BN368" s="111" t="s">
        <v>2390</v>
      </c>
      <c r="BO368" s="2"/>
      <c r="BP368" s="3"/>
      <c r="BQ368" s="3"/>
      <c r="BR368" s="3"/>
      <c r="BS368" s="3"/>
    </row>
    <row r="369" spans="1:71" ht="15">
      <c r="A369" s="65" t="s">
        <v>573</v>
      </c>
      <c r="B369" s="66"/>
      <c r="C369" s="66"/>
      <c r="D369" s="67">
        <v>1000</v>
      </c>
      <c r="E369" s="69"/>
      <c r="F369" s="103" t="str">
        <f>HYPERLINK("https://yt3.ggpht.com/ytc/AAUvwnglnWGkOcuahrEyHtjBx2X8msjk4qgvfpmxTIonsg=s88-c-k-c0x00ffffff-no-rj")</f>
        <v>https://yt3.ggpht.com/ytc/AAUvwnglnWGkOcuahrEyHtjBx2X8msjk4qgvfpmxTIonsg=s88-c-k-c0x00ffffff-no-rj</v>
      </c>
      <c r="G369" s="66"/>
      <c r="H369" s="70" t="s">
        <v>1932</v>
      </c>
      <c r="I369" s="71"/>
      <c r="J369" s="71" t="s">
        <v>75</v>
      </c>
      <c r="K369" s="70" t="s">
        <v>1932</v>
      </c>
      <c r="L369" s="74">
        <v>572.3142857142857</v>
      </c>
      <c r="M369" s="75">
        <v>7446.1767578125</v>
      </c>
      <c r="N369" s="75">
        <v>715.2463989257812</v>
      </c>
      <c r="O369" s="76"/>
      <c r="P369" s="77"/>
      <c r="Q369" s="77"/>
      <c r="R369" s="89"/>
      <c r="S369" s="49">
        <v>6</v>
      </c>
      <c r="T369" s="49">
        <v>1</v>
      </c>
      <c r="U369" s="50">
        <v>1806</v>
      </c>
      <c r="V369" s="50">
        <v>0.002899</v>
      </c>
      <c r="W369" s="50">
        <v>0.008693</v>
      </c>
      <c r="X369" s="50">
        <v>3.355519</v>
      </c>
      <c r="Y369" s="50">
        <v>0</v>
      </c>
      <c r="Z369" s="50">
        <v>0</v>
      </c>
      <c r="AA369" s="72">
        <v>369</v>
      </c>
      <c r="AB369" s="72"/>
      <c r="AC369" s="73"/>
      <c r="AD369" s="80" t="s">
        <v>1932</v>
      </c>
      <c r="AE369" s="80" t="s">
        <v>2540</v>
      </c>
      <c r="AF369" s="80"/>
      <c r="AG369" s="80"/>
      <c r="AH369" s="80"/>
      <c r="AI369" s="80"/>
      <c r="AJ369" s="87">
        <v>41902.80326388889</v>
      </c>
      <c r="AK369" s="85" t="str">
        <f>HYPERLINK("https://yt3.ggpht.com/ytc/AAUvwnglnWGkOcuahrEyHtjBx2X8msjk4qgvfpmxTIonsg=s88-c-k-c0x00ffffff-no-rj")</f>
        <v>https://yt3.ggpht.com/ytc/AAUvwnglnWGkOcuahrEyHtjBx2X8msjk4qgvfpmxTIonsg=s88-c-k-c0x00ffffff-no-rj</v>
      </c>
      <c r="AL369" s="80">
        <v>5080</v>
      </c>
      <c r="AM369" s="80">
        <v>0</v>
      </c>
      <c r="AN369" s="80">
        <v>115</v>
      </c>
      <c r="AO369" s="80" t="b">
        <v>0</v>
      </c>
      <c r="AP369" s="80">
        <v>18</v>
      </c>
      <c r="AQ369" s="80"/>
      <c r="AR369" s="80"/>
      <c r="AS369" s="80" t="s">
        <v>2664</v>
      </c>
      <c r="AT369" s="85" t="str">
        <f>HYPERLINK("https://www.youtube.com/channel/UC9li3kbNdNCR0oU7L21LLpQ")</f>
        <v>https://www.youtube.com/channel/UC9li3kbNdNCR0oU7L21LLpQ</v>
      </c>
      <c r="AU369" s="80" t="str">
        <f>REPLACE(INDEX(GroupVertices[Group],MATCH(Vertices[[#This Row],[Vertex]],GroupVertices[Vertex],0)),1,1,"")</f>
        <v>14</v>
      </c>
      <c r="AV369" s="49">
        <v>0</v>
      </c>
      <c r="AW369" s="50">
        <v>0</v>
      </c>
      <c r="AX369" s="49">
        <v>0</v>
      </c>
      <c r="AY369" s="50">
        <v>0</v>
      </c>
      <c r="AZ369" s="49">
        <v>0</v>
      </c>
      <c r="BA369" s="50">
        <v>0</v>
      </c>
      <c r="BB369" s="49">
        <v>17</v>
      </c>
      <c r="BC369" s="50">
        <v>100</v>
      </c>
      <c r="BD369" s="49">
        <v>17</v>
      </c>
      <c r="BE369" s="49"/>
      <c r="BF369" s="49"/>
      <c r="BG369" s="49"/>
      <c r="BH369" s="49"/>
      <c r="BI369" s="49"/>
      <c r="BJ369" s="49"/>
      <c r="BK369" s="111" t="s">
        <v>3950</v>
      </c>
      <c r="BL369" s="111" t="s">
        <v>3950</v>
      </c>
      <c r="BM369" s="111" t="s">
        <v>4414</v>
      </c>
      <c r="BN369" s="111" t="s">
        <v>4414</v>
      </c>
      <c r="BO369" s="2"/>
      <c r="BP369" s="3"/>
      <c r="BQ369" s="3"/>
      <c r="BR369" s="3"/>
      <c r="BS369" s="3"/>
    </row>
    <row r="370" spans="1:71" ht="15">
      <c r="A370" s="65" t="s">
        <v>568</v>
      </c>
      <c r="B370" s="66"/>
      <c r="C370" s="66"/>
      <c r="D370" s="67">
        <v>150</v>
      </c>
      <c r="E370" s="69"/>
      <c r="F370" s="103" t="str">
        <f>HYPERLINK("https://yt3.ggpht.com/ytc/AAUvwniO9zGLE3rtVVoEJdzCRy2nc8BJweeEENI2f0UXVQ=s88-c-k-c0x00ffffff-no-rj")</f>
        <v>https://yt3.ggpht.com/ytc/AAUvwniO9zGLE3rtVVoEJdzCRy2nc8BJweeEENI2f0UXVQ=s88-c-k-c0x00ffffff-no-rj</v>
      </c>
      <c r="G370" s="66"/>
      <c r="H370" s="70" t="s">
        <v>1927</v>
      </c>
      <c r="I370" s="71"/>
      <c r="J370" s="71" t="s">
        <v>159</v>
      </c>
      <c r="K370" s="70" t="s">
        <v>1927</v>
      </c>
      <c r="L370" s="74">
        <v>1</v>
      </c>
      <c r="M370" s="75">
        <v>7122.7548828125</v>
      </c>
      <c r="N370" s="75">
        <v>376.7582702636719</v>
      </c>
      <c r="O370" s="76"/>
      <c r="P370" s="77"/>
      <c r="Q370" s="77"/>
      <c r="R370" s="89"/>
      <c r="S370" s="49">
        <v>0</v>
      </c>
      <c r="T370" s="49">
        <v>1</v>
      </c>
      <c r="U370" s="50">
        <v>0</v>
      </c>
      <c r="V370" s="50">
        <v>0.002008</v>
      </c>
      <c r="W370" s="50">
        <v>0.000807</v>
      </c>
      <c r="X370" s="50">
        <v>0.557456</v>
      </c>
      <c r="Y370" s="50">
        <v>0</v>
      </c>
      <c r="Z370" s="50">
        <v>0</v>
      </c>
      <c r="AA370" s="72">
        <v>370</v>
      </c>
      <c r="AB370" s="72"/>
      <c r="AC370" s="73"/>
      <c r="AD370" s="80" t="s">
        <v>1927</v>
      </c>
      <c r="AE370" s="80"/>
      <c r="AF370" s="80"/>
      <c r="AG370" s="80"/>
      <c r="AH370" s="80"/>
      <c r="AI370" s="80"/>
      <c r="AJ370" s="87">
        <v>43554.98991898148</v>
      </c>
      <c r="AK370" s="85" t="str">
        <f>HYPERLINK("https://yt3.ggpht.com/ytc/AAUvwniO9zGLE3rtVVoEJdzCRy2nc8BJweeEENI2f0UXVQ=s88-c-k-c0x00ffffff-no-rj")</f>
        <v>https://yt3.ggpht.com/ytc/AAUvwniO9zGLE3rtVVoEJdzCRy2nc8BJweeEENI2f0UXVQ=s88-c-k-c0x00ffffff-no-rj</v>
      </c>
      <c r="AL370" s="80">
        <v>28</v>
      </c>
      <c r="AM370" s="80">
        <v>0</v>
      </c>
      <c r="AN370" s="80">
        <v>7</v>
      </c>
      <c r="AO370" s="80" t="b">
        <v>0</v>
      </c>
      <c r="AP370" s="80">
        <v>1</v>
      </c>
      <c r="AQ370" s="80"/>
      <c r="AR370" s="80"/>
      <c r="AS370" s="80" t="s">
        <v>2664</v>
      </c>
      <c r="AT370" s="85" t="str">
        <f>HYPERLINK("https://www.youtube.com/channel/UCnel0MQOYp2zx5oJevfESdQ")</f>
        <v>https://www.youtube.com/channel/UCnel0MQOYp2zx5oJevfESdQ</v>
      </c>
      <c r="AU370" s="80" t="str">
        <f>REPLACE(INDEX(GroupVertices[Group],MATCH(Vertices[[#This Row],[Vertex]],GroupVertices[Vertex],0)),1,1,"")</f>
        <v>14</v>
      </c>
      <c r="AV370" s="49">
        <v>0</v>
      </c>
      <c r="AW370" s="50">
        <v>0</v>
      </c>
      <c r="AX370" s="49">
        <v>0</v>
      </c>
      <c r="AY370" s="50">
        <v>0</v>
      </c>
      <c r="AZ370" s="49">
        <v>0</v>
      </c>
      <c r="BA370" s="50">
        <v>0</v>
      </c>
      <c r="BB370" s="49">
        <v>3</v>
      </c>
      <c r="BC370" s="50">
        <v>100</v>
      </c>
      <c r="BD370" s="49">
        <v>3</v>
      </c>
      <c r="BE370" s="49"/>
      <c r="BF370" s="49"/>
      <c r="BG370" s="49"/>
      <c r="BH370" s="49"/>
      <c r="BI370" s="49"/>
      <c r="BJ370" s="49"/>
      <c r="BK370" s="111" t="s">
        <v>3951</v>
      </c>
      <c r="BL370" s="111" t="s">
        <v>3951</v>
      </c>
      <c r="BM370" s="111" t="s">
        <v>4415</v>
      </c>
      <c r="BN370" s="111" t="s">
        <v>4415</v>
      </c>
      <c r="BO370" s="2"/>
      <c r="BP370" s="3"/>
      <c r="BQ370" s="3"/>
      <c r="BR370" s="3"/>
      <c r="BS370" s="3"/>
    </row>
    <row r="371" spans="1:71" ht="15">
      <c r="A371" s="65" t="s">
        <v>569</v>
      </c>
      <c r="B371" s="66"/>
      <c r="C371" s="66"/>
      <c r="D371" s="67">
        <v>150</v>
      </c>
      <c r="E371" s="69"/>
      <c r="F371" s="103" t="str">
        <f>HYPERLINK("https://yt3.ggpht.com/ytc/AAUvwngYmQHcGK_BBQ8U4xAo4y3L-diWrDVk8bxWp0Q0tw=s88-c-k-c0x00ffffff-no-rj")</f>
        <v>https://yt3.ggpht.com/ytc/AAUvwngYmQHcGK_BBQ8U4xAo4y3L-diWrDVk8bxWp0Q0tw=s88-c-k-c0x00ffffff-no-rj</v>
      </c>
      <c r="G371" s="66"/>
      <c r="H371" s="70" t="s">
        <v>1928</v>
      </c>
      <c r="I371" s="71"/>
      <c r="J371" s="71" t="s">
        <v>159</v>
      </c>
      <c r="K371" s="70" t="s">
        <v>1928</v>
      </c>
      <c r="L371" s="74">
        <v>1</v>
      </c>
      <c r="M371" s="75">
        <v>7403.3935546875</v>
      </c>
      <c r="N371" s="75">
        <v>1285.99853515625</v>
      </c>
      <c r="O371" s="76"/>
      <c r="P371" s="77"/>
      <c r="Q371" s="77"/>
      <c r="R371" s="89"/>
      <c r="S371" s="49">
        <v>0</v>
      </c>
      <c r="T371" s="49">
        <v>1</v>
      </c>
      <c r="U371" s="50">
        <v>0</v>
      </c>
      <c r="V371" s="50">
        <v>0.002008</v>
      </c>
      <c r="W371" s="50">
        <v>0.000807</v>
      </c>
      <c r="X371" s="50">
        <v>0.557456</v>
      </c>
      <c r="Y371" s="50">
        <v>0</v>
      </c>
      <c r="Z371" s="50">
        <v>0</v>
      </c>
      <c r="AA371" s="72">
        <v>371</v>
      </c>
      <c r="AB371" s="72"/>
      <c r="AC371" s="73"/>
      <c r="AD371" s="80" t="s">
        <v>1928</v>
      </c>
      <c r="AE371" s="80"/>
      <c r="AF371" s="80"/>
      <c r="AG371" s="80"/>
      <c r="AH371" s="80"/>
      <c r="AI371" s="80"/>
      <c r="AJ371" s="87">
        <v>41991.6937962963</v>
      </c>
      <c r="AK371" s="85" t="str">
        <f>HYPERLINK("https://yt3.ggpht.com/ytc/AAUvwngYmQHcGK_BBQ8U4xAo4y3L-diWrDVk8bxWp0Q0tw=s88-c-k-c0x00ffffff-no-rj")</f>
        <v>https://yt3.ggpht.com/ytc/AAUvwngYmQHcGK_BBQ8U4xAo4y3L-diWrDVk8bxWp0Q0tw=s88-c-k-c0x00ffffff-no-rj</v>
      </c>
      <c r="AL371" s="80">
        <v>272</v>
      </c>
      <c r="AM371" s="80">
        <v>0</v>
      </c>
      <c r="AN371" s="80">
        <v>30</v>
      </c>
      <c r="AO371" s="80" t="b">
        <v>0</v>
      </c>
      <c r="AP371" s="80">
        <v>2</v>
      </c>
      <c r="AQ371" s="80"/>
      <c r="AR371" s="80"/>
      <c r="AS371" s="80" t="s">
        <v>2664</v>
      </c>
      <c r="AT371" s="85" t="str">
        <f>HYPERLINK("https://www.youtube.com/channel/UCqdoIk8MC9vfjbsCoO3uk0g")</f>
        <v>https://www.youtube.com/channel/UCqdoIk8MC9vfjbsCoO3uk0g</v>
      </c>
      <c r="AU371" s="80" t="str">
        <f>REPLACE(INDEX(GroupVertices[Group],MATCH(Vertices[[#This Row],[Vertex]],GroupVertices[Vertex],0)),1,1,"")</f>
        <v>14</v>
      </c>
      <c r="AV371" s="49">
        <v>1</v>
      </c>
      <c r="AW371" s="50">
        <v>6.25</v>
      </c>
      <c r="AX371" s="49">
        <v>0</v>
      </c>
      <c r="AY371" s="50">
        <v>0</v>
      </c>
      <c r="AZ371" s="49">
        <v>0</v>
      </c>
      <c r="BA371" s="50">
        <v>0</v>
      </c>
      <c r="BB371" s="49">
        <v>15</v>
      </c>
      <c r="BC371" s="50">
        <v>93.75</v>
      </c>
      <c r="BD371" s="49">
        <v>16</v>
      </c>
      <c r="BE371" s="49"/>
      <c r="BF371" s="49"/>
      <c r="BG371" s="49"/>
      <c r="BH371" s="49"/>
      <c r="BI371" s="49"/>
      <c r="BJ371" s="49"/>
      <c r="BK371" s="111" t="s">
        <v>3952</v>
      </c>
      <c r="BL371" s="111" t="s">
        <v>3952</v>
      </c>
      <c r="BM371" s="111" t="s">
        <v>4416</v>
      </c>
      <c r="BN371" s="111" t="s">
        <v>4416</v>
      </c>
      <c r="BO371" s="2"/>
      <c r="BP371" s="3"/>
      <c r="BQ371" s="3"/>
      <c r="BR371" s="3"/>
      <c r="BS371" s="3"/>
    </row>
    <row r="372" spans="1:71" ht="15">
      <c r="A372" s="65" t="s">
        <v>570</v>
      </c>
      <c r="B372" s="66"/>
      <c r="C372" s="66"/>
      <c r="D372" s="67">
        <v>150</v>
      </c>
      <c r="E372" s="69"/>
      <c r="F372" s="103" t="str">
        <f>HYPERLINK("https://yt3.ggpht.com/ytc/AAUvwnhg7xY35zN6t0ml_qt6kBHLwxWcjfV2QrnJr4lo=s88-c-k-c0x00ffffff-no-rj")</f>
        <v>https://yt3.ggpht.com/ytc/AAUvwnhg7xY35zN6t0ml_qt6kBHLwxWcjfV2QrnJr4lo=s88-c-k-c0x00ffffff-no-rj</v>
      </c>
      <c r="G372" s="66"/>
      <c r="H372" s="70" t="s">
        <v>1929</v>
      </c>
      <c r="I372" s="71"/>
      <c r="J372" s="71" t="s">
        <v>159</v>
      </c>
      <c r="K372" s="70" t="s">
        <v>1929</v>
      </c>
      <c r="L372" s="74">
        <v>1</v>
      </c>
      <c r="M372" s="75">
        <v>7488.9599609375</v>
      </c>
      <c r="N372" s="75">
        <v>144.4942169189453</v>
      </c>
      <c r="O372" s="76"/>
      <c r="P372" s="77"/>
      <c r="Q372" s="77"/>
      <c r="R372" s="89"/>
      <c r="S372" s="49">
        <v>0</v>
      </c>
      <c r="T372" s="49">
        <v>1</v>
      </c>
      <c r="U372" s="50">
        <v>0</v>
      </c>
      <c r="V372" s="50">
        <v>0.002008</v>
      </c>
      <c r="W372" s="50">
        <v>0.000807</v>
      </c>
      <c r="X372" s="50">
        <v>0.557456</v>
      </c>
      <c r="Y372" s="50">
        <v>0</v>
      </c>
      <c r="Z372" s="50">
        <v>0</v>
      </c>
      <c r="AA372" s="72">
        <v>372</v>
      </c>
      <c r="AB372" s="72"/>
      <c r="AC372" s="73"/>
      <c r="AD372" s="80" t="s">
        <v>1929</v>
      </c>
      <c r="AE372" s="80"/>
      <c r="AF372" s="80"/>
      <c r="AG372" s="80"/>
      <c r="AH372" s="80"/>
      <c r="AI372" s="80"/>
      <c r="AJ372" s="87">
        <v>41292.69824074074</v>
      </c>
      <c r="AK372" s="85" t="str">
        <f>HYPERLINK("https://yt3.ggpht.com/ytc/AAUvwnhg7xY35zN6t0ml_qt6kBHLwxWcjfV2QrnJr4lo=s88-c-k-c0x00ffffff-no-rj")</f>
        <v>https://yt3.ggpht.com/ytc/AAUvwnhg7xY35zN6t0ml_qt6kBHLwxWcjfV2QrnJr4lo=s88-c-k-c0x00ffffff-no-rj</v>
      </c>
      <c r="AL372" s="80">
        <v>0</v>
      </c>
      <c r="AM372" s="80">
        <v>0</v>
      </c>
      <c r="AN372" s="80">
        <v>3</v>
      </c>
      <c r="AO372" s="80" t="b">
        <v>0</v>
      </c>
      <c r="AP372" s="80">
        <v>0</v>
      </c>
      <c r="AQ372" s="80"/>
      <c r="AR372" s="80"/>
      <c r="AS372" s="80" t="s">
        <v>2664</v>
      </c>
      <c r="AT372" s="85" t="str">
        <f>HYPERLINK("https://www.youtube.com/channel/UC9G7xSI0mqIN9LsJHfZwMGg")</f>
        <v>https://www.youtube.com/channel/UC9G7xSI0mqIN9LsJHfZwMGg</v>
      </c>
      <c r="AU372" s="80" t="str">
        <f>REPLACE(INDEX(GroupVertices[Group],MATCH(Vertices[[#This Row],[Vertex]],GroupVertices[Vertex],0)),1,1,"")</f>
        <v>14</v>
      </c>
      <c r="AV372" s="49">
        <v>2</v>
      </c>
      <c r="AW372" s="50">
        <v>33.333333333333336</v>
      </c>
      <c r="AX372" s="49">
        <v>0</v>
      </c>
      <c r="AY372" s="50">
        <v>0</v>
      </c>
      <c r="AZ372" s="49">
        <v>0</v>
      </c>
      <c r="BA372" s="50">
        <v>0</v>
      </c>
      <c r="BB372" s="49">
        <v>4</v>
      </c>
      <c r="BC372" s="50">
        <v>66.66666666666667</v>
      </c>
      <c r="BD372" s="49">
        <v>6</v>
      </c>
      <c r="BE372" s="49"/>
      <c r="BF372" s="49"/>
      <c r="BG372" s="49"/>
      <c r="BH372" s="49"/>
      <c r="BI372" s="49"/>
      <c r="BJ372" s="49"/>
      <c r="BK372" s="111" t="s">
        <v>3953</v>
      </c>
      <c r="BL372" s="111" t="s">
        <v>3953</v>
      </c>
      <c r="BM372" s="111" t="s">
        <v>4417</v>
      </c>
      <c r="BN372" s="111" t="s">
        <v>4417</v>
      </c>
      <c r="BO372" s="2"/>
      <c r="BP372" s="3"/>
      <c r="BQ372" s="3"/>
      <c r="BR372" s="3"/>
      <c r="BS372" s="3"/>
    </row>
    <row r="373" spans="1:71" ht="15">
      <c r="A373" s="65" t="s">
        <v>571</v>
      </c>
      <c r="B373" s="66"/>
      <c r="C373" s="66"/>
      <c r="D373" s="67">
        <v>150</v>
      </c>
      <c r="E373" s="69"/>
      <c r="F373" s="103" t="str">
        <f>HYPERLINK("https://yt3.ggpht.com/ytc/AAUvwniGdIJ9FOIPIrlUK3trIIDoY4M3vo10gSXmh0Kd=s88-c-k-c0x00ffffff-no-rj")</f>
        <v>https://yt3.ggpht.com/ytc/AAUvwniGdIJ9FOIPIrlUK3trIIDoY4M3vo10gSXmh0Kd=s88-c-k-c0x00ffffff-no-rj</v>
      </c>
      <c r="G373" s="66"/>
      <c r="H373" s="70" t="s">
        <v>1930</v>
      </c>
      <c r="I373" s="71"/>
      <c r="J373" s="71" t="s">
        <v>159</v>
      </c>
      <c r="K373" s="70" t="s">
        <v>1930</v>
      </c>
      <c r="L373" s="74">
        <v>1</v>
      </c>
      <c r="M373" s="75">
        <v>7769.599609375</v>
      </c>
      <c r="N373" s="75">
        <v>1053.7344970703125</v>
      </c>
      <c r="O373" s="76"/>
      <c r="P373" s="77"/>
      <c r="Q373" s="77"/>
      <c r="R373" s="89"/>
      <c r="S373" s="49">
        <v>0</v>
      </c>
      <c r="T373" s="49">
        <v>1</v>
      </c>
      <c r="U373" s="50">
        <v>0</v>
      </c>
      <c r="V373" s="50">
        <v>0.002008</v>
      </c>
      <c r="W373" s="50">
        <v>0.000807</v>
      </c>
      <c r="X373" s="50">
        <v>0.557456</v>
      </c>
      <c r="Y373" s="50">
        <v>0</v>
      </c>
      <c r="Z373" s="50">
        <v>0</v>
      </c>
      <c r="AA373" s="72">
        <v>373</v>
      </c>
      <c r="AB373" s="72"/>
      <c r="AC373" s="73"/>
      <c r="AD373" s="80" t="s">
        <v>1930</v>
      </c>
      <c r="AE373" s="80"/>
      <c r="AF373" s="80"/>
      <c r="AG373" s="80"/>
      <c r="AH373" s="80"/>
      <c r="AI373" s="80"/>
      <c r="AJ373" s="87">
        <v>42279.9327662037</v>
      </c>
      <c r="AK373" s="85" t="str">
        <f>HYPERLINK("https://yt3.ggpht.com/ytc/AAUvwniGdIJ9FOIPIrlUK3trIIDoY4M3vo10gSXmh0Kd=s88-c-k-c0x00ffffff-no-rj")</f>
        <v>https://yt3.ggpht.com/ytc/AAUvwniGdIJ9FOIPIrlUK3trIIDoY4M3vo10gSXmh0Kd=s88-c-k-c0x00ffffff-no-rj</v>
      </c>
      <c r="AL373" s="80">
        <v>0</v>
      </c>
      <c r="AM373" s="80">
        <v>0</v>
      </c>
      <c r="AN373" s="80">
        <v>9</v>
      </c>
      <c r="AO373" s="80" t="b">
        <v>0</v>
      </c>
      <c r="AP373" s="80">
        <v>0</v>
      </c>
      <c r="AQ373" s="80"/>
      <c r="AR373" s="80"/>
      <c r="AS373" s="80" t="s">
        <v>2664</v>
      </c>
      <c r="AT373" s="85" t="str">
        <f>HYPERLINK("https://www.youtube.com/channel/UC3omO0nu_NbAJgtlCiYCNfg")</f>
        <v>https://www.youtube.com/channel/UC3omO0nu_NbAJgtlCiYCNfg</v>
      </c>
      <c r="AU373" s="80" t="str">
        <f>REPLACE(INDEX(GroupVertices[Group],MATCH(Vertices[[#This Row],[Vertex]],GroupVertices[Vertex],0)),1,1,"")</f>
        <v>14</v>
      </c>
      <c r="AV373" s="49">
        <v>1</v>
      </c>
      <c r="AW373" s="50">
        <v>3.125</v>
      </c>
      <c r="AX373" s="49">
        <v>1</v>
      </c>
      <c r="AY373" s="50">
        <v>3.125</v>
      </c>
      <c r="AZ373" s="49">
        <v>0</v>
      </c>
      <c r="BA373" s="50">
        <v>0</v>
      </c>
      <c r="BB373" s="49">
        <v>30</v>
      </c>
      <c r="BC373" s="50">
        <v>93.75</v>
      </c>
      <c r="BD373" s="49">
        <v>32</v>
      </c>
      <c r="BE373" s="49" t="s">
        <v>3483</v>
      </c>
      <c r="BF373" s="49" t="s">
        <v>3483</v>
      </c>
      <c r="BG373" s="49" t="s">
        <v>2379</v>
      </c>
      <c r="BH373" s="49" t="s">
        <v>2379</v>
      </c>
      <c r="BI373" s="49"/>
      <c r="BJ373" s="49"/>
      <c r="BK373" s="111" t="s">
        <v>3954</v>
      </c>
      <c r="BL373" s="111" t="s">
        <v>3954</v>
      </c>
      <c r="BM373" s="111" t="s">
        <v>4418</v>
      </c>
      <c r="BN373" s="111" t="s">
        <v>4418</v>
      </c>
      <c r="BO373" s="2"/>
      <c r="BP373" s="3"/>
      <c r="BQ373" s="3"/>
      <c r="BR373" s="3"/>
      <c r="BS373" s="3"/>
    </row>
    <row r="374" spans="1:71" ht="15">
      <c r="A374" s="65" t="s">
        <v>572</v>
      </c>
      <c r="B374" s="66"/>
      <c r="C374" s="66"/>
      <c r="D374" s="67">
        <v>150</v>
      </c>
      <c r="E374" s="69"/>
      <c r="F374" s="103" t="str">
        <f>HYPERLINK("https://yt3.ggpht.com/ytc/AAUvwnj2TZifa3g3U0oCe5CjMM5qW71_hwNhBluah3GNVg=s88-c-k-c0x00ffffff-no-rj")</f>
        <v>https://yt3.ggpht.com/ytc/AAUvwnj2TZifa3g3U0oCe5CjMM5qW71_hwNhBluah3GNVg=s88-c-k-c0x00ffffff-no-rj</v>
      </c>
      <c r="G374" s="66"/>
      <c r="H374" s="70" t="s">
        <v>1931</v>
      </c>
      <c r="I374" s="71"/>
      <c r="J374" s="71" t="s">
        <v>159</v>
      </c>
      <c r="K374" s="70" t="s">
        <v>1931</v>
      </c>
      <c r="L374" s="74">
        <v>1</v>
      </c>
      <c r="M374" s="75">
        <v>7812.38232421875</v>
      </c>
      <c r="N374" s="75">
        <v>482.9823303222656</v>
      </c>
      <c r="O374" s="76"/>
      <c r="P374" s="77"/>
      <c r="Q374" s="77"/>
      <c r="R374" s="89"/>
      <c r="S374" s="49">
        <v>0</v>
      </c>
      <c r="T374" s="49">
        <v>1</v>
      </c>
      <c r="U374" s="50">
        <v>0</v>
      </c>
      <c r="V374" s="50">
        <v>0.002008</v>
      </c>
      <c r="W374" s="50">
        <v>0.000807</v>
      </c>
      <c r="X374" s="50">
        <v>0.557456</v>
      </c>
      <c r="Y374" s="50">
        <v>0</v>
      </c>
      <c r="Z374" s="50">
        <v>0</v>
      </c>
      <c r="AA374" s="72">
        <v>374</v>
      </c>
      <c r="AB374" s="72"/>
      <c r="AC374" s="73"/>
      <c r="AD374" s="80" t="s">
        <v>1931</v>
      </c>
      <c r="AE374" s="80" t="s">
        <v>2392</v>
      </c>
      <c r="AF374" s="80"/>
      <c r="AG374" s="80"/>
      <c r="AH374" s="80"/>
      <c r="AI374" s="80" t="s">
        <v>2645</v>
      </c>
      <c r="AJ374" s="87">
        <v>41239.69142361111</v>
      </c>
      <c r="AK374" s="85" t="str">
        <f>HYPERLINK("https://yt3.ggpht.com/ytc/AAUvwnj2TZifa3g3U0oCe5CjMM5qW71_hwNhBluah3GNVg=s88-c-k-c0x00ffffff-no-rj")</f>
        <v>https://yt3.ggpht.com/ytc/AAUvwnj2TZifa3g3U0oCe5CjMM5qW71_hwNhBluah3GNVg=s88-c-k-c0x00ffffff-no-rj</v>
      </c>
      <c r="AL374" s="80">
        <v>0</v>
      </c>
      <c r="AM374" s="80">
        <v>0</v>
      </c>
      <c r="AN374" s="80">
        <v>81</v>
      </c>
      <c r="AO374" s="80" t="b">
        <v>0</v>
      </c>
      <c r="AP374" s="80">
        <v>0</v>
      </c>
      <c r="AQ374" s="80"/>
      <c r="AR374" s="80"/>
      <c r="AS374" s="80" t="s">
        <v>2664</v>
      </c>
      <c r="AT374" s="85" t="str">
        <f>HYPERLINK("https://www.youtube.com/channel/UC-6e6b2pE7UUiqPc1tH889w")</f>
        <v>https://www.youtube.com/channel/UC-6e6b2pE7UUiqPc1tH889w</v>
      </c>
      <c r="AU374" s="80" t="str">
        <f>REPLACE(INDEX(GroupVertices[Group],MATCH(Vertices[[#This Row],[Vertex]],GroupVertices[Vertex],0)),1,1,"")</f>
        <v>14</v>
      </c>
      <c r="AV374" s="49">
        <v>3</v>
      </c>
      <c r="AW374" s="50">
        <v>27.272727272727273</v>
      </c>
      <c r="AX374" s="49">
        <v>0</v>
      </c>
      <c r="AY374" s="50">
        <v>0</v>
      </c>
      <c r="AZ374" s="49">
        <v>0</v>
      </c>
      <c r="BA374" s="50">
        <v>0</v>
      </c>
      <c r="BB374" s="49">
        <v>8</v>
      </c>
      <c r="BC374" s="50">
        <v>72.72727272727273</v>
      </c>
      <c r="BD374" s="49">
        <v>11</v>
      </c>
      <c r="BE374" s="49"/>
      <c r="BF374" s="49"/>
      <c r="BG374" s="49"/>
      <c r="BH374" s="49"/>
      <c r="BI374" s="49"/>
      <c r="BJ374" s="49"/>
      <c r="BK374" s="111" t="s">
        <v>3955</v>
      </c>
      <c r="BL374" s="111" t="s">
        <v>3955</v>
      </c>
      <c r="BM374" s="111" t="s">
        <v>4419</v>
      </c>
      <c r="BN374" s="111" t="s">
        <v>4419</v>
      </c>
      <c r="BO374" s="2"/>
      <c r="BP374" s="3"/>
      <c r="BQ374" s="3"/>
      <c r="BR374" s="3"/>
      <c r="BS374" s="3"/>
    </row>
    <row r="375" spans="1:71" ht="15">
      <c r="A375" s="65" t="s">
        <v>574</v>
      </c>
      <c r="B375" s="66"/>
      <c r="C375" s="66"/>
      <c r="D375" s="67">
        <v>150</v>
      </c>
      <c r="E375" s="69"/>
      <c r="F375" s="103" t="str">
        <f>HYPERLINK("https://yt3.ggpht.com/ytc/AAUvwnjDMof6hBr01aEp9o-6y-AlvOXBzjgWM5aoQYD2Fg=s88-c-k-c0x00ffffff-no-rj")</f>
        <v>https://yt3.ggpht.com/ytc/AAUvwnjDMof6hBr01aEp9o-6y-AlvOXBzjgWM5aoQYD2Fg=s88-c-k-c0x00ffffff-no-rj</v>
      </c>
      <c r="G375" s="66"/>
      <c r="H375" s="70" t="s">
        <v>1933</v>
      </c>
      <c r="I375" s="71"/>
      <c r="J375" s="71" t="s">
        <v>159</v>
      </c>
      <c r="K375" s="70" t="s">
        <v>1933</v>
      </c>
      <c r="L375" s="74">
        <v>1</v>
      </c>
      <c r="M375" s="75">
        <v>1263.524658203125</v>
      </c>
      <c r="N375" s="75">
        <v>7712.2333984375</v>
      </c>
      <c r="O375" s="76"/>
      <c r="P375" s="77"/>
      <c r="Q375" s="77"/>
      <c r="R375" s="89"/>
      <c r="S375" s="49">
        <v>0</v>
      </c>
      <c r="T375" s="49">
        <v>1</v>
      </c>
      <c r="U375" s="50">
        <v>0</v>
      </c>
      <c r="V375" s="50">
        <v>0.002801</v>
      </c>
      <c r="W375" s="50">
        <v>0.008244</v>
      </c>
      <c r="X375" s="50">
        <v>0.512495</v>
      </c>
      <c r="Y375" s="50">
        <v>0</v>
      </c>
      <c r="Z375" s="50">
        <v>0</v>
      </c>
      <c r="AA375" s="72">
        <v>375</v>
      </c>
      <c r="AB375" s="72"/>
      <c r="AC375" s="73"/>
      <c r="AD375" s="80" t="s">
        <v>1933</v>
      </c>
      <c r="AE375" s="80"/>
      <c r="AF375" s="80"/>
      <c r="AG375" s="80"/>
      <c r="AH375" s="80"/>
      <c r="AI375" s="80" t="s">
        <v>2646</v>
      </c>
      <c r="AJ375" s="87">
        <v>41207.747662037036</v>
      </c>
      <c r="AK375" s="85" t="str">
        <f>HYPERLINK("https://yt3.ggpht.com/ytc/AAUvwnjDMof6hBr01aEp9o-6y-AlvOXBzjgWM5aoQYD2Fg=s88-c-k-c0x00ffffff-no-rj")</f>
        <v>https://yt3.ggpht.com/ytc/AAUvwnjDMof6hBr01aEp9o-6y-AlvOXBzjgWM5aoQYD2Fg=s88-c-k-c0x00ffffff-no-rj</v>
      </c>
      <c r="AL375" s="80">
        <v>383</v>
      </c>
      <c r="AM375" s="80">
        <v>0</v>
      </c>
      <c r="AN375" s="80">
        <v>35</v>
      </c>
      <c r="AO375" s="80" t="b">
        <v>0</v>
      </c>
      <c r="AP375" s="80">
        <v>3</v>
      </c>
      <c r="AQ375" s="80"/>
      <c r="AR375" s="80"/>
      <c r="AS375" s="80" t="s">
        <v>2664</v>
      </c>
      <c r="AT375" s="85" t="str">
        <f>HYPERLINK("https://www.youtube.com/channel/UCVl4b1QLIzWZtTYH1mTH8iQ")</f>
        <v>https://www.youtube.com/channel/UCVl4b1QLIzWZtTYH1mTH8iQ</v>
      </c>
      <c r="AU375" s="80" t="str">
        <f>REPLACE(INDEX(GroupVertices[Group],MATCH(Vertices[[#This Row],[Vertex]],GroupVertices[Vertex],0)),1,1,"")</f>
        <v>1</v>
      </c>
      <c r="AV375" s="49">
        <v>0</v>
      </c>
      <c r="AW375" s="50">
        <v>0</v>
      </c>
      <c r="AX375" s="49">
        <v>0</v>
      </c>
      <c r="AY375" s="50">
        <v>0</v>
      </c>
      <c r="AZ375" s="49">
        <v>0</v>
      </c>
      <c r="BA375" s="50">
        <v>0</v>
      </c>
      <c r="BB375" s="49">
        <v>2</v>
      </c>
      <c r="BC375" s="50">
        <v>100</v>
      </c>
      <c r="BD375" s="49">
        <v>2</v>
      </c>
      <c r="BE375" s="49"/>
      <c r="BF375" s="49"/>
      <c r="BG375" s="49"/>
      <c r="BH375" s="49"/>
      <c r="BI375" s="49"/>
      <c r="BJ375" s="49"/>
      <c r="BK375" s="111" t="s">
        <v>2390</v>
      </c>
      <c r="BL375" s="111" t="s">
        <v>2390</v>
      </c>
      <c r="BM375" s="111" t="s">
        <v>2390</v>
      </c>
      <c r="BN375" s="111" t="s">
        <v>2390</v>
      </c>
      <c r="BO375" s="2"/>
      <c r="BP375" s="3"/>
      <c r="BQ375" s="3"/>
      <c r="BR375" s="3"/>
      <c r="BS375" s="3"/>
    </row>
    <row r="376" spans="1:71" ht="15">
      <c r="A376" s="65" t="s">
        <v>575</v>
      </c>
      <c r="B376" s="66"/>
      <c r="C376" s="66"/>
      <c r="D376" s="67">
        <v>150</v>
      </c>
      <c r="E376" s="69"/>
      <c r="F376" s="103" t="str">
        <f>HYPERLINK("https://yt3.ggpht.com/ytc/AAUvwnjSjt3jtD_XSJDH4BW6LPLO7mu9KsszHGLLbrbq=s88-c-k-c0x00ffffff-no-rj")</f>
        <v>https://yt3.ggpht.com/ytc/AAUvwnjSjt3jtD_XSJDH4BW6LPLO7mu9KsszHGLLbrbq=s88-c-k-c0x00ffffff-no-rj</v>
      </c>
      <c r="G376" s="66"/>
      <c r="H376" s="70" t="s">
        <v>1934</v>
      </c>
      <c r="I376" s="71"/>
      <c r="J376" s="71" t="s">
        <v>159</v>
      </c>
      <c r="K376" s="70" t="s">
        <v>1934</v>
      </c>
      <c r="L376" s="74">
        <v>1</v>
      </c>
      <c r="M376" s="75">
        <v>1139.2540283203125</v>
      </c>
      <c r="N376" s="75">
        <v>7585.705078125</v>
      </c>
      <c r="O376" s="76"/>
      <c r="P376" s="77"/>
      <c r="Q376" s="77"/>
      <c r="R376" s="89"/>
      <c r="S376" s="49">
        <v>0</v>
      </c>
      <c r="T376" s="49">
        <v>1</v>
      </c>
      <c r="U376" s="50">
        <v>0</v>
      </c>
      <c r="V376" s="50">
        <v>0.002801</v>
      </c>
      <c r="W376" s="50">
        <v>0.008244</v>
      </c>
      <c r="X376" s="50">
        <v>0.512495</v>
      </c>
      <c r="Y376" s="50">
        <v>0</v>
      </c>
      <c r="Z376" s="50">
        <v>0</v>
      </c>
      <c r="AA376" s="72">
        <v>376</v>
      </c>
      <c r="AB376" s="72"/>
      <c r="AC376" s="73"/>
      <c r="AD376" s="80" t="s">
        <v>1934</v>
      </c>
      <c r="AE376" s="80"/>
      <c r="AF376" s="80"/>
      <c r="AG376" s="80"/>
      <c r="AH376" s="80"/>
      <c r="AI376" s="80"/>
      <c r="AJ376" s="87">
        <v>43105.986342592594</v>
      </c>
      <c r="AK376" s="85" t="str">
        <f>HYPERLINK("https://yt3.ggpht.com/ytc/AAUvwnjSjt3jtD_XSJDH4BW6LPLO7mu9KsszHGLLbrbq=s88-c-k-c0x00ffffff-no-rj")</f>
        <v>https://yt3.ggpht.com/ytc/AAUvwnjSjt3jtD_XSJDH4BW6LPLO7mu9KsszHGLLbrbq=s88-c-k-c0x00ffffff-no-rj</v>
      </c>
      <c r="AL376" s="80">
        <v>0</v>
      </c>
      <c r="AM376" s="80">
        <v>0</v>
      </c>
      <c r="AN376" s="80">
        <v>3</v>
      </c>
      <c r="AO376" s="80" t="b">
        <v>0</v>
      </c>
      <c r="AP376" s="80">
        <v>0</v>
      </c>
      <c r="AQ376" s="80"/>
      <c r="AR376" s="80"/>
      <c r="AS376" s="80" t="s">
        <v>2664</v>
      </c>
      <c r="AT376" s="85" t="str">
        <f>HYPERLINK("https://www.youtube.com/channel/UCyhN-Q3ELXlH6afNYd3ROoA")</f>
        <v>https://www.youtube.com/channel/UCyhN-Q3ELXlH6afNYd3ROoA</v>
      </c>
      <c r="AU376" s="80" t="str">
        <f>REPLACE(INDEX(GroupVertices[Group],MATCH(Vertices[[#This Row],[Vertex]],GroupVertices[Vertex],0)),1,1,"")</f>
        <v>1</v>
      </c>
      <c r="AV376" s="49">
        <v>0</v>
      </c>
      <c r="AW376" s="50">
        <v>0</v>
      </c>
      <c r="AX376" s="49">
        <v>0</v>
      </c>
      <c r="AY376" s="50">
        <v>0</v>
      </c>
      <c r="AZ376" s="49">
        <v>0</v>
      </c>
      <c r="BA376" s="50">
        <v>0</v>
      </c>
      <c r="BB376" s="49">
        <v>15</v>
      </c>
      <c r="BC376" s="50">
        <v>100</v>
      </c>
      <c r="BD376" s="49">
        <v>15</v>
      </c>
      <c r="BE376" s="49"/>
      <c r="BF376" s="49"/>
      <c r="BG376" s="49"/>
      <c r="BH376" s="49"/>
      <c r="BI376" s="49"/>
      <c r="BJ376" s="49"/>
      <c r="BK376" s="111" t="s">
        <v>3956</v>
      </c>
      <c r="BL376" s="111" t="s">
        <v>3956</v>
      </c>
      <c r="BM376" s="111" t="s">
        <v>4420</v>
      </c>
      <c r="BN376" s="111" t="s">
        <v>4420</v>
      </c>
      <c r="BO376" s="2"/>
      <c r="BP376" s="3"/>
      <c r="BQ376" s="3"/>
      <c r="BR376" s="3"/>
      <c r="BS376" s="3"/>
    </row>
    <row r="377" spans="1:71" ht="15">
      <c r="A377" s="65" t="s">
        <v>576</v>
      </c>
      <c r="B377" s="66"/>
      <c r="C377" s="66"/>
      <c r="D377" s="67">
        <v>150</v>
      </c>
      <c r="E377" s="69"/>
      <c r="F377" s="103" t="str">
        <f>HYPERLINK("https://yt3.ggpht.com/ytc/AAUvwniIfYVlLlhVOfHs7WLSAncFoGc0ZdEVa1mmpWsz3g=s88-c-k-c0x00ffffff-no-rj")</f>
        <v>https://yt3.ggpht.com/ytc/AAUvwniIfYVlLlhVOfHs7WLSAncFoGc0ZdEVa1mmpWsz3g=s88-c-k-c0x00ffffff-no-rj</v>
      </c>
      <c r="G377" s="66"/>
      <c r="H377" s="70" t="s">
        <v>1935</v>
      </c>
      <c r="I377" s="71"/>
      <c r="J377" s="71" t="s">
        <v>159</v>
      </c>
      <c r="K377" s="70" t="s">
        <v>1935</v>
      </c>
      <c r="L377" s="74">
        <v>1</v>
      </c>
      <c r="M377" s="75">
        <v>2179.72509765625</v>
      </c>
      <c r="N377" s="75">
        <v>6158.419921875</v>
      </c>
      <c r="O377" s="76"/>
      <c r="P377" s="77"/>
      <c r="Q377" s="77"/>
      <c r="R377" s="89"/>
      <c r="S377" s="49">
        <v>0</v>
      </c>
      <c r="T377" s="49">
        <v>1</v>
      </c>
      <c r="U377" s="50">
        <v>0</v>
      </c>
      <c r="V377" s="50">
        <v>0.002801</v>
      </c>
      <c r="W377" s="50">
        <v>0.008244</v>
      </c>
      <c r="X377" s="50">
        <v>0.512495</v>
      </c>
      <c r="Y377" s="50">
        <v>0</v>
      </c>
      <c r="Z377" s="50">
        <v>0</v>
      </c>
      <c r="AA377" s="72">
        <v>377</v>
      </c>
      <c r="AB377" s="72"/>
      <c r="AC377" s="73"/>
      <c r="AD377" s="80" t="s">
        <v>1935</v>
      </c>
      <c r="AE377" s="80"/>
      <c r="AF377" s="80"/>
      <c r="AG377" s="80"/>
      <c r="AH377" s="80"/>
      <c r="AI377" s="80"/>
      <c r="AJ377" s="87">
        <v>41585.90568287037</v>
      </c>
      <c r="AK377" s="85" t="str">
        <f>HYPERLINK("https://yt3.ggpht.com/ytc/AAUvwniIfYVlLlhVOfHs7WLSAncFoGc0ZdEVa1mmpWsz3g=s88-c-k-c0x00ffffff-no-rj")</f>
        <v>https://yt3.ggpht.com/ytc/AAUvwniIfYVlLlhVOfHs7WLSAncFoGc0ZdEVa1mmpWsz3g=s88-c-k-c0x00ffffff-no-rj</v>
      </c>
      <c r="AL377" s="80">
        <v>0</v>
      </c>
      <c r="AM377" s="80">
        <v>0</v>
      </c>
      <c r="AN377" s="80">
        <v>2</v>
      </c>
      <c r="AO377" s="80" t="b">
        <v>0</v>
      </c>
      <c r="AP377" s="80">
        <v>0</v>
      </c>
      <c r="AQ377" s="80"/>
      <c r="AR377" s="80"/>
      <c r="AS377" s="80" t="s">
        <v>2664</v>
      </c>
      <c r="AT377" s="85" t="str">
        <f>HYPERLINK("https://www.youtube.com/channel/UCVHDuJ-ytBhl_DEz35zaLfQ")</f>
        <v>https://www.youtube.com/channel/UCVHDuJ-ytBhl_DEz35zaLfQ</v>
      </c>
      <c r="AU377" s="80" t="str">
        <f>REPLACE(INDEX(GroupVertices[Group],MATCH(Vertices[[#This Row],[Vertex]],GroupVertices[Vertex],0)),1,1,"")</f>
        <v>1</v>
      </c>
      <c r="AV377" s="49">
        <v>0</v>
      </c>
      <c r="AW377" s="50">
        <v>0</v>
      </c>
      <c r="AX377" s="49">
        <v>0</v>
      </c>
      <c r="AY377" s="50">
        <v>0</v>
      </c>
      <c r="AZ377" s="49">
        <v>0</v>
      </c>
      <c r="BA377" s="50">
        <v>0</v>
      </c>
      <c r="BB377" s="49">
        <v>9</v>
      </c>
      <c r="BC377" s="50">
        <v>100</v>
      </c>
      <c r="BD377" s="49">
        <v>9</v>
      </c>
      <c r="BE377" s="49"/>
      <c r="BF377" s="49"/>
      <c r="BG377" s="49"/>
      <c r="BH377" s="49"/>
      <c r="BI377" s="49"/>
      <c r="BJ377" s="49"/>
      <c r="BK377" s="111" t="s">
        <v>3957</v>
      </c>
      <c r="BL377" s="111" t="s">
        <v>3957</v>
      </c>
      <c r="BM377" s="111" t="s">
        <v>4421</v>
      </c>
      <c r="BN377" s="111" t="s">
        <v>4421</v>
      </c>
      <c r="BO377" s="2"/>
      <c r="BP377" s="3"/>
      <c r="BQ377" s="3"/>
      <c r="BR377" s="3"/>
      <c r="BS377" s="3"/>
    </row>
    <row r="378" spans="1:71" ht="15">
      <c r="A378" s="65" t="s">
        <v>577</v>
      </c>
      <c r="B378" s="66"/>
      <c r="C378" s="66"/>
      <c r="D378" s="67">
        <v>150</v>
      </c>
      <c r="E378" s="69"/>
      <c r="F378" s="103" t="str">
        <f>HYPERLINK("https://yt3.ggpht.com/yu21qX3PiY5r0Tk9HYgH5ODaMpVyIYQyzT2V7LL8MNRgVCKg2lVtIN08D9HzwK-g-RMbM8b5Uw=s88-c-k-c0x00ffffff-no-rj")</f>
        <v>https://yt3.ggpht.com/yu21qX3PiY5r0Tk9HYgH5ODaMpVyIYQyzT2V7LL8MNRgVCKg2lVtIN08D9HzwK-g-RMbM8b5Uw=s88-c-k-c0x00ffffff-no-rj</v>
      </c>
      <c r="G378" s="66"/>
      <c r="H378" s="70" t="s">
        <v>1936</v>
      </c>
      <c r="I378" s="71"/>
      <c r="J378" s="71" t="s">
        <v>159</v>
      </c>
      <c r="K378" s="70" t="s">
        <v>1936</v>
      </c>
      <c r="L378" s="74">
        <v>1</v>
      </c>
      <c r="M378" s="75">
        <v>1049.064453125</v>
      </c>
      <c r="N378" s="75">
        <v>6450.271484375</v>
      </c>
      <c r="O378" s="76"/>
      <c r="P378" s="77"/>
      <c r="Q378" s="77"/>
      <c r="R378" s="89"/>
      <c r="S378" s="49">
        <v>0</v>
      </c>
      <c r="T378" s="49">
        <v>1</v>
      </c>
      <c r="U378" s="50">
        <v>0</v>
      </c>
      <c r="V378" s="50">
        <v>0.002801</v>
      </c>
      <c r="W378" s="50">
        <v>0.008244</v>
      </c>
      <c r="X378" s="50">
        <v>0.512495</v>
      </c>
      <c r="Y378" s="50">
        <v>0</v>
      </c>
      <c r="Z378" s="50">
        <v>0</v>
      </c>
      <c r="AA378" s="72">
        <v>378</v>
      </c>
      <c r="AB378" s="72"/>
      <c r="AC378" s="73"/>
      <c r="AD378" s="80" t="s">
        <v>1936</v>
      </c>
      <c r="AE378" s="80"/>
      <c r="AF378" s="80"/>
      <c r="AG378" s="80"/>
      <c r="AH378" s="80"/>
      <c r="AI378" s="80"/>
      <c r="AJ378" s="87">
        <v>42589.933275462965</v>
      </c>
      <c r="AK378" s="85" t="str">
        <f>HYPERLINK("https://yt3.ggpht.com/yu21qX3PiY5r0Tk9HYgH5ODaMpVyIYQyzT2V7LL8MNRgVCKg2lVtIN08D9HzwK-g-RMbM8b5Uw=s88-c-k-c0x00ffffff-no-rj")</f>
        <v>https://yt3.ggpht.com/yu21qX3PiY5r0Tk9HYgH5ODaMpVyIYQyzT2V7LL8MNRgVCKg2lVtIN08D9HzwK-g-RMbM8b5Uw=s88-c-k-c0x00ffffff-no-rj</v>
      </c>
      <c r="AL378" s="80">
        <v>0</v>
      </c>
      <c r="AM378" s="80">
        <v>0</v>
      </c>
      <c r="AN378" s="80">
        <v>4</v>
      </c>
      <c r="AO378" s="80" t="b">
        <v>0</v>
      </c>
      <c r="AP378" s="80">
        <v>0</v>
      </c>
      <c r="AQ378" s="80"/>
      <c r="AR378" s="80"/>
      <c r="AS378" s="80" t="s">
        <v>2664</v>
      </c>
      <c r="AT378" s="85" t="str">
        <f>HYPERLINK("https://www.youtube.com/channel/UCz9ZLCXJVEG2J7hg_BNZKxg")</f>
        <v>https://www.youtube.com/channel/UCz9ZLCXJVEG2J7hg_BNZKxg</v>
      </c>
      <c r="AU378" s="80" t="str">
        <f>REPLACE(INDEX(GroupVertices[Group],MATCH(Vertices[[#This Row],[Vertex]],GroupVertices[Vertex],0)),1,1,"")</f>
        <v>1</v>
      </c>
      <c r="AV378" s="49">
        <v>0</v>
      </c>
      <c r="AW378" s="50">
        <v>0</v>
      </c>
      <c r="AX378" s="49">
        <v>1</v>
      </c>
      <c r="AY378" s="50">
        <v>20</v>
      </c>
      <c r="AZ378" s="49">
        <v>0</v>
      </c>
      <c r="BA378" s="50">
        <v>0</v>
      </c>
      <c r="BB378" s="49">
        <v>4</v>
      </c>
      <c r="BC378" s="50">
        <v>80</v>
      </c>
      <c r="BD378" s="49">
        <v>5</v>
      </c>
      <c r="BE378" s="49"/>
      <c r="BF378" s="49"/>
      <c r="BG378" s="49"/>
      <c r="BH378" s="49"/>
      <c r="BI378" s="49"/>
      <c r="BJ378" s="49"/>
      <c r="BK378" s="111" t="s">
        <v>3958</v>
      </c>
      <c r="BL378" s="111" t="s">
        <v>3958</v>
      </c>
      <c r="BM378" s="111" t="s">
        <v>4422</v>
      </c>
      <c r="BN378" s="111" t="s">
        <v>4422</v>
      </c>
      <c r="BO378" s="2"/>
      <c r="BP378" s="3"/>
      <c r="BQ378" s="3"/>
      <c r="BR378" s="3"/>
      <c r="BS378" s="3"/>
    </row>
    <row r="379" spans="1:71" ht="15">
      <c r="A379" s="65" t="s">
        <v>578</v>
      </c>
      <c r="B379" s="66"/>
      <c r="C379" s="66"/>
      <c r="D379" s="67">
        <v>150</v>
      </c>
      <c r="E379" s="69"/>
      <c r="F379" s="103" t="str">
        <f>HYPERLINK("https://yt3.ggpht.com/ytc/AAUvwniaMgPAxCaerWK7n8txXvvJrFlCAoJIXVZE=s88-c-k-c0x00ffffff-no-rj")</f>
        <v>https://yt3.ggpht.com/ytc/AAUvwniaMgPAxCaerWK7n8txXvvJrFlCAoJIXVZE=s88-c-k-c0x00ffffff-no-rj</v>
      </c>
      <c r="G379" s="66"/>
      <c r="H379" s="70" t="s">
        <v>1937</v>
      </c>
      <c r="I379" s="71"/>
      <c r="J379" s="71" t="s">
        <v>159</v>
      </c>
      <c r="K379" s="70" t="s">
        <v>1937</v>
      </c>
      <c r="L379" s="74">
        <v>1</v>
      </c>
      <c r="M379" s="75">
        <v>166.32933044433594</v>
      </c>
      <c r="N379" s="75">
        <v>6227.3203125</v>
      </c>
      <c r="O379" s="76"/>
      <c r="P379" s="77"/>
      <c r="Q379" s="77"/>
      <c r="R379" s="89"/>
      <c r="S379" s="49">
        <v>0</v>
      </c>
      <c r="T379" s="49">
        <v>1</v>
      </c>
      <c r="U379" s="50">
        <v>0</v>
      </c>
      <c r="V379" s="50">
        <v>0.001969</v>
      </c>
      <c r="W379" s="50">
        <v>0.000772</v>
      </c>
      <c r="X379" s="50">
        <v>0.575828</v>
      </c>
      <c r="Y379" s="50">
        <v>0</v>
      </c>
      <c r="Z379" s="50">
        <v>0</v>
      </c>
      <c r="AA379" s="72">
        <v>379</v>
      </c>
      <c r="AB379" s="72"/>
      <c r="AC379" s="73"/>
      <c r="AD379" s="80" t="s">
        <v>1937</v>
      </c>
      <c r="AE379" s="80" t="s">
        <v>2541</v>
      </c>
      <c r="AF379" s="80"/>
      <c r="AG379" s="80"/>
      <c r="AH379" s="80"/>
      <c r="AI379" s="80"/>
      <c r="AJ379" s="87">
        <v>44056.591828703706</v>
      </c>
      <c r="AK379" s="85" t="str">
        <f>HYPERLINK("https://yt3.ggpht.com/ytc/AAUvwniaMgPAxCaerWK7n8txXvvJrFlCAoJIXVZE=s88-c-k-c0x00ffffff-no-rj")</f>
        <v>https://yt3.ggpht.com/ytc/AAUvwniaMgPAxCaerWK7n8txXvvJrFlCAoJIXVZE=s88-c-k-c0x00ffffff-no-rj</v>
      </c>
      <c r="AL379" s="80">
        <v>59</v>
      </c>
      <c r="AM379" s="80">
        <v>0</v>
      </c>
      <c r="AN379" s="80">
        <v>3</v>
      </c>
      <c r="AO379" s="80" t="b">
        <v>0</v>
      </c>
      <c r="AP379" s="80">
        <v>1</v>
      </c>
      <c r="AQ379" s="80"/>
      <c r="AR379" s="80"/>
      <c r="AS379" s="80" t="s">
        <v>2664</v>
      </c>
      <c r="AT379" s="85" t="str">
        <f>HYPERLINK("https://www.youtube.com/channel/UCIwKnDAfblyJMIMh8StSEeg")</f>
        <v>https://www.youtube.com/channel/UCIwKnDAfblyJMIMh8StSEeg</v>
      </c>
      <c r="AU379" s="80" t="str">
        <f>REPLACE(INDEX(GroupVertices[Group],MATCH(Vertices[[#This Row],[Vertex]],GroupVertices[Vertex],0)),1,1,"")</f>
        <v>1</v>
      </c>
      <c r="AV379" s="49">
        <v>0</v>
      </c>
      <c r="AW379" s="50">
        <v>0</v>
      </c>
      <c r="AX379" s="49">
        <v>0</v>
      </c>
      <c r="AY379" s="50">
        <v>0</v>
      </c>
      <c r="AZ379" s="49">
        <v>0</v>
      </c>
      <c r="BA379" s="50">
        <v>0</v>
      </c>
      <c r="BB379" s="49">
        <v>4</v>
      </c>
      <c r="BC379" s="50">
        <v>100</v>
      </c>
      <c r="BD379" s="49">
        <v>4</v>
      </c>
      <c r="BE379" s="49"/>
      <c r="BF379" s="49"/>
      <c r="BG379" s="49"/>
      <c r="BH379" s="49"/>
      <c r="BI379" s="49"/>
      <c r="BJ379" s="49"/>
      <c r="BK379" s="111" t="s">
        <v>2390</v>
      </c>
      <c r="BL379" s="111" t="s">
        <v>2390</v>
      </c>
      <c r="BM379" s="111" t="s">
        <v>2390</v>
      </c>
      <c r="BN379" s="111" t="s">
        <v>2390</v>
      </c>
      <c r="BO379" s="2"/>
      <c r="BP379" s="3"/>
      <c r="BQ379" s="3"/>
      <c r="BR379" s="3"/>
      <c r="BS379" s="3"/>
    </row>
    <row r="380" spans="1:71" ht="15">
      <c r="A380" s="65" t="s">
        <v>579</v>
      </c>
      <c r="B380" s="66"/>
      <c r="C380" s="66"/>
      <c r="D380" s="67">
        <v>291.66666666666663</v>
      </c>
      <c r="E380" s="69"/>
      <c r="F380" s="103" t="str">
        <f>HYPERLINK("https://yt3.ggpht.com/ytc/AAUvwniXTyjSD0hGTArPwZ374glfp21H-0VhnmgFC2A6Cw=s88-c-k-c0x00ffffff-no-rj")</f>
        <v>https://yt3.ggpht.com/ytc/AAUvwniXTyjSD0hGTArPwZ374glfp21H-0VhnmgFC2A6Cw=s88-c-k-c0x00ffffff-no-rj</v>
      </c>
      <c r="G380" s="66"/>
      <c r="H380" s="70" t="s">
        <v>1938</v>
      </c>
      <c r="I380" s="71"/>
      <c r="J380" s="71" t="s">
        <v>159</v>
      </c>
      <c r="K380" s="70" t="s">
        <v>1938</v>
      </c>
      <c r="L380" s="74">
        <v>96.21904761904761</v>
      </c>
      <c r="M380" s="75">
        <v>881.5132446289062</v>
      </c>
      <c r="N380" s="75">
        <v>6822.90478515625</v>
      </c>
      <c r="O380" s="76"/>
      <c r="P380" s="77"/>
      <c r="Q380" s="77"/>
      <c r="R380" s="89"/>
      <c r="S380" s="49">
        <v>1</v>
      </c>
      <c r="T380" s="49">
        <v>1</v>
      </c>
      <c r="U380" s="50">
        <v>306</v>
      </c>
      <c r="V380" s="50">
        <v>0.002817</v>
      </c>
      <c r="W380" s="50">
        <v>0.008315</v>
      </c>
      <c r="X380" s="50">
        <v>1.001948</v>
      </c>
      <c r="Y380" s="50">
        <v>0</v>
      </c>
      <c r="Z380" s="50">
        <v>0</v>
      </c>
      <c r="AA380" s="72">
        <v>380</v>
      </c>
      <c r="AB380" s="72"/>
      <c r="AC380" s="73"/>
      <c r="AD380" s="80" t="s">
        <v>1938</v>
      </c>
      <c r="AE380" s="80" t="s">
        <v>2542</v>
      </c>
      <c r="AF380" s="80"/>
      <c r="AG380" s="80"/>
      <c r="AH380" s="80"/>
      <c r="AI380" s="80" t="s">
        <v>2647</v>
      </c>
      <c r="AJ380" s="87">
        <v>41295.81653935185</v>
      </c>
      <c r="AK380" s="85" t="str">
        <f>HYPERLINK("https://yt3.ggpht.com/ytc/AAUvwniXTyjSD0hGTArPwZ374glfp21H-0VhnmgFC2A6Cw=s88-c-k-c0x00ffffff-no-rj")</f>
        <v>https://yt3.ggpht.com/ytc/AAUvwniXTyjSD0hGTArPwZ374glfp21H-0VhnmgFC2A6Cw=s88-c-k-c0x00ffffff-no-rj</v>
      </c>
      <c r="AL380" s="80">
        <v>404</v>
      </c>
      <c r="AM380" s="80">
        <v>0</v>
      </c>
      <c r="AN380" s="80">
        <v>27</v>
      </c>
      <c r="AO380" s="80" t="b">
        <v>0</v>
      </c>
      <c r="AP380" s="80">
        <v>6</v>
      </c>
      <c r="AQ380" s="80"/>
      <c r="AR380" s="80"/>
      <c r="AS380" s="80" t="s">
        <v>2664</v>
      </c>
      <c r="AT380" s="85" t="str">
        <f>HYPERLINK("https://www.youtube.com/channel/UCjd7LhTYGEOAHC0WoK4GqwQ")</f>
        <v>https://www.youtube.com/channel/UCjd7LhTYGEOAHC0WoK4GqwQ</v>
      </c>
      <c r="AU380" s="80" t="str">
        <f>REPLACE(INDEX(GroupVertices[Group],MATCH(Vertices[[#This Row],[Vertex]],GroupVertices[Vertex],0)),1,1,"")</f>
        <v>1</v>
      </c>
      <c r="AV380" s="49">
        <v>1</v>
      </c>
      <c r="AW380" s="50">
        <v>8.333333333333334</v>
      </c>
      <c r="AX380" s="49">
        <v>0</v>
      </c>
      <c r="AY380" s="50">
        <v>0</v>
      </c>
      <c r="AZ380" s="49">
        <v>0</v>
      </c>
      <c r="BA380" s="50">
        <v>0</v>
      </c>
      <c r="BB380" s="49">
        <v>11</v>
      </c>
      <c r="BC380" s="50">
        <v>91.66666666666667</v>
      </c>
      <c r="BD380" s="49">
        <v>12</v>
      </c>
      <c r="BE380" s="49"/>
      <c r="BF380" s="49"/>
      <c r="BG380" s="49"/>
      <c r="BH380" s="49"/>
      <c r="BI380" s="49"/>
      <c r="BJ380" s="49"/>
      <c r="BK380" s="111" t="s">
        <v>3959</v>
      </c>
      <c r="BL380" s="111" t="s">
        <v>3959</v>
      </c>
      <c r="BM380" s="111" t="s">
        <v>4423</v>
      </c>
      <c r="BN380" s="111" t="s">
        <v>4423</v>
      </c>
      <c r="BO380" s="2"/>
      <c r="BP380" s="3"/>
      <c r="BQ380" s="3"/>
      <c r="BR380" s="3"/>
      <c r="BS380" s="3"/>
    </row>
    <row r="381" spans="1:71" ht="15">
      <c r="A381" s="65" t="s">
        <v>580</v>
      </c>
      <c r="B381" s="66"/>
      <c r="C381" s="66"/>
      <c r="D381" s="67">
        <v>150</v>
      </c>
      <c r="E381" s="69"/>
      <c r="F381" s="103" t="str">
        <f>HYPERLINK("https://yt3.ggpht.com/a/default-user=s88")</f>
        <v>https://yt3.ggpht.com/a/default-user=s88</v>
      </c>
      <c r="G381" s="66"/>
      <c r="H381" s="70" t="s">
        <v>1939</v>
      </c>
      <c r="I381" s="71"/>
      <c r="J381" s="71" t="s">
        <v>159</v>
      </c>
      <c r="K381" s="70" t="s">
        <v>1939</v>
      </c>
      <c r="L381" s="74">
        <v>1</v>
      </c>
      <c r="M381" s="75">
        <v>2249.804931640625</v>
      </c>
      <c r="N381" s="75">
        <v>6605.521484375</v>
      </c>
      <c r="O381" s="76"/>
      <c r="P381" s="77"/>
      <c r="Q381" s="77"/>
      <c r="R381" s="89"/>
      <c r="S381" s="49">
        <v>0</v>
      </c>
      <c r="T381" s="49">
        <v>1</v>
      </c>
      <c r="U381" s="50">
        <v>0</v>
      </c>
      <c r="V381" s="50">
        <v>0.002801</v>
      </c>
      <c r="W381" s="50">
        <v>0.008244</v>
      </c>
      <c r="X381" s="50">
        <v>0.512495</v>
      </c>
      <c r="Y381" s="50">
        <v>0</v>
      </c>
      <c r="Z381" s="50">
        <v>0</v>
      </c>
      <c r="AA381" s="72">
        <v>381</v>
      </c>
      <c r="AB381" s="72"/>
      <c r="AC381" s="73"/>
      <c r="AD381" s="80" t="s">
        <v>1939</v>
      </c>
      <c r="AE381" s="80"/>
      <c r="AF381" s="80"/>
      <c r="AG381" s="80"/>
      <c r="AH381" s="80"/>
      <c r="AI381" s="80"/>
      <c r="AJ381" s="87">
        <v>43578.91732638889</v>
      </c>
      <c r="AK381" s="85" t="str">
        <f>HYPERLINK("https://yt3.ggpht.com/a/default-user=s88")</f>
        <v>https://yt3.ggpht.com/a/default-user=s88</v>
      </c>
      <c r="AL381" s="80">
        <v>0</v>
      </c>
      <c r="AM381" s="80">
        <v>0</v>
      </c>
      <c r="AN381" s="80">
        <v>0</v>
      </c>
      <c r="AO381" s="80" t="b">
        <v>0</v>
      </c>
      <c r="AP381" s="80">
        <v>1</v>
      </c>
      <c r="AQ381" s="80"/>
      <c r="AR381" s="80"/>
      <c r="AS381" s="80" t="s">
        <v>2664</v>
      </c>
      <c r="AT381" s="85" t="str">
        <f>HYPERLINK("https://www.youtube.com/channel/UC5SGVZXo0_bh0zNwR8I5bsw")</f>
        <v>https://www.youtube.com/channel/UC5SGVZXo0_bh0zNwR8I5bsw</v>
      </c>
      <c r="AU381" s="80" t="str">
        <f>REPLACE(INDEX(GroupVertices[Group],MATCH(Vertices[[#This Row],[Vertex]],GroupVertices[Vertex],0)),1,1,"")</f>
        <v>1</v>
      </c>
      <c r="AV381" s="49">
        <v>2</v>
      </c>
      <c r="AW381" s="50">
        <v>18.181818181818183</v>
      </c>
      <c r="AX381" s="49">
        <v>1</v>
      </c>
      <c r="AY381" s="50">
        <v>9.090909090909092</v>
      </c>
      <c r="AZ381" s="49">
        <v>0</v>
      </c>
      <c r="BA381" s="50">
        <v>0</v>
      </c>
      <c r="BB381" s="49">
        <v>8</v>
      </c>
      <c r="BC381" s="50">
        <v>72.72727272727273</v>
      </c>
      <c r="BD381" s="49">
        <v>11</v>
      </c>
      <c r="BE381" s="49"/>
      <c r="BF381" s="49"/>
      <c r="BG381" s="49"/>
      <c r="BH381" s="49"/>
      <c r="BI381" s="49"/>
      <c r="BJ381" s="49"/>
      <c r="BK381" s="111" t="s">
        <v>3960</v>
      </c>
      <c r="BL381" s="111" t="s">
        <v>3960</v>
      </c>
      <c r="BM381" s="111" t="s">
        <v>4424</v>
      </c>
      <c r="BN381" s="111" t="s">
        <v>4424</v>
      </c>
      <c r="BO381" s="2"/>
      <c r="BP381" s="3"/>
      <c r="BQ381" s="3"/>
      <c r="BR381" s="3"/>
      <c r="BS381" s="3"/>
    </row>
    <row r="382" spans="1:71" ht="15">
      <c r="A382" s="65" t="s">
        <v>581</v>
      </c>
      <c r="B382" s="66"/>
      <c r="C382" s="66"/>
      <c r="D382" s="67">
        <v>150</v>
      </c>
      <c r="E382" s="69"/>
      <c r="F382" s="103" t="str">
        <f>HYPERLINK("https://yt3.ggpht.com/ytc/AAUvwngxXIOTPmgAXV0Tb_bIXWBo40wFWkYrGL8j_Jti=s88-c-k-c0x00ffffff-no-rj")</f>
        <v>https://yt3.ggpht.com/ytc/AAUvwngxXIOTPmgAXV0Tb_bIXWBo40wFWkYrGL8j_Jti=s88-c-k-c0x00ffffff-no-rj</v>
      </c>
      <c r="G382" s="66"/>
      <c r="H382" s="70" t="s">
        <v>1940</v>
      </c>
      <c r="I382" s="71"/>
      <c r="J382" s="71" t="s">
        <v>159</v>
      </c>
      <c r="K382" s="70" t="s">
        <v>1940</v>
      </c>
      <c r="L382" s="74">
        <v>1</v>
      </c>
      <c r="M382" s="75">
        <v>1951.9892578125</v>
      </c>
      <c r="N382" s="75">
        <v>5949.5380859375</v>
      </c>
      <c r="O382" s="76"/>
      <c r="P382" s="77"/>
      <c r="Q382" s="77"/>
      <c r="R382" s="89"/>
      <c r="S382" s="49">
        <v>0</v>
      </c>
      <c r="T382" s="49">
        <v>1</v>
      </c>
      <c r="U382" s="50">
        <v>0</v>
      </c>
      <c r="V382" s="50">
        <v>0.002801</v>
      </c>
      <c r="W382" s="50">
        <v>0.008244</v>
      </c>
      <c r="X382" s="50">
        <v>0.512495</v>
      </c>
      <c r="Y382" s="50">
        <v>0</v>
      </c>
      <c r="Z382" s="50">
        <v>0</v>
      </c>
      <c r="AA382" s="72">
        <v>382</v>
      </c>
      <c r="AB382" s="72"/>
      <c r="AC382" s="73"/>
      <c r="AD382" s="80" t="s">
        <v>1940</v>
      </c>
      <c r="AE382" s="80" t="s">
        <v>2543</v>
      </c>
      <c r="AF382" s="80"/>
      <c r="AG382" s="80"/>
      <c r="AH382" s="80"/>
      <c r="AI382" s="80"/>
      <c r="AJ382" s="87">
        <v>42483.94813657407</v>
      </c>
      <c r="AK382" s="85" t="str">
        <f>HYPERLINK("https://yt3.ggpht.com/ytc/AAUvwngxXIOTPmgAXV0Tb_bIXWBo40wFWkYrGL8j_Jti=s88-c-k-c0x00ffffff-no-rj")</f>
        <v>https://yt3.ggpht.com/ytc/AAUvwngxXIOTPmgAXV0Tb_bIXWBo40wFWkYrGL8j_Jti=s88-c-k-c0x00ffffff-no-rj</v>
      </c>
      <c r="AL382" s="80">
        <v>0</v>
      </c>
      <c r="AM382" s="80">
        <v>0</v>
      </c>
      <c r="AN382" s="80">
        <v>1</v>
      </c>
      <c r="AO382" s="80" t="b">
        <v>0</v>
      </c>
      <c r="AP382" s="80">
        <v>0</v>
      </c>
      <c r="AQ382" s="80"/>
      <c r="AR382" s="80"/>
      <c r="AS382" s="80" t="s">
        <v>2664</v>
      </c>
      <c r="AT382" s="85" t="str">
        <f>HYPERLINK("https://www.youtube.com/channel/UCtYVy7l9RvKZ5rKOsiQsIKg")</f>
        <v>https://www.youtube.com/channel/UCtYVy7l9RvKZ5rKOsiQsIKg</v>
      </c>
      <c r="AU382" s="80" t="str">
        <f>REPLACE(INDEX(GroupVertices[Group],MATCH(Vertices[[#This Row],[Vertex]],GroupVertices[Vertex],0)),1,1,"")</f>
        <v>1</v>
      </c>
      <c r="AV382" s="49">
        <v>0</v>
      </c>
      <c r="AW382" s="50">
        <v>0</v>
      </c>
      <c r="AX382" s="49">
        <v>1</v>
      </c>
      <c r="AY382" s="50">
        <v>12.5</v>
      </c>
      <c r="AZ382" s="49">
        <v>0</v>
      </c>
      <c r="BA382" s="50">
        <v>0</v>
      </c>
      <c r="BB382" s="49">
        <v>7</v>
      </c>
      <c r="BC382" s="50">
        <v>87.5</v>
      </c>
      <c r="BD382" s="49">
        <v>8</v>
      </c>
      <c r="BE382" s="49"/>
      <c r="BF382" s="49"/>
      <c r="BG382" s="49"/>
      <c r="BH382" s="49"/>
      <c r="BI382" s="49"/>
      <c r="BJ382" s="49"/>
      <c r="BK382" s="111" t="s">
        <v>3961</v>
      </c>
      <c r="BL382" s="111" t="s">
        <v>3961</v>
      </c>
      <c r="BM382" s="111" t="s">
        <v>4425</v>
      </c>
      <c r="BN382" s="111" t="s">
        <v>4425</v>
      </c>
      <c r="BO382" s="2"/>
      <c r="BP382" s="3"/>
      <c r="BQ382" s="3"/>
      <c r="BR382" s="3"/>
      <c r="BS382" s="3"/>
    </row>
    <row r="383" spans="1:71" ht="15">
      <c r="A383" s="65" t="s">
        <v>582</v>
      </c>
      <c r="B383" s="66"/>
      <c r="C383" s="66"/>
      <c r="D383" s="67">
        <v>150</v>
      </c>
      <c r="E383" s="69"/>
      <c r="F383" s="103" t="str">
        <f>HYPERLINK("https://yt3.ggpht.com/ytc/AAUvwngGlHyhU7FZV5ByyYVy7L2LR7tda0GqEYkUr3LG3Q=s88-c-k-c0x00ffffff-no-rj")</f>
        <v>https://yt3.ggpht.com/ytc/AAUvwngGlHyhU7FZV5ByyYVy7L2LR7tda0GqEYkUr3LG3Q=s88-c-k-c0x00ffffff-no-rj</v>
      </c>
      <c r="G383" s="66"/>
      <c r="H383" s="70" t="s">
        <v>1941</v>
      </c>
      <c r="I383" s="71"/>
      <c r="J383" s="71" t="s">
        <v>159</v>
      </c>
      <c r="K383" s="70" t="s">
        <v>1941</v>
      </c>
      <c r="L383" s="74">
        <v>1</v>
      </c>
      <c r="M383" s="75">
        <v>2686.25439453125</v>
      </c>
      <c r="N383" s="75">
        <v>4797.07861328125</v>
      </c>
      <c r="O383" s="76"/>
      <c r="P383" s="77"/>
      <c r="Q383" s="77"/>
      <c r="R383" s="89"/>
      <c r="S383" s="49">
        <v>0</v>
      </c>
      <c r="T383" s="49">
        <v>3</v>
      </c>
      <c r="U383" s="50">
        <v>4.333333</v>
      </c>
      <c r="V383" s="50">
        <v>0.001992</v>
      </c>
      <c r="W383" s="50">
        <v>0.00237</v>
      </c>
      <c r="X383" s="50">
        <v>1.231786</v>
      </c>
      <c r="Y383" s="50">
        <v>0</v>
      </c>
      <c r="Z383" s="50">
        <v>0</v>
      </c>
      <c r="AA383" s="72">
        <v>383</v>
      </c>
      <c r="AB383" s="72"/>
      <c r="AC383" s="73"/>
      <c r="AD383" s="80" t="s">
        <v>1941</v>
      </c>
      <c r="AE383" s="80"/>
      <c r="AF383" s="80"/>
      <c r="AG383" s="80"/>
      <c r="AH383" s="80"/>
      <c r="AI383" s="80"/>
      <c r="AJ383" s="87">
        <v>42422.87777777778</v>
      </c>
      <c r="AK383" s="85" t="str">
        <f>HYPERLINK("https://yt3.ggpht.com/ytc/AAUvwngGlHyhU7FZV5ByyYVy7L2LR7tda0GqEYkUr3LG3Q=s88-c-k-c0x00ffffff-no-rj")</f>
        <v>https://yt3.ggpht.com/ytc/AAUvwngGlHyhU7FZV5ByyYVy7L2LR7tda0GqEYkUr3LG3Q=s88-c-k-c0x00ffffff-no-rj</v>
      </c>
      <c r="AL383" s="80">
        <v>0</v>
      </c>
      <c r="AM383" s="80">
        <v>0</v>
      </c>
      <c r="AN383" s="80">
        <v>8</v>
      </c>
      <c r="AO383" s="80" t="b">
        <v>0</v>
      </c>
      <c r="AP383" s="80">
        <v>0</v>
      </c>
      <c r="AQ383" s="80"/>
      <c r="AR383" s="80"/>
      <c r="AS383" s="80" t="s">
        <v>2664</v>
      </c>
      <c r="AT383" s="85" t="str">
        <f>HYPERLINK("https://www.youtube.com/channel/UCYPUDUN5-t9VxaQRI9es0nA")</f>
        <v>https://www.youtube.com/channel/UCYPUDUN5-t9VxaQRI9es0nA</v>
      </c>
      <c r="AU383" s="80" t="str">
        <f>REPLACE(INDEX(GroupVertices[Group],MATCH(Vertices[[#This Row],[Vertex]],GroupVertices[Vertex],0)),1,1,"")</f>
        <v>1</v>
      </c>
      <c r="AV383" s="49">
        <v>3</v>
      </c>
      <c r="AW383" s="50">
        <v>3.5714285714285716</v>
      </c>
      <c r="AX383" s="49">
        <v>3</v>
      </c>
      <c r="AY383" s="50">
        <v>3.5714285714285716</v>
      </c>
      <c r="AZ383" s="49">
        <v>0</v>
      </c>
      <c r="BA383" s="50">
        <v>0</v>
      </c>
      <c r="BB383" s="49">
        <v>78</v>
      </c>
      <c r="BC383" s="50">
        <v>92.85714285714286</v>
      </c>
      <c r="BD383" s="49">
        <v>84</v>
      </c>
      <c r="BE383" s="49"/>
      <c r="BF383" s="49"/>
      <c r="BG383" s="49"/>
      <c r="BH383" s="49"/>
      <c r="BI383" s="49"/>
      <c r="BJ383" s="49"/>
      <c r="BK383" s="111" t="s">
        <v>3962</v>
      </c>
      <c r="BL383" s="111" t="s">
        <v>4135</v>
      </c>
      <c r="BM383" s="111" t="s">
        <v>4426</v>
      </c>
      <c r="BN383" s="111" t="s">
        <v>4426</v>
      </c>
      <c r="BO383" s="2"/>
      <c r="BP383" s="3"/>
      <c r="BQ383" s="3"/>
      <c r="BR383" s="3"/>
      <c r="BS383" s="3"/>
    </row>
    <row r="384" spans="1:71" ht="15">
      <c r="A384" s="65" t="s">
        <v>584</v>
      </c>
      <c r="B384" s="66"/>
      <c r="C384" s="66"/>
      <c r="D384" s="67">
        <v>433.3333333333333</v>
      </c>
      <c r="E384" s="69"/>
      <c r="F384" s="103" t="str">
        <f>HYPERLINK("https://yt3.ggpht.com/ytc/AAUvwnhtGJj7vbmBVwODb9VssaQSfdAQ0dF56y1G7Axu=s88-c-k-c0x00ffffff-no-rj")</f>
        <v>https://yt3.ggpht.com/ytc/AAUvwnhtGJj7vbmBVwODb9VssaQSfdAQ0dF56y1G7Axu=s88-c-k-c0x00ffffff-no-rj</v>
      </c>
      <c r="G384" s="66"/>
      <c r="H384" s="70" t="s">
        <v>1943</v>
      </c>
      <c r="I384" s="71"/>
      <c r="J384" s="71" t="s">
        <v>75</v>
      </c>
      <c r="K384" s="70" t="s">
        <v>1943</v>
      </c>
      <c r="L384" s="74">
        <v>191.43809523809523</v>
      </c>
      <c r="M384" s="75">
        <v>2109.75390625</v>
      </c>
      <c r="N384" s="75">
        <v>5649.869140625</v>
      </c>
      <c r="O384" s="76"/>
      <c r="P384" s="77"/>
      <c r="Q384" s="77"/>
      <c r="R384" s="89"/>
      <c r="S384" s="49">
        <v>2</v>
      </c>
      <c r="T384" s="49">
        <v>1</v>
      </c>
      <c r="U384" s="50">
        <v>254</v>
      </c>
      <c r="V384" s="50">
        <v>0.002833</v>
      </c>
      <c r="W384" s="50">
        <v>0.00861</v>
      </c>
      <c r="X384" s="50">
        <v>1.233566</v>
      </c>
      <c r="Y384" s="50">
        <v>0</v>
      </c>
      <c r="Z384" s="50">
        <v>0</v>
      </c>
      <c r="AA384" s="72">
        <v>384</v>
      </c>
      <c r="AB384" s="72"/>
      <c r="AC384" s="73"/>
      <c r="AD384" s="80" t="s">
        <v>1943</v>
      </c>
      <c r="AE384" s="80"/>
      <c r="AF384" s="80"/>
      <c r="AG384" s="80"/>
      <c r="AH384" s="80"/>
      <c r="AI384" s="80"/>
      <c r="AJ384" s="87">
        <v>41763.95309027778</v>
      </c>
      <c r="AK384" s="85" t="str">
        <f>HYPERLINK("https://yt3.ggpht.com/ytc/AAUvwnhtGJj7vbmBVwODb9VssaQSfdAQ0dF56y1G7Axu=s88-c-k-c0x00ffffff-no-rj")</f>
        <v>https://yt3.ggpht.com/ytc/AAUvwnhtGJj7vbmBVwODb9VssaQSfdAQ0dF56y1G7Axu=s88-c-k-c0x00ffffff-no-rj</v>
      </c>
      <c r="AL384" s="80">
        <v>0</v>
      </c>
      <c r="AM384" s="80">
        <v>0</v>
      </c>
      <c r="AN384" s="80">
        <v>6</v>
      </c>
      <c r="AO384" s="80" t="b">
        <v>0</v>
      </c>
      <c r="AP384" s="80">
        <v>0</v>
      </c>
      <c r="AQ384" s="80"/>
      <c r="AR384" s="80"/>
      <c r="AS384" s="80" t="s">
        <v>2664</v>
      </c>
      <c r="AT384" s="85" t="str">
        <f>HYPERLINK("https://www.youtube.com/channel/UCeoYd8hiGyx3BWyFTSI_XAg")</f>
        <v>https://www.youtube.com/channel/UCeoYd8hiGyx3BWyFTSI_XAg</v>
      </c>
      <c r="AU384" s="80" t="str">
        <f>REPLACE(INDEX(GroupVertices[Group],MATCH(Vertices[[#This Row],[Vertex]],GroupVertices[Vertex],0)),1,1,"")</f>
        <v>1</v>
      </c>
      <c r="AV384" s="49">
        <v>0</v>
      </c>
      <c r="AW384" s="50">
        <v>0</v>
      </c>
      <c r="AX384" s="49">
        <v>1</v>
      </c>
      <c r="AY384" s="50">
        <v>14.285714285714286</v>
      </c>
      <c r="AZ384" s="49">
        <v>0</v>
      </c>
      <c r="BA384" s="50">
        <v>0</v>
      </c>
      <c r="BB384" s="49">
        <v>6</v>
      </c>
      <c r="BC384" s="50">
        <v>85.71428571428571</v>
      </c>
      <c r="BD384" s="49">
        <v>7</v>
      </c>
      <c r="BE384" s="49"/>
      <c r="BF384" s="49"/>
      <c r="BG384" s="49"/>
      <c r="BH384" s="49"/>
      <c r="BI384" s="49"/>
      <c r="BJ384" s="49"/>
      <c r="BK384" s="111" t="s">
        <v>3963</v>
      </c>
      <c r="BL384" s="111" t="s">
        <v>3963</v>
      </c>
      <c r="BM384" s="111" t="s">
        <v>4427</v>
      </c>
      <c r="BN384" s="111" t="s">
        <v>4427</v>
      </c>
      <c r="BO384" s="2"/>
      <c r="BP384" s="3"/>
      <c r="BQ384" s="3"/>
      <c r="BR384" s="3"/>
      <c r="BS384" s="3"/>
    </row>
    <row r="385" spans="1:71" ht="15">
      <c r="A385" s="65" t="s">
        <v>583</v>
      </c>
      <c r="B385" s="66"/>
      <c r="C385" s="66"/>
      <c r="D385" s="67">
        <v>150</v>
      </c>
      <c r="E385" s="69"/>
      <c r="F385" s="103" t="str">
        <f>HYPERLINK("https://yt3.ggpht.com/T5_xWSNxnj7IqXydUacDVpwManZTnMgS91oTLM-qr9z5TMVDHgnRll5eDBznKA1lzfbSrlYx=s88-c-k-c0x00ffffff-no-rj")</f>
        <v>https://yt3.ggpht.com/T5_xWSNxnj7IqXydUacDVpwManZTnMgS91oTLM-qr9z5TMVDHgnRll5eDBznKA1lzfbSrlYx=s88-c-k-c0x00ffffff-no-rj</v>
      </c>
      <c r="G385" s="66"/>
      <c r="H385" s="70" t="s">
        <v>1942</v>
      </c>
      <c r="I385" s="71"/>
      <c r="J385" s="71" t="s">
        <v>159</v>
      </c>
      <c r="K385" s="70" t="s">
        <v>1942</v>
      </c>
      <c r="L385" s="74">
        <v>1</v>
      </c>
      <c r="M385" s="75">
        <v>2107.48974609375</v>
      </c>
      <c r="N385" s="75">
        <v>4308.89599609375</v>
      </c>
      <c r="O385" s="76"/>
      <c r="P385" s="77"/>
      <c r="Q385" s="77"/>
      <c r="R385" s="89"/>
      <c r="S385" s="49">
        <v>0</v>
      </c>
      <c r="T385" s="49">
        <v>2</v>
      </c>
      <c r="U385" s="50">
        <v>1.5</v>
      </c>
      <c r="V385" s="50">
        <v>0.001984</v>
      </c>
      <c r="W385" s="50">
        <v>0.001578</v>
      </c>
      <c r="X385" s="50">
        <v>0.875448</v>
      </c>
      <c r="Y385" s="50">
        <v>0</v>
      </c>
      <c r="Z385" s="50">
        <v>0</v>
      </c>
      <c r="AA385" s="72">
        <v>385</v>
      </c>
      <c r="AB385" s="72"/>
      <c r="AC385" s="73"/>
      <c r="AD385" s="80" t="s">
        <v>1942</v>
      </c>
      <c r="AE385" s="80"/>
      <c r="AF385" s="80"/>
      <c r="AG385" s="80"/>
      <c r="AH385" s="80"/>
      <c r="AI385" s="80"/>
      <c r="AJ385" s="87">
        <v>42897.49353009259</v>
      </c>
      <c r="AK385" s="85" t="str">
        <f>HYPERLINK("https://yt3.ggpht.com/T5_xWSNxnj7IqXydUacDVpwManZTnMgS91oTLM-qr9z5TMVDHgnRll5eDBznKA1lzfbSrlYx=s88-c-k-c0x00ffffff-no-rj")</f>
        <v>https://yt3.ggpht.com/T5_xWSNxnj7IqXydUacDVpwManZTnMgS91oTLM-qr9z5TMVDHgnRll5eDBznKA1lzfbSrlYx=s88-c-k-c0x00ffffff-no-rj</v>
      </c>
      <c r="AL385" s="80">
        <v>74878</v>
      </c>
      <c r="AM385" s="80">
        <v>0</v>
      </c>
      <c r="AN385" s="80">
        <v>437</v>
      </c>
      <c r="AO385" s="80" t="b">
        <v>0</v>
      </c>
      <c r="AP385" s="80">
        <v>12</v>
      </c>
      <c r="AQ385" s="80"/>
      <c r="AR385" s="80"/>
      <c r="AS385" s="80" t="s">
        <v>2664</v>
      </c>
      <c r="AT385" s="85" t="str">
        <f>HYPERLINK("https://www.youtube.com/channel/UCKO5JUTajV6ph3DvS6yRSag")</f>
        <v>https://www.youtube.com/channel/UCKO5JUTajV6ph3DvS6yRSag</v>
      </c>
      <c r="AU385" s="80" t="str">
        <f>REPLACE(INDEX(GroupVertices[Group],MATCH(Vertices[[#This Row],[Vertex]],GroupVertices[Vertex],0)),1,1,"")</f>
        <v>1</v>
      </c>
      <c r="AV385" s="49">
        <v>0</v>
      </c>
      <c r="AW385" s="50">
        <v>0</v>
      </c>
      <c r="AX385" s="49">
        <v>7</v>
      </c>
      <c r="AY385" s="50">
        <v>9.090909090909092</v>
      </c>
      <c r="AZ385" s="49">
        <v>0</v>
      </c>
      <c r="BA385" s="50">
        <v>0</v>
      </c>
      <c r="BB385" s="49">
        <v>70</v>
      </c>
      <c r="BC385" s="50">
        <v>90.9090909090909</v>
      </c>
      <c r="BD385" s="49">
        <v>77</v>
      </c>
      <c r="BE385" s="49"/>
      <c r="BF385" s="49"/>
      <c r="BG385" s="49"/>
      <c r="BH385" s="49"/>
      <c r="BI385" s="49"/>
      <c r="BJ385" s="49"/>
      <c r="BK385" s="111" t="s">
        <v>3964</v>
      </c>
      <c r="BL385" s="111" t="s">
        <v>3964</v>
      </c>
      <c r="BM385" s="111" t="s">
        <v>4428</v>
      </c>
      <c r="BN385" s="111" t="s">
        <v>4428</v>
      </c>
      <c r="BO385" s="2"/>
      <c r="BP385" s="3"/>
      <c r="BQ385" s="3"/>
      <c r="BR385" s="3"/>
      <c r="BS385" s="3"/>
    </row>
    <row r="386" spans="1:71" ht="15">
      <c r="A386" s="65" t="s">
        <v>585</v>
      </c>
      <c r="B386" s="66"/>
      <c r="C386" s="66"/>
      <c r="D386" s="67">
        <v>150</v>
      </c>
      <c r="E386" s="69"/>
      <c r="F386" s="103" t="str">
        <f>HYPERLINK("https://yt3.ggpht.com/ytc/AAUvwnjgbmt2fuDs-YnMhIBXE7iu5rbiqABGGCaObpVJ=s88-c-k-c0x00ffffff-no-rj")</f>
        <v>https://yt3.ggpht.com/ytc/AAUvwnjgbmt2fuDs-YnMhIBXE7iu5rbiqABGGCaObpVJ=s88-c-k-c0x00ffffff-no-rj</v>
      </c>
      <c r="G386" s="66"/>
      <c r="H386" s="70" t="s">
        <v>1944</v>
      </c>
      <c r="I386" s="71"/>
      <c r="J386" s="71" t="s">
        <v>159</v>
      </c>
      <c r="K386" s="70" t="s">
        <v>1944</v>
      </c>
      <c r="L386" s="74">
        <v>1</v>
      </c>
      <c r="M386" s="75">
        <v>1261.4244384765625</v>
      </c>
      <c r="N386" s="75">
        <v>6334.18115234375</v>
      </c>
      <c r="O386" s="76"/>
      <c r="P386" s="77"/>
      <c r="Q386" s="77"/>
      <c r="R386" s="89"/>
      <c r="S386" s="49">
        <v>0</v>
      </c>
      <c r="T386" s="49">
        <v>1</v>
      </c>
      <c r="U386" s="50">
        <v>0</v>
      </c>
      <c r="V386" s="50">
        <v>0.002801</v>
      </c>
      <c r="W386" s="50">
        <v>0.008244</v>
      </c>
      <c r="X386" s="50">
        <v>0.512495</v>
      </c>
      <c r="Y386" s="50">
        <v>0</v>
      </c>
      <c r="Z386" s="50">
        <v>0</v>
      </c>
      <c r="AA386" s="72">
        <v>386</v>
      </c>
      <c r="AB386" s="72"/>
      <c r="AC386" s="73"/>
      <c r="AD386" s="80" t="s">
        <v>1944</v>
      </c>
      <c r="AE386" s="80" t="s">
        <v>2544</v>
      </c>
      <c r="AF386" s="80"/>
      <c r="AG386" s="80"/>
      <c r="AH386" s="80"/>
      <c r="AI386" s="80"/>
      <c r="AJ386" s="87">
        <v>43572.52408564815</v>
      </c>
      <c r="AK386" s="85" t="str">
        <f>HYPERLINK("https://yt3.ggpht.com/ytc/AAUvwnjgbmt2fuDs-YnMhIBXE7iu5rbiqABGGCaObpVJ=s88-c-k-c0x00ffffff-no-rj")</f>
        <v>https://yt3.ggpht.com/ytc/AAUvwnjgbmt2fuDs-YnMhIBXE7iu5rbiqABGGCaObpVJ=s88-c-k-c0x00ffffff-no-rj</v>
      </c>
      <c r="AL386" s="80">
        <v>9756</v>
      </c>
      <c r="AM386" s="80">
        <v>0</v>
      </c>
      <c r="AN386" s="80">
        <v>288</v>
      </c>
      <c r="AO386" s="80" t="b">
        <v>0</v>
      </c>
      <c r="AP386" s="80">
        <v>208</v>
      </c>
      <c r="AQ386" s="80"/>
      <c r="AR386" s="80"/>
      <c r="AS386" s="80" t="s">
        <v>2664</v>
      </c>
      <c r="AT386" s="85" t="str">
        <f>HYPERLINK("https://www.youtube.com/channel/UC3VECJj2CCuhHZcIi79xsPw")</f>
        <v>https://www.youtube.com/channel/UC3VECJj2CCuhHZcIi79xsPw</v>
      </c>
      <c r="AU386" s="80" t="str">
        <f>REPLACE(INDEX(GroupVertices[Group],MATCH(Vertices[[#This Row],[Vertex]],GroupVertices[Vertex],0)),1,1,"")</f>
        <v>1</v>
      </c>
      <c r="AV386" s="49">
        <v>0</v>
      </c>
      <c r="AW386" s="50">
        <v>0</v>
      </c>
      <c r="AX386" s="49">
        <v>0</v>
      </c>
      <c r="AY386" s="50">
        <v>0</v>
      </c>
      <c r="AZ386" s="49">
        <v>0</v>
      </c>
      <c r="BA386" s="50">
        <v>0</v>
      </c>
      <c r="BB386" s="49">
        <v>6</v>
      </c>
      <c r="BC386" s="50">
        <v>100</v>
      </c>
      <c r="BD386" s="49">
        <v>6</v>
      </c>
      <c r="BE386" s="49"/>
      <c r="BF386" s="49"/>
      <c r="BG386" s="49"/>
      <c r="BH386" s="49"/>
      <c r="BI386" s="49"/>
      <c r="BJ386" s="49"/>
      <c r="BK386" s="111" t="s">
        <v>3098</v>
      </c>
      <c r="BL386" s="111" t="s">
        <v>3098</v>
      </c>
      <c r="BM386" s="111" t="s">
        <v>2390</v>
      </c>
      <c r="BN386" s="111" t="s">
        <v>2390</v>
      </c>
      <c r="BO386" s="2"/>
      <c r="BP386" s="3"/>
      <c r="BQ386" s="3"/>
      <c r="BR386" s="3"/>
      <c r="BS386" s="3"/>
    </row>
    <row r="387" spans="1:71" ht="15">
      <c r="A387" s="65" t="s">
        <v>586</v>
      </c>
      <c r="B387" s="66"/>
      <c r="C387" s="66"/>
      <c r="D387" s="67">
        <v>150</v>
      </c>
      <c r="E387" s="69"/>
      <c r="F387" s="103" t="str">
        <f>HYPERLINK("https://yt3.ggpht.com/ytc/AAUvwngeZclBlL8CBEvbQm7zKSSYwI6XN7PyfswcNl1Owg=s88-c-k-c0x00ffffff-no-rj")</f>
        <v>https://yt3.ggpht.com/ytc/AAUvwngeZclBlL8CBEvbQm7zKSSYwI6XN7PyfswcNl1Owg=s88-c-k-c0x00ffffff-no-rj</v>
      </c>
      <c r="G387" s="66"/>
      <c r="H387" s="70" t="s">
        <v>1945</v>
      </c>
      <c r="I387" s="71"/>
      <c r="J387" s="71" t="s">
        <v>159</v>
      </c>
      <c r="K387" s="70" t="s">
        <v>1945</v>
      </c>
      <c r="L387" s="74">
        <v>1</v>
      </c>
      <c r="M387" s="75">
        <v>1418.7874755859375</v>
      </c>
      <c r="N387" s="75">
        <v>7379.01611328125</v>
      </c>
      <c r="O387" s="76"/>
      <c r="P387" s="77"/>
      <c r="Q387" s="77"/>
      <c r="R387" s="89"/>
      <c r="S387" s="49">
        <v>0</v>
      </c>
      <c r="T387" s="49">
        <v>1</v>
      </c>
      <c r="U387" s="50">
        <v>0</v>
      </c>
      <c r="V387" s="50">
        <v>0.002801</v>
      </c>
      <c r="W387" s="50">
        <v>0.008244</v>
      </c>
      <c r="X387" s="50">
        <v>0.512495</v>
      </c>
      <c r="Y387" s="50">
        <v>0</v>
      </c>
      <c r="Z387" s="50">
        <v>0</v>
      </c>
      <c r="AA387" s="72">
        <v>387</v>
      </c>
      <c r="AB387" s="72"/>
      <c r="AC387" s="73"/>
      <c r="AD387" s="80" t="s">
        <v>1945</v>
      </c>
      <c r="AE387" s="80"/>
      <c r="AF387" s="80"/>
      <c r="AG387" s="80"/>
      <c r="AH387" s="80"/>
      <c r="AI387" s="80"/>
      <c r="AJ387" s="87">
        <v>42894.43515046296</v>
      </c>
      <c r="AK387" s="85" t="str">
        <f>HYPERLINK("https://yt3.ggpht.com/ytc/AAUvwngeZclBlL8CBEvbQm7zKSSYwI6XN7PyfswcNl1Owg=s88-c-k-c0x00ffffff-no-rj")</f>
        <v>https://yt3.ggpht.com/ytc/AAUvwngeZclBlL8CBEvbQm7zKSSYwI6XN7PyfswcNl1Owg=s88-c-k-c0x00ffffff-no-rj</v>
      </c>
      <c r="AL387" s="80">
        <v>0</v>
      </c>
      <c r="AM387" s="80">
        <v>0</v>
      </c>
      <c r="AN387" s="80">
        <v>0</v>
      </c>
      <c r="AO387" s="80" t="b">
        <v>0</v>
      </c>
      <c r="AP387" s="80">
        <v>0</v>
      </c>
      <c r="AQ387" s="80"/>
      <c r="AR387" s="80"/>
      <c r="AS387" s="80" t="s">
        <v>2664</v>
      </c>
      <c r="AT387" s="85" t="str">
        <f>HYPERLINK("https://www.youtube.com/channel/UCLSO99JZmrEMmSzPlBL4heg")</f>
        <v>https://www.youtube.com/channel/UCLSO99JZmrEMmSzPlBL4heg</v>
      </c>
      <c r="AU387" s="80" t="str">
        <f>REPLACE(INDEX(GroupVertices[Group],MATCH(Vertices[[#This Row],[Vertex]],GroupVertices[Vertex],0)),1,1,"")</f>
        <v>1</v>
      </c>
      <c r="AV387" s="49">
        <v>0</v>
      </c>
      <c r="AW387" s="50">
        <v>0</v>
      </c>
      <c r="AX387" s="49">
        <v>0</v>
      </c>
      <c r="AY387" s="50">
        <v>0</v>
      </c>
      <c r="AZ387" s="49">
        <v>0</v>
      </c>
      <c r="BA387" s="50">
        <v>0</v>
      </c>
      <c r="BB387" s="49">
        <v>1</v>
      </c>
      <c r="BC387" s="50">
        <v>100</v>
      </c>
      <c r="BD387" s="49">
        <v>1</v>
      </c>
      <c r="BE387" s="49"/>
      <c r="BF387" s="49"/>
      <c r="BG387" s="49"/>
      <c r="BH387" s="49"/>
      <c r="BI387" s="49"/>
      <c r="BJ387" s="49"/>
      <c r="BK387" s="111" t="s">
        <v>1295</v>
      </c>
      <c r="BL387" s="111" t="s">
        <v>1295</v>
      </c>
      <c r="BM387" s="111" t="s">
        <v>2390</v>
      </c>
      <c r="BN387" s="111" t="s">
        <v>2390</v>
      </c>
      <c r="BO387" s="2"/>
      <c r="BP387" s="3"/>
      <c r="BQ387" s="3"/>
      <c r="BR387" s="3"/>
      <c r="BS387" s="3"/>
    </row>
    <row r="388" spans="1:71" ht="15">
      <c r="A388" s="65" t="s">
        <v>587</v>
      </c>
      <c r="B388" s="66"/>
      <c r="C388" s="66"/>
      <c r="D388" s="67">
        <v>150</v>
      </c>
      <c r="E388" s="69"/>
      <c r="F388" s="103" t="str">
        <f>HYPERLINK("https://yt3.ggpht.com/ytc/AAUvwngWz5Fsmq8lp9mzxJGALYTgZzv-tsJA0YaSo20fpQ=s88-c-k-c0x00ffffff-no-rj")</f>
        <v>https://yt3.ggpht.com/ytc/AAUvwngWz5Fsmq8lp9mzxJGALYTgZzv-tsJA0YaSo20fpQ=s88-c-k-c0x00ffffff-no-rj</v>
      </c>
      <c r="G388" s="66"/>
      <c r="H388" s="70" t="s">
        <v>1946</v>
      </c>
      <c r="I388" s="71"/>
      <c r="J388" s="71" t="s">
        <v>159</v>
      </c>
      <c r="K388" s="70" t="s">
        <v>1946</v>
      </c>
      <c r="L388" s="74">
        <v>1</v>
      </c>
      <c r="M388" s="75">
        <v>1066.3897705078125</v>
      </c>
      <c r="N388" s="75">
        <v>6658.0419921875</v>
      </c>
      <c r="O388" s="76"/>
      <c r="P388" s="77"/>
      <c r="Q388" s="77"/>
      <c r="R388" s="89"/>
      <c r="S388" s="49">
        <v>0</v>
      </c>
      <c r="T388" s="49">
        <v>1</v>
      </c>
      <c r="U388" s="50">
        <v>0</v>
      </c>
      <c r="V388" s="50">
        <v>0.002801</v>
      </c>
      <c r="W388" s="50">
        <v>0.008244</v>
      </c>
      <c r="X388" s="50">
        <v>0.512495</v>
      </c>
      <c r="Y388" s="50">
        <v>0</v>
      </c>
      <c r="Z388" s="50">
        <v>0</v>
      </c>
      <c r="AA388" s="72">
        <v>388</v>
      </c>
      <c r="AB388" s="72"/>
      <c r="AC388" s="73"/>
      <c r="AD388" s="80" t="s">
        <v>1946</v>
      </c>
      <c r="AE388" s="80" t="s">
        <v>2545</v>
      </c>
      <c r="AF388" s="80"/>
      <c r="AG388" s="80"/>
      <c r="AH388" s="80"/>
      <c r="AI388" s="80"/>
      <c r="AJ388" s="87">
        <v>43869.872037037036</v>
      </c>
      <c r="AK388" s="85" t="str">
        <f>HYPERLINK("https://yt3.ggpht.com/ytc/AAUvwngWz5Fsmq8lp9mzxJGALYTgZzv-tsJA0YaSo20fpQ=s88-c-k-c0x00ffffff-no-rj")</f>
        <v>https://yt3.ggpht.com/ytc/AAUvwngWz5Fsmq8lp9mzxJGALYTgZzv-tsJA0YaSo20fpQ=s88-c-k-c0x00ffffff-no-rj</v>
      </c>
      <c r="AL388" s="80">
        <v>39</v>
      </c>
      <c r="AM388" s="80">
        <v>0</v>
      </c>
      <c r="AN388" s="80">
        <v>8</v>
      </c>
      <c r="AO388" s="80" t="b">
        <v>0</v>
      </c>
      <c r="AP388" s="80">
        <v>1</v>
      </c>
      <c r="AQ388" s="80"/>
      <c r="AR388" s="80"/>
      <c r="AS388" s="80" t="s">
        <v>2664</v>
      </c>
      <c r="AT388" s="85" t="str">
        <f>HYPERLINK("https://www.youtube.com/channel/UCT4Has8DrnrEjD8HNlzmlWA")</f>
        <v>https://www.youtube.com/channel/UCT4Has8DrnrEjD8HNlzmlWA</v>
      </c>
      <c r="AU388" s="80" t="str">
        <f>REPLACE(INDEX(GroupVertices[Group],MATCH(Vertices[[#This Row],[Vertex]],GroupVertices[Vertex],0)),1,1,"")</f>
        <v>1</v>
      </c>
      <c r="AV388" s="49">
        <v>0</v>
      </c>
      <c r="AW388" s="50">
        <v>0</v>
      </c>
      <c r="AX388" s="49">
        <v>1</v>
      </c>
      <c r="AY388" s="50">
        <v>8.333333333333334</v>
      </c>
      <c r="AZ388" s="49">
        <v>0</v>
      </c>
      <c r="BA388" s="50">
        <v>0</v>
      </c>
      <c r="BB388" s="49">
        <v>11</v>
      </c>
      <c r="BC388" s="50">
        <v>91.66666666666667</v>
      </c>
      <c r="BD388" s="49">
        <v>12</v>
      </c>
      <c r="BE388" s="49"/>
      <c r="BF388" s="49"/>
      <c r="BG388" s="49"/>
      <c r="BH388" s="49"/>
      <c r="BI388" s="49"/>
      <c r="BJ388" s="49"/>
      <c r="BK388" s="111" t="s">
        <v>3965</v>
      </c>
      <c r="BL388" s="111" t="s">
        <v>3965</v>
      </c>
      <c r="BM388" s="111" t="s">
        <v>4429</v>
      </c>
      <c r="BN388" s="111" t="s">
        <v>4429</v>
      </c>
      <c r="BO388" s="2"/>
      <c r="BP388" s="3"/>
      <c r="BQ388" s="3"/>
      <c r="BR388" s="3"/>
      <c r="BS388" s="3"/>
    </row>
    <row r="389" spans="1:71" ht="15">
      <c r="A389" s="65" t="s">
        <v>588</v>
      </c>
      <c r="B389" s="66"/>
      <c r="C389" s="66"/>
      <c r="D389" s="67">
        <v>291.66666666666663</v>
      </c>
      <c r="E389" s="69"/>
      <c r="F389" s="103" t="str">
        <f>HYPERLINK("https://yt3.ggpht.com/ytc/AAUvwni8iuzGCQwBw40RaU2XSRZsIfEdNoODxHFQE29iM04=s88-c-k-c0x00ffffff-no-rj")</f>
        <v>https://yt3.ggpht.com/ytc/AAUvwni8iuzGCQwBw40RaU2XSRZsIfEdNoODxHFQE29iM04=s88-c-k-c0x00ffffff-no-rj</v>
      </c>
      <c r="G389" s="66"/>
      <c r="H389" s="70" t="s">
        <v>1947</v>
      </c>
      <c r="I389" s="71"/>
      <c r="J389" s="71" t="s">
        <v>159</v>
      </c>
      <c r="K389" s="70" t="s">
        <v>1947</v>
      </c>
      <c r="L389" s="74">
        <v>96.21904761904761</v>
      </c>
      <c r="M389" s="75">
        <v>2221.683837890625</v>
      </c>
      <c r="N389" s="75">
        <v>5822.74951171875</v>
      </c>
      <c r="O389" s="76"/>
      <c r="P389" s="77"/>
      <c r="Q389" s="77"/>
      <c r="R389" s="89"/>
      <c r="S389" s="49">
        <v>1</v>
      </c>
      <c r="T389" s="49">
        <v>1</v>
      </c>
      <c r="U389" s="50">
        <v>99.833333</v>
      </c>
      <c r="V389" s="50">
        <v>0.002817</v>
      </c>
      <c r="W389" s="50">
        <v>0.008464</v>
      </c>
      <c r="X389" s="50">
        <v>0.861501</v>
      </c>
      <c r="Y389" s="50">
        <v>0</v>
      </c>
      <c r="Z389" s="50">
        <v>0</v>
      </c>
      <c r="AA389" s="72">
        <v>389</v>
      </c>
      <c r="AB389" s="72"/>
      <c r="AC389" s="73"/>
      <c r="AD389" s="80" t="s">
        <v>1947</v>
      </c>
      <c r="AE389" s="80"/>
      <c r="AF389" s="80"/>
      <c r="AG389" s="80"/>
      <c r="AH389" s="80"/>
      <c r="AI389" s="80"/>
      <c r="AJ389" s="87">
        <v>43190.44263888889</v>
      </c>
      <c r="AK389" s="85" t="str">
        <f>HYPERLINK("https://yt3.ggpht.com/ytc/AAUvwni8iuzGCQwBw40RaU2XSRZsIfEdNoODxHFQE29iM04=s88-c-k-c0x00ffffff-no-rj")</f>
        <v>https://yt3.ggpht.com/ytc/AAUvwni8iuzGCQwBw40RaU2XSRZsIfEdNoODxHFQE29iM04=s88-c-k-c0x00ffffff-no-rj</v>
      </c>
      <c r="AL389" s="80">
        <v>0</v>
      </c>
      <c r="AM389" s="80">
        <v>0</v>
      </c>
      <c r="AN389" s="80">
        <v>1</v>
      </c>
      <c r="AO389" s="80" t="b">
        <v>0</v>
      </c>
      <c r="AP389" s="80">
        <v>0</v>
      </c>
      <c r="AQ389" s="80"/>
      <c r="AR389" s="80"/>
      <c r="AS389" s="80" t="s">
        <v>2664</v>
      </c>
      <c r="AT389" s="85" t="str">
        <f>HYPERLINK("https://www.youtube.com/channel/UCRkIO_Ye5iBesX8EKHcw3SA")</f>
        <v>https://www.youtube.com/channel/UCRkIO_Ye5iBesX8EKHcw3SA</v>
      </c>
      <c r="AU389" s="80" t="str">
        <f>REPLACE(INDEX(GroupVertices[Group],MATCH(Vertices[[#This Row],[Vertex]],GroupVertices[Vertex],0)),1,1,"")</f>
        <v>1</v>
      </c>
      <c r="AV389" s="49">
        <v>0</v>
      </c>
      <c r="AW389" s="50">
        <v>0</v>
      </c>
      <c r="AX389" s="49">
        <v>1</v>
      </c>
      <c r="AY389" s="50">
        <v>25</v>
      </c>
      <c r="AZ389" s="49">
        <v>0</v>
      </c>
      <c r="BA389" s="50">
        <v>0</v>
      </c>
      <c r="BB389" s="49">
        <v>3</v>
      </c>
      <c r="BC389" s="50">
        <v>75</v>
      </c>
      <c r="BD389" s="49">
        <v>4</v>
      </c>
      <c r="BE389" s="49"/>
      <c r="BF389" s="49"/>
      <c r="BG389" s="49"/>
      <c r="BH389" s="49"/>
      <c r="BI389" s="49"/>
      <c r="BJ389" s="49"/>
      <c r="BK389" s="111" t="s">
        <v>3966</v>
      </c>
      <c r="BL389" s="111" t="s">
        <v>3966</v>
      </c>
      <c r="BM389" s="111" t="s">
        <v>4430</v>
      </c>
      <c r="BN389" s="111" t="s">
        <v>4430</v>
      </c>
      <c r="BO389" s="2"/>
      <c r="BP389" s="3"/>
      <c r="BQ389" s="3"/>
      <c r="BR389" s="3"/>
      <c r="BS389" s="3"/>
    </row>
    <row r="390" spans="1:71" ht="15">
      <c r="A390" s="65" t="s">
        <v>589</v>
      </c>
      <c r="B390" s="66"/>
      <c r="C390" s="66"/>
      <c r="D390" s="67">
        <v>150</v>
      </c>
      <c r="E390" s="69"/>
      <c r="F390" s="103" t="str">
        <f>HYPERLINK("https://yt3.ggpht.com/ytc/AAUvwngU0ydf9tdwcqj8Z2AOj_HtAYoG9T11hxDwj3qseg=s88-c-k-c0x00ffffff-no-rj")</f>
        <v>https://yt3.ggpht.com/ytc/AAUvwngU0ydf9tdwcqj8Z2AOj_HtAYoG9T11hxDwj3qseg=s88-c-k-c0x00ffffff-no-rj</v>
      </c>
      <c r="G390" s="66"/>
      <c r="H390" s="70" t="s">
        <v>1948</v>
      </c>
      <c r="I390" s="71"/>
      <c r="J390" s="71" t="s">
        <v>159</v>
      </c>
      <c r="K390" s="70" t="s">
        <v>1948</v>
      </c>
      <c r="L390" s="74">
        <v>1</v>
      </c>
      <c r="M390" s="75">
        <v>1511.7049560546875</v>
      </c>
      <c r="N390" s="75">
        <v>7017.5078125</v>
      </c>
      <c r="O390" s="76"/>
      <c r="P390" s="77"/>
      <c r="Q390" s="77"/>
      <c r="R390" s="89"/>
      <c r="S390" s="49">
        <v>0</v>
      </c>
      <c r="T390" s="49">
        <v>1</v>
      </c>
      <c r="U390" s="50">
        <v>0</v>
      </c>
      <c r="V390" s="50">
        <v>0.002801</v>
      </c>
      <c r="W390" s="50">
        <v>0.008244</v>
      </c>
      <c r="X390" s="50">
        <v>0.512495</v>
      </c>
      <c r="Y390" s="50">
        <v>0</v>
      </c>
      <c r="Z390" s="50">
        <v>0</v>
      </c>
      <c r="AA390" s="72">
        <v>390</v>
      </c>
      <c r="AB390" s="72"/>
      <c r="AC390" s="73"/>
      <c r="AD390" s="80" t="s">
        <v>1948</v>
      </c>
      <c r="AE390" s="80"/>
      <c r="AF390" s="80"/>
      <c r="AG390" s="80"/>
      <c r="AH390" s="80"/>
      <c r="AI390" s="80" t="s">
        <v>1948</v>
      </c>
      <c r="AJ390" s="87">
        <v>41964.86980324074</v>
      </c>
      <c r="AK390" s="85" t="str">
        <f>HYPERLINK("https://yt3.ggpht.com/ytc/AAUvwngU0ydf9tdwcqj8Z2AOj_HtAYoG9T11hxDwj3qseg=s88-c-k-c0x00ffffff-no-rj")</f>
        <v>https://yt3.ggpht.com/ytc/AAUvwngU0ydf9tdwcqj8Z2AOj_HtAYoG9T11hxDwj3qseg=s88-c-k-c0x00ffffff-no-rj</v>
      </c>
      <c r="AL390" s="80">
        <v>0</v>
      </c>
      <c r="AM390" s="80">
        <v>0</v>
      </c>
      <c r="AN390" s="80">
        <v>164</v>
      </c>
      <c r="AO390" s="80" t="b">
        <v>0</v>
      </c>
      <c r="AP390" s="80">
        <v>0</v>
      </c>
      <c r="AQ390" s="80"/>
      <c r="AR390" s="80"/>
      <c r="AS390" s="80" t="s">
        <v>2664</v>
      </c>
      <c r="AT390" s="85" t="str">
        <f>HYPERLINK("https://www.youtube.com/channel/UC6PDbgG-8UPGLNw5d9dTKXw")</f>
        <v>https://www.youtube.com/channel/UC6PDbgG-8UPGLNw5d9dTKXw</v>
      </c>
      <c r="AU390" s="80" t="str">
        <f>REPLACE(INDEX(GroupVertices[Group],MATCH(Vertices[[#This Row],[Vertex]],GroupVertices[Vertex],0)),1,1,"")</f>
        <v>1</v>
      </c>
      <c r="AV390" s="49">
        <v>1</v>
      </c>
      <c r="AW390" s="50">
        <v>50</v>
      </c>
      <c r="AX390" s="49">
        <v>0</v>
      </c>
      <c r="AY390" s="50">
        <v>0</v>
      </c>
      <c r="AZ390" s="49">
        <v>0</v>
      </c>
      <c r="BA390" s="50">
        <v>0</v>
      </c>
      <c r="BB390" s="49">
        <v>1</v>
      </c>
      <c r="BC390" s="50">
        <v>50</v>
      </c>
      <c r="BD390" s="49">
        <v>2</v>
      </c>
      <c r="BE390" s="49"/>
      <c r="BF390" s="49"/>
      <c r="BG390" s="49"/>
      <c r="BH390" s="49"/>
      <c r="BI390" s="49"/>
      <c r="BJ390" s="49"/>
      <c r="BK390" s="111" t="s">
        <v>2390</v>
      </c>
      <c r="BL390" s="111" t="s">
        <v>2390</v>
      </c>
      <c r="BM390" s="111" t="s">
        <v>2390</v>
      </c>
      <c r="BN390" s="111" t="s">
        <v>2390</v>
      </c>
      <c r="BO390" s="2"/>
      <c r="BP390" s="3"/>
      <c r="BQ390" s="3"/>
      <c r="BR390" s="3"/>
      <c r="BS390" s="3"/>
    </row>
    <row r="391" spans="1:71" ht="15">
      <c r="A391" s="65" t="s">
        <v>590</v>
      </c>
      <c r="B391" s="66"/>
      <c r="C391" s="66"/>
      <c r="D391" s="67">
        <v>291.66666666666663</v>
      </c>
      <c r="E391" s="69"/>
      <c r="F391" s="103" t="str">
        <f>HYPERLINK("https://yt3.ggpht.com/ytc/AAUvwnjRF3qy-a_kbUVKj5nB672cy0vca0jnLLtuLJjdTg=s88-c-k-c0x00ffffff-no-rj")</f>
        <v>https://yt3.ggpht.com/ytc/AAUvwnjRF3qy-a_kbUVKj5nB672cy0vca0jnLLtuLJjdTg=s88-c-k-c0x00ffffff-no-rj</v>
      </c>
      <c r="G391" s="66"/>
      <c r="H391" s="70" t="s">
        <v>1949</v>
      </c>
      <c r="I391" s="71"/>
      <c r="J391" s="71" t="s">
        <v>159</v>
      </c>
      <c r="K391" s="70" t="s">
        <v>1949</v>
      </c>
      <c r="L391" s="74">
        <v>96.21904761904761</v>
      </c>
      <c r="M391" s="75">
        <v>1837.3941650390625</v>
      </c>
      <c r="N391" s="75">
        <v>5554.19384765625</v>
      </c>
      <c r="O391" s="76"/>
      <c r="P391" s="77"/>
      <c r="Q391" s="77"/>
      <c r="R391" s="89"/>
      <c r="S391" s="49">
        <v>1</v>
      </c>
      <c r="T391" s="49">
        <v>1</v>
      </c>
      <c r="U391" s="50">
        <v>150.333333</v>
      </c>
      <c r="V391" s="50">
        <v>0.002817</v>
      </c>
      <c r="W391" s="50">
        <v>0.00839</v>
      </c>
      <c r="X391" s="50">
        <v>0.88456</v>
      </c>
      <c r="Y391" s="50">
        <v>0</v>
      </c>
      <c r="Z391" s="50">
        <v>0</v>
      </c>
      <c r="AA391" s="72">
        <v>391</v>
      </c>
      <c r="AB391" s="72"/>
      <c r="AC391" s="73"/>
      <c r="AD391" s="80" t="s">
        <v>1949</v>
      </c>
      <c r="AE391" s="80"/>
      <c r="AF391" s="80"/>
      <c r="AG391" s="80"/>
      <c r="AH391" s="80"/>
      <c r="AI391" s="80"/>
      <c r="AJ391" s="87">
        <v>42658.533784722225</v>
      </c>
      <c r="AK391" s="85" t="str">
        <f>HYPERLINK("https://yt3.ggpht.com/ytc/AAUvwnjRF3qy-a_kbUVKj5nB672cy0vca0jnLLtuLJjdTg=s88-c-k-c0x00ffffff-no-rj")</f>
        <v>https://yt3.ggpht.com/ytc/AAUvwnjRF3qy-a_kbUVKj5nB672cy0vca0jnLLtuLJjdTg=s88-c-k-c0x00ffffff-no-rj</v>
      </c>
      <c r="AL391" s="80">
        <v>0</v>
      </c>
      <c r="AM391" s="80">
        <v>0</v>
      </c>
      <c r="AN391" s="80">
        <v>9</v>
      </c>
      <c r="AO391" s="80" t="b">
        <v>0</v>
      </c>
      <c r="AP391" s="80">
        <v>0</v>
      </c>
      <c r="AQ391" s="80"/>
      <c r="AR391" s="80"/>
      <c r="AS391" s="80" t="s">
        <v>2664</v>
      </c>
      <c r="AT391" s="85" t="str">
        <f>HYPERLINK("https://www.youtube.com/channel/UCyIRJt5VxYvCitMWCWeKrSw")</f>
        <v>https://www.youtube.com/channel/UCyIRJt5VxYvCitMWCWeKrSw</v>
      </c>
      <c r="AU391" s="80" t="str">
        <f>REPLACE(INDEX(GroupVertices[Group],MATCH(Vertices[[#This Row],[Vertex]],GroupVertices[Vertex],0)),1,1,"")</f>
        <v>1</v>
      </c>
      <c r="AV391" s="49">
        <v>0</v>
      </c>
      <c r="AW391" s="50">
        <v>0</v>
      </c>
      <c r="AX391" s="49">
        <v>1</v>
      </c>
      <c r="AY391" s="50">
        <v>4.3478260869565215</v>
      </c>
      <c r="AZ391" s="49">
        <v>0</v>
      </c>
      <c r="BA391" s="50">
        <v>0</v>
      </c>
      <c r="BB391" s="49">
        <v>22</v>
      </c>
      <c r="BC391" s="50">
        <v>95.65217391304348</v>
      </c>
      <c r="BD391" s="49">
        <v>23</v>
      </c>
      <c r="BE391" s="49"/>
      <c r="BF391" s="49"/>
      <c r="BG391" s="49"/>
      <c r="BH391" s="49"/>
      <c r="BI391" s="49"/>
      <c r="BJ391" s="49"/>
      <c r="BK391" s="111" t="s">
        <v>3967</v>
      </c>
      <c r="BL391" s="111" t="s">
        <v>3967</v>
      </c>
      <c r="BM391" s="111" t="s">
        <v>4431</v>
      </c>
      <c r="BN391" s="111" t="s">
        <v>4431</v>
      </c>
      <c r="BO391" s="2"/>
      <c r="BP391" s="3"/>
      <c r="BQ391" s="3"/>
      <c r="BR391" s="3"/>
      <c r="BS391" s="3"/>
    </row>
    <row r="392" spans="1:71" ht="15">
      <c r="A392" s="65" t="s">
        <v>591</v>
      </c>
      <c r="B392" s="66"/>
      <c r="C392" s="66"/>
      <c r="D392" s="67">
        <v>150</v>
      </c>
      <c r="E392" s="69"/>
      <c r="F392" s="103" t="str">
        <f>HYPERLINK("https://yt3.ggpht.com/ytc/AAUvwnjvd2G3IYoVRHVRU3X1O4MZ1y0kexyCctmi9QQJKQ=s88-c-k-c0x00ffffff-no-rj")</f>
        <v>https://yt3.ggpht.com/ytc/AAUvwnjvd2G3IYoVRHVRU3X1O4MZ1y0kexyCctmi9QQJKQ=s88-c-k-c0x00ffffff-no-rj</v>
      </c>
      <c r="G392" s="66"/>
      <c r="H392" s="70" t="s">
        <v>1950</v>
      </c>
      <c r="I392" s="71"/>
      <c r="J392" s="71" t="s">
        <v>159</v>
      </c>
      <c r="K392" s="70" t="s">
        <v>1950</v>
      </c>
      <c r="L392" s="74">
        <v>1</v>
      </c>
      <c r="M392" s="75">
        <v>697.3960571289062</v>
      </c>
      <c r="N392" s="75">
        <v>9212.58203125</v>
      </c>
      <c r="O392" s="76"/>
      <c r="P392" s="77"/>
      <c r="Q392" s="77"/>
      <c r="R392" s="89"/>
      <c r="S392" s="49">
        <v>0</v>
      </c>
      <c r="T392" s="49">
        <v>1</v>
      </c>
      <c r="U392" s="50">
        <v>0</v>
      </c>
      <c r="V392" s="50">
        <v>0.001969</v>
      </c>
      <c r="W392" s="50">
        <v>0.000772</v>
      </c>
      <c r="X392" s="50">
        <v>0.575828</v>
      </c>
      <c r="Y392" s="50">
        <v>0</v>
      </c>
      <c r="Z392" s="50">
        <v>0</v>
      </c>
      <c r="AA392" s="72">
        <v>392</v>
      </c>
      <c r="AB392" s="72"/>
      <c r="AC392" s="73"/>
      <c r="AD392" s="80" t="s">
        <v>1950</v>
      </c>
      <c r="AE392" s="80"/>
      <c r="AF392" s="80"/>
      <c r="AG392" s="80"/>
      <c r="AH392" s="80"/>
      <c r="AI392" s="80"/>
      <c r="AJ392" s="87">
        <v>42748.00162037037</v>
      </c>
      <c r="AK392" s="85" t="str">
        <f>HYPERLINK("https://yt3.ggpht.com/ytc/AAUvwnjvd2G3IYoVRHVRU3X1O4MZ1y0kexyCctmi9QQJKQ=s88-c-k-c0x00ffffff-no-rj")</f>
        <v>https://yt3.ggpht.com/ytc/AAUvwnjvd2G3IYoVRHVRU3X1O4MZ1y0kexyCctmi9QQJKQ=s88-c-k-c0x00ffffff-no-rj</v>
      </c>
      <c r="AL392" s="80">
        <v>0</v>
      </c>
      <c r="AM392" s="80">
        <v>0</v>
      </c>
      <c r="AN392" s="80">
        <v>0</v>
      </c>
      <c r="AO392" s="80" t="b">
        <v>0</v>
      </c>
      <c r="AP392" s="80">
        <v>0</v>
      </c>
      <c r="AQ392" s="80"/>
      <c r="AR392" s="80"/>
      <c r="AS392" s="80" t="s">
        <v>2664</v>
      </c>
      <c r="AT392" s="85" t="str">
        <f>HYPERLINK("https://www.youtube.com/channel/UCEx4zF9gKH647q_tg5zwGGA")</f>
        <v>https://www.youtube.com/channel/UCEx4zF9gKH647q_tg5zwGGA</v>
      </c>
      <c r="AU392" s="80" t="str">
        <f>REPLACE(INDEX(GroupVertices[Group],MATCH(Vertices[[#This Row],[Vertex]],GroupVertices[Vertex],0)),1,1,"")</f>
        <v>1</v>
      </c>
      <c r="AV392" s="49">
        <v>0</v>
      </c>
      <c r="AW392" s="50">
        <v>0</v>
      </c>
      <c r="AX392" s="49">
        <v>0</v>
      </c>
      <c r="AY392" s="50">
        <v>0</v>
      </c>
      <c r="AZ392" s="49">
        <v>0</v>
      </c>
      <c r="BA392" s="50">
        <v>0</v>
      </c>
      <c r="BB392" s="49">
        <v>2</v>
      </c>
      <c r="BC392" s="50">
        <v>100</v>
      </c>
      <c r="BD392" s="49">
        <v>2</v>
      </c>
      <c r="BE392" s="49"/>
      <c r="BF392" s="49"/>
      <c r="BG392" s="49"/>
      <c r="BH392" s="49"/>
      <c r="BI392" s="49"/>
      <c r="BJ392" s="49"/>
      <c r="BK392" s="111" t="s">
        <v>2390</v>
      </c>
      <c r="BL392" s="111" t="s">
        <v>2390</v>
      </c>
      <c r="BM392" s="111" t="s">
        <v>2390</v>
      </c>
      <c r="BN392" s="111" t="s">
        <v>2390</v>
      </c>
      <c r="BO392" s="2"/>
      <c r="BP392" s="3"/>
      <c r="BQ392" s="3"/>
      <c r="BR392" s="3"/>
      <c r="BS392" s="3"/>
    </row>
    <row r="393" spans="1:71" ht="15">
      <c r="A393" s="65" t="s">
        <v>592</v>
      </c>
      <c r="B393" s="66"/>
      <c r="C393" s="66"/>
      <c r="D393" s="67">
        <v>291.66666666666663</v>
      </c>
      <c r="E393" s="69"/>
      <c r="F393" s="103" t="str">
        <f>HYPERLINK("https://yt3.ggpht.com/ytc/AAUvwngHDdDzlJpDv_Nxa73YTYpVmq1SjOaP1SqteQ=s88-c-k-c0x00ffffff-no-rj")</f>
        <v>https://yt3.ggpht.com/ytc/AAUvwngHDdDzlJpDv_Nxa73YTYpVmq1SjOaP1SqteQ=s88-c-k-c0x00ffffff-no-rj</v>
      </c>
      <c r="G393" s="66"/>
      <c r="H393" s="70" t="s">
        <v>1951</v>
      </c>
      <c r="I393" s="71"/>
      <c r="J393" s="71" t="s">
        <v>159</v>
      </c>
      <c r="K393" s="70" t="s">
        <v>1951</v>
      </c>
      <c r="L393" s="74">
        <v>96.21904761904761</v>
      </c>
      <c r="M393" s="75">
        <v>1104.9644775390625</v>
      </c>
      <c r="N393" s="75">
        <v>8038.85205078125</v>
      </c>
      <c r="O393" s="76"/>
      <c r="P393" s="77"/>
      <c r="Q393" s="77"/>
      <c r="R393" s="89"/>
      <c r="S393" s="49">
        <v>1</v>
      </c>
      <c r="T393" s="49">
        <v>1</v>
      </c>
      <c r="U393" s="50">
        <v>306</v>
      </c>
      <c r="V393" s="50">
        <v>0.002817</v>
      </c>
      <c r="W393" s="50">
        <v>0.008315</v>
      </c>
      <c r="X393" s="50">
        <v>1.001948</v>
      </c>
      <c r="Y393" s="50">
        <v>0</v>
      </c>
      <c r="Z393" s="50">
        <v>0</v>
      </c>
      <c r="AA393" s="72">
        <v>393</v>
      </c>
      <c r="AB393" s="72"/>
      <c r="AC393" s="73"/>
      <c r="AD393" s="80" t="s">
        <v>1951</v>
      </c>
      <c r="AE393" s="80" t="s">
        <v>2546</v>
      </c>
      <c r="AF393" s="80"/>
      <c r="AG393" s="80"/>
      <c r="AH393" s="80"/>
      <c r="AI393" s="80"/>
      <c r="AJ393" s="87">
        <v>43752.355208333334</v>
      </c>
      <c r="AK393" s="85" t="str">
        <f>HYPERLINK("https://yt3.ggpht.com/ytc/AAUvwngHDdDzlJpDv_Nxa73YTYpVmq1SjOaP1SqteQ=s88-c-k-c0x00ffffff-no-rj")</f>
        <v>https://yt3.ggpht.com/ytc/AAUvwngHDdDzlJpDv_Nxa73YTYpVmq1SjOaP1SqteQ=s88-c-k-c0x00ffffff-no-rj</v>
      </c>
      <c r="AL393" s="80">
        <v>0</v>
      </c>
      <c r="AM393" s="80">
        <v>0</v>
      </c>
      <c r="AN393" s="80">
        <v>6</v>
      </c>
      <c r="AO393" s="80" t="b">
        <v>0</v>
      </c>
      <c r="AP393" s="80">
        <v>0</v>
      </c>
      <c r="AQ393" s="80"/>
      <c r="AR393" s="80"/>
      <c r="AS393" s="80" t="s">
        <v>2664</v>
      </c>
      <c r="AT393" s="85" t="str">
        <f>HYPERLINK("https://www.youtube.com/channel/UC9e6GKzdbAjeq53QQdphLYg")</f>
        <v>https://www.youtube.com/channel/UC9e6GKzdbAjeq53QQdphLYg</v>
      </c>
      <c r="AU393" s="80" t="str">
        <f>REPLACE(INDEX(GroupVertices[Group],MATCH(Vertices[[#This Row],[Vertex]],GroupVertices[Vertex],0)),1,1,"")</f>
        <v>1</v>
      </c>
      <c r="AV393" s="49">
        <v>0</v>
      </c>
      <c r="AW393" s="50">
        <v>0</v>
      </c>
      <c r="AX393" s="49">
        <v>0</v>
      </c>
      <c r="AY393" s="50">
        <v>0</v>
      </c>
      <c r="AZ393" s="49">
        <v>0</v>
      </c>
      <c r="BA393" s="50">
        <v>0</v>
      </c>
      <c r="BB393" s="49">
        <v>10</v>
      </c>
      <c r="BC393" s="50">
        <v>100</v>
      </c>
      <c r="BD393" s="49">
        <v>10</v>
      </c>
      <c r="BE393" s="49"/>
      <c r="BF393" s="49"/>
      <c r="BG393" s="49"/>
      <c r="BH393" s="49"/>
      <c r="BI393" s="49"/>
      <c r="BJ393" s="49"/>
      <c r="BK393" s="111" t="s">
        <v>3968</v>
      </c>
      <c r="BL393" s="111" t="s">
        <v>3968</v>
      </c>
      <c r="BM393" s="111" t="s">
        <v>4432</v>
      </c>
      <c r="BN393" s="111" t="s">
        <v>4432</v>
      </c>
      <c r="BO393" s="2"/>
      <c r="BP393" s="3"/>
      <c r="BQ393" s="3"/>
      <c r="BR393" s="3"/>
      <c r="BS393" s="3"/>
    </row>
    <row r="394" spans="1:71" ht="15">
      <c r="A394" s="65" t="s">
        <v>593</v>
      </c>
      <c r="B394" s="66"/>
      <c r="C394" s="66"/>
      <c r="D394" s="67">
        <v>150</v>
      </c>
      <c r="E394" s="69"/>
      <c r="F394" s="103" t="str">
        <f>HYPERLINK("https://yt3.ggpht.com/ytc/AAUvwnij_9SCJirpklCvCz6sg2u7qzoiouhvkzDjmMU2Gw=s88-c-k-c0x00ffffff-no-rj")</f>
        <v>https://yt3.ggpht.com/ytc/AAUvwnij_9SCJirpklCvCz6sg2u7qzoiouhvkzDjmMU2Gw=s88-c-k-c0x00ffffff-no-rj</v>
      </c>
      <c r="G394" s="66"/>
      <c r="H394" s="70" t="s">
        <v>1952</v>
      </c>
      <c r="I394" s="71"/>
      <c r="J394" s="71" t="s">
        <v>159</v>
      </c>
      <c r="K394" s="70" t="s">
        <v>1952</v>
      </c>
      <c r="L394" s="74">
        <v>1</v>
      </c>
      <c r="M394" s="75">
        <v>3944.493408203125</v>
      </c>
      <c r="N394" s="75">
        <v>4899.18798828125</v>
      </c>
      <c r="O394" s="76"/>
      <c r="P394" s="77"/>
      <c r="Q394" s="77"/>
      <c r="R394" s="89"/>
      <c r="S394" s="49">
        <v>0</v>
      </c>
      <c r="T394" s="49">
        <v>1</v>
      </c>
      <c r="U394" s="50">
        <v>0</v>
      </c>
      <c r="V394" s="50">
        <v>0.011236</v>
      </c>
      <c r="W394" s="50">
        <v>0</v>
      </c>
      <c r="X394" s="50">
        <v>0.502584</v>
      </c>
      <c r="Y394" s="50">
        <v>0</v>
      </c>
      <c r="Z394" s="50">
        <v>0</v>
      </c>
      <c r="AA394" s="72">
        <v>394</v>
      </c>
      <c r="AB394" s="72"/>
      <c r="AC394" s="73"/>
      <c r="AD394" s="80" t="s">
        <v>1952</v>
      </c>
      <c r="AE394" s="80"/>
      <c r="AF394" s="80"/>
      <c r="AG394" s="80"/>
      <c r="AH394" s="80"/>
      <c r="AI394" s="80"/>
      <c r="AJ394" s="87">
        <v>40526.84125</v>
      </c>
      <c r="AK394" s="85" t="str">
        <f>HYPERLINK("https://yt3.ggpht.com/ytc/AAUvwnij_9SCJirpklCvCz6sg2u7qzoiouhvkzDjmMU2Gw=s88-c-k-c0x00ffffff-no-rj")</f>
        <v>https://yt3.ggpht.com/ytc/AAUvwnij_9SCJirpklCvCz6sg2u7qzoiouhvkzDjmMU2Gw=s88-c-k-c0x00ffffff-no-rj</v>
      </c>
      <c r="AL394" s="80">
        <v>271338</v>
      </c>
      <c r="AM394" s="80">
        <v>0</v>
      </c>
      <c r="AN394" s="80">
        <v>186</v>
      </c>
      <c r="AO394" s="80" t="b">
        <v>0</v>
      </c>
      <c r="AP394" s="80">
        <v>307</v>
      </c>
      <c r="AQ394" s="80"/>
      <c r="AR394" s="80"/>
      <c r="AS394" s="80" t="s">
        <v>2664</v>
      </c>
      <c r="AT394" s="85" t="str">
        <f>HYPERLINK("https://www.youtube.com/channel/UCbTWZL8bwDdWBUegcykuNGw")</f>
        <v>https://www.youtube.com/channel/UCbTWZL8bwDdWBUegcykuNGw</v>
      </c>
      <c r="AU394" s="80" t="str">
        <f>REPLACE(INDEX(GroupVertices[Group],MATCH(Vertices[[#This Row],[Vertex]],GroupVertices[Vertex],0)),1,1,"")</f>
        <v>5</v>
      </c>
      <c r="AV394" s="49">
        <v>1</v>
      </c>
      <c r="AW394" s="50">
        <v>4</v>
      </c>
      <c r="AX394" s="49">
        <v>2</v>
      </c>
      <c r="AY394" s="50">
        <v>8</v>
      </c>
      <c r="AZ394" s="49">
        <v>0</v>
      </c>
      <c r="BA394" s="50">
        <v>0</v>
      </c>
      <c r="BB394" s="49">
        <v>22</v>
      </c>
      <c r="BC394" s="50">
        <v>88</v>
      </c>
      <c r="BD394" s="49">
        <v>25</v>
      </c>
      <c r="BE394" s="49"/>
      <c r="BF394" s="49"/>
      <c r="BG394" s="49"/>
      <c r="BH394" s="49"/>
      <c r="BI394" s="49"/>
      <c r="BJ394" s="49"/>
      <c r="BK394" s="111" t="s">
        <v>3969</v>
      </c>
      <c r="BL394" s="111" t="s">
        <v>3969</v>
      </c>
      <c r="BM394" s="111" t="s">
        <v>4433</v>
      </c>
      <c r="BN394" s="111" t="s">
        <v>4433</v>
      </c>
      <c r="BO394" s="2"/>
      <c r="BP394" s="3"/>
      <c r="BQ394" s="3"/>
      <c r="BR394" s="3"/>
      <c r="BS394" s="3"/>
    </row>
    <row r="395" spans="1:71" ht="15">
      <c r="A395" s="65" t="s">
        <v>594</v>
      </c>
      <c r="B395" s="66"/>
      <c r="C395" s="66"/>
      <c r="D395" s="67">
        <v>150</v>
      </c>
      <c r="E395" s="69"/>
      <c r="F395" s="103" t="str">
        <f>HYPERLINK("https://yt3.ggpht.com/ytc/AAUvwnh70Dga26MOy-ECovM5qKVG5IltQUK5mjgqBQ=s88-c-k-c0x00ffffff-no-rj")</f>
        <v>https://yt3.ggpht.com/ytc/AAUvwnh70Dga26MOy-ECovM5qKVG5IltQUK5mjgqBQ=s88-c-k-c0x00ffffff-no-rj</v>
      </c>
      <c r="G395" s="66"/>
      <c r="H395" s="70" t="s">
        <v>1953</v>
      </c>
      <c r="I395" s="71"/>
      <c r="J395" s="71" t="s">
        <v>159</v>
      </c>
      <c r="K395" s="70" t="s">
        <v>1953</v>
      </c>
      <c r="L395" s="74">
        <v>1</v>
      </c>
      <c r="M395" s="75">
        <v>992.8651733398438</v>
      </c>
      <c r="N395" s="75">
        <v>7486.83837890625</v>
      </c>
      <c r="O395" s="76"/>
      <c r="P395" s="77"/>
      <c r="Q395" s="77"/>
      <c r="R395" s="89"/>
      <c r="S395" s="49">
        <v>0</v>
      </c>
      <c r="T395" s="49">
        <v>1</v>
      </c>
      <c r="U395" s="50">
        <v>0</v>
      </c>
      <c r="V395" s="50">
        <v>0.002801</v>
      </c>
      <c r="W395" s="50">
        <v>0.008244</v>
      </c>
      <c r="X395" s="50">
        <v>0.512495</v>
      </c>
      <c r="Y395" s="50">
        <v>0</v>
      </c>
      <c r="Z395" s="50">
        <v>0</v>
      </c>
      <c r="AA395" s="72">
        <v>395</v>
      </c>
      <c r="AB395" s="72"/>
      <c r="AC395" s="73"/>
      <c r="AD395" s="80" t="s">
        <v>1953</v>
      </c>
      <c r="AE395" s="80"/>
      <c r="AF395" s="80"/>
      <c r="AG395" s="80"/>
      <c r="AH395" s="80"/>
      <c r="AI395" s="80"/>
      <c r="AJ395" s="87">
        <v>42953.89119212963</v>
      </c>
      <c r="AK395" s="85" t="str">
        <f>HYPERLINK("https://yt3.ggpht.com/ytc/AAUvwnh70Dga26MOy-ECovM5qKVG5IltQUK5mjgqBQ=s88-c-k-c0x00ffffff-no-rj")</f>
        <v>https://yt3.ggpht.com/ytc/AAUvwnh70Dga26MOy-ECovM5qKVG5IltQUK5mjgqBQ=s88-c-k-c0x00ffffff-no-rj</v>
      </c>
      <c r="AL395" s="80">
        <v>0</v>
      </c>
      <c r="AM395" s="80">
        <v>0</v>
      </c>
      <c r="AN395" s="80">
        <v>1</v>
      </c>
      <c r="AO395" s="80" t="b">
        <v>0</v>
      </c>
      <c r="AP395" s="80">
        <v>0</v>
      </c>
      <c r="AQ395" s="80"/>
      <c r="AR395" s="80"/>
      <c r="AS395" s="80" t="s">
        <v>2664</v>
      </c>
      <c r="AT395" s="85" t="str">
        <f>HYPERLINK("https://www.youtube.com/channel/UCnotihKlMoV1dgUtjkLiouA")</f>
        <v>https://www.youtube.com/channel/UCnotihKlMoV1dgUtjkLiouA</v>
      </c>
      <c r="AU395" s="80" t="str">
        <f>REPLACE(INDEX(GroupVertices[Group],MATCH(Vertices[[#This Row],[Vertex]],GroupVertices[Vertex],0)),1,1,"")</f>
        <v>1</v>
      </c>
      <c r="AV395" s="49">
        <v>0</v>
      </c>
      <c r="AW395" s="50">
        <v>0</v>
      </c>
      <c r="AX395" s="49">
        <v>0</v>
      </c>
      <c r="AY395" s="50">
        <v>0</v>
      </c>
      <c r="AZ395" s="49">
        <v>0</v>
      </c>
      <c r="BA395" s="50">
        <v>0</v>
      </c>
      <c r="BB395" s="49">
        <v>14</v>
      </c>
      <c r="BC395" s="50">
        <v>100</v>
      </c>
      <c r="BD395" s="49">
        <v>14</v>
      </c>
      <c r="BE395" s="49"/>
      <c r="BF395" s="49"/>
      <c r="BG395" s="49"/>
      <c r="BH395" s="49"/>
      <c r="BI395" s="49"/>
      <c r="BJ395" s="49"/>
      <c r="BK395" s="111" t="s">
        <v>3970</v>
      </c>
      <c r="BL395" s="111" t="s">
        <v>3970</v>
      </c>
      <c r="BM395" s="111" t="s">
        <v>4434</v>
      </c>
      <c r="BN395" s="111" t="s">
        <v>4434</v>
      </c>
      <c r="BO395" s="2"/>
      <c r="BP395" s="3"/>
      <c r="BQ395" s="3"/>
      <c r="BR395" s="3"/>
      <c r="BS395" s="3"/>
    </row>
    <row r="396" spans="1:71" ht="15">
      <c r="A396" s="65" t="s">
        <v>595</v>
      </c>
      <c r="B396" s="66"/>
      <c r="C396" s="66"/>
      <c r="D396" s="67">
        <v>291.66666666666663</v>
      </c>
      <c r="E396" s="69"/>
      <c r="F396" s="103" t="str">
        <f>HYPERLINK("https://yt3.ggpht.com/ytc/AAUvwngjN1rsCjJuL9s1RRq4wVGJWdSoJuNXm4ekNw=s88-c-k-c0x00ffffff-no-rj")</f>
        <v>https://yt3.ggpht.com/ytc/AAUvwngjN1rsCjJuL9s1RRq4wVGJWdSoJuNXm4ekNw=s88-c-k-c0x00ffffff-no-rj</v>
      </c>
      <c r="G396" s="66"/>
      <c r="H396" s="70" t="s">
        <v>1954</v>
      </c>
      <c r="I396" s="71"/>
      <c r="J396" s="71" t="s">
        <v>159</v>
      </c>
      <c r="K396" s="70" t="s">
        <v>1954</v>
      </c>
      <c r="L396" s="74">
        <v>96.21904761904761</v>
      </c>
      <c r="M396" s="75">
        <v>1689.3114013671875</v>
      </c>
      <c r="N396" s="75">
        <v>6467.05078125</v>
      </c>
      <c r="O396" s="76"/>
      <c r="P396" s="77"/>
      <c r="Q396" s="77"/>
      <c r="R396" s="89"/>
      <c r="S396" s="49">
        <v>1</v>
      </c>
      <c r="T396" s="49">
        <v>1</v>
      </c>
      <c r="U396" s="50">
        <v>0</v>
      </c>
      <c r="V396" s="50">
        <v>0.002801</v>
      </c>
      <c r="W396" s="50">
        <v>0.008244</v>
      </c>
      <c r="X396" s="50">
        <v>0.512495</v>
      </c>
      <c r="Y396" s="50">
        <v>0</v>
      </c>
      <c r="Z396" s="50">
        <v>1</v>
      </c>
      <c r="AA396" s="72">
        <v>396</v>
      </c>
      <c r="AB396" s="72"/>
      <c r="AC396" s="73"/>
      <c r="AD396" s="80" t="s">
        <v>1954</v>
      </c>
      <c r="AE396" s="80"/>
      <c r="AF396" s="80"/>
      <c r="AG396" s="80"/>
      <c r="AH396" s="80"/>
      <c r="AI396" s="80"/>
      <c r="AJ396" s="87">
        <v>41315.72418981481</v>
      </c>
      <c r="AK396" s="85" t="str">
        <f>HYPERLINK("https://yt3.ggpht.com/ytc/AAUvwngjN1rsCjJuL9s1RRq4wVGJWdSoJuNXm4ekNw=s88-c-k-c0x00ffffff-no-rj")</f>
        <v>https://yt3.ggpht.com/ytc/AAUvwngjN1rsCjJuL9s1RRq4wVGJWdSoJuNXm4ekNw=s88-c-k-c0x00ffffff-no-rj</v>
      </c>
      <c r="AL396" s="80">
        <v>0</v>
      </c>
      <c r="AM396" s="80">
        <v>0</v>
      </c>
      <c r="AN396" s="80">
        <v>0</v>
      </c>
      <c r="AO396" s="80" t="b">
        <v>0</v>
      </c>
      <c r="AP396" s="80">
        <v>0</v>
      </c>
      <c r="AQ396" s="80"/>
      <c r="AR396" s="80"/>
      <c r="AS396" s="80" t="s">
        <v>2664</v>
      </c>
      <c r="AT396" s="85" t="str">
        <f>HYPERLINK("https://www.youtube.com/channel/UC8bsh-WSrZ0C1_g4q0uheSw")</f>
        <v>https://www.youtube.com/channel/UC8bsh-WSrZ0C1_g4q0uheSw</v>
      </c>
      <c r="AU396" s="80" t="str">
        <f>REPLACE(INDEX(GroupVertices[Group],MATCH(Vertices[[#This Row],[Vertex]],GroupVertices[Vertex],0)),1,1,"")</f>
        <v>1</v>
      </c>
      <c r="AV396" s="49">
        <v>0</v>
      </c>
      <c r="AW396" s="50">
        <v>0</v>
      </c>
      <c r="AX396" s="49">
        <v>0</v>
      </c>
      <c r="AY396" s="50">
        <v>0</v>
      </c>
      <c r="AZ396" s="49">
        <v>0</v>
      </c>
      <c r="BA396" s="50">
        <v>0</v>
      </c>
      <c r="BB396" s="49">
        <v>7</v>
      </c>
      <c r="BC396" s="50">
        <v>100</v>
      </c>
      <c r="BD396" s="49">
        <v>7</v>
      </c>
      <c r="BE396" s="49"/>
      <c r="BF396" s="49"/>
      <c r="BG396" s="49"/>
      <c r="BH396" s="49"/>
      <c r="BI396" s="49"/>
      <c r="BJ396" s="49"/>
      <c r="BK396" s="111" t="s">
        <v>3123</v>
      </c>
      <c r="BL396" s="111" t="s">
        <v>3123</v>
      </c>
      <c r="BM396" s="111" t="s">
        <v>2390</v>
      </c>
      <c r="BN396" s="111" t="s">
        <v>2390</v>
      </c>
      <c r="BO396" s="2"/>
      <c r="BP396" s="3"/>
      <c r="BQ396" s="3"/>
      <c r="BR396" s="3"/>
      <c r="BS396" s="3"/>
    </row>
    <row r="397" spans="1:71" ht="15">
      <c r="A397" s="65" t="s">
        <v>596</v>
      </c>
      <c r="B397" s="66"/>
      <c r="C397" s="66"/>
      <c r="D397" s="67">
        <v>150</v>
      </c>
      <c r="E397" s="69"/>
      <c r="F397" s="103" t="str">
        <f>HYPERLINK("https://yt3.ggpht.com/ytc/AAUvwnjibM5C9NP0VVvN20PLiihLcrOrIcv7vx6APw=s88-c-k-c0x00ffffff-no-rj")</f>
        <v>https://yt3.ggpht.com/ytc/AAUvwnjibM5C9NP0VVvN20PLiihLcrOrIcv7vx6APw=s88-c-k-c0x00ffffff-no-rj</v>
      </c>
      <c r="G397" s="66"/>
      <c r="H397" s="70" t="s">
        <v>1955</v>
      </c>
      <c r="I397" s="71"/>
      <c r="J397" s="71" t="s">
        <v>159</v>
      </c>
      <c r="K397" s="70" t="s">
        <v>1955</v>
      </c>
      <c r="L397" s="74">
        <v>1</v>
      </c>
      <c r="M397" s="75">
        <v>1629.5948486328125</v>
      </c>
      <c r="N397" s="75">
        <v>4219.2314453125</v>
      </c>
      <c r="O397" s="76"/>
      <c r="P397" s="77"/>
      <c r="Q397" s="77"/>
      <c r="R397" s="89"/>
      <c r="S397" s="49">
        <v>0</v>
      </c>
      <c r="T397" s="49">
        <v>1</v>
      </c>
      <c r="U397" s="50">
        <v>0</v>
      </c>
      <c r="V397" s="50">
        <v>0.001972</v>
      </c>
      <c r="W397" s="50">
        <v>0.000851</v>
      </c>
      <c r="X397" s="50">
        <v>0.5305</v>
      </c>
      <c r="Y397" s="50">
        <v>0</v>
      </c>
      <c r="Z397" s="50">
        <v>0</v>
      </c>
      <c r="AA397" s="72">
        <v>397</v>
      </c>
      <c r="AB397" s="72"/>
      <c r="AC397" s="73"/>
      <c r="AD397" s="80" t="s">
        <v>1955</v>
      </c>
      <c r="AE397" s="80"/>
      <c r="AF397" s="80"/>
      <c r="AG397" s="80"/>
      <c r="AH397" s="80"/>
      <c r="AI397" s="80"/>
      <c r="AJ397" s="87">
        <v>41573.90954861111</v>
      </c>
      <c r="AK397" s="85" t="str">
        <f>HYPERLINK("https://yt3.ggpht.com/ytc/AAUvwnjibM5C9NP0VVvN20PLiihLcrOrIcv7vx6APw=s88-c-k-c0x00ffffff-no-rj")</f>
        <v>https://yt3.ggpht.com/ytc/AAUvwnjibM5C9NP0VVvN20PLiihLcrOrIcv7vx6APw=s88-c-k-c0x00ffffff-no-rj</v>
      </c>
      <c r="AL397" s="80">
        <v>0</v>
      </c>
      <c r="AM397" s="80">
        <v>0</v>
      </c>
      <c r="AN397" s="80">
        <v>1</v>
      </c>
      <c r="AO397" s="80" t="b">
        <v>0</v>
      </c>
      <c r="AP397" s="80">
        <v>0</v>
      </c>
      <c r="AQ397" s="80"/>
      <c r="AR397" s="80"/>
      <c r="AS397" s="80" t="s">
        <v>2664</v>
      </c>
      <c r="AT397" s="85" t="str">
        <f>HYPERLINK("https://www.youtube.com/channel/UCbnlzasIDFMA-otUhzPIgsw")</f>
        <v>https://www.youtube.com/channel/UCbnlzasIDFMA-otUhzPIgsw</v>
      </c>
      <c r="AU397" s="80" t="str">
        <f>REPLACE(INDEX(GroupVertices[Group],MATCH(Vertices[[#This Row],[Vertex]],GroupVertices[Vertex],0)),1,1,"")</f>
        <v>1</v>
      </c>
      <c r="AV397" s="49">
        <v>0</v>
      </c>
      <c r="AW397" s="50">
        <v>0</v>
      </c>
      <c r="AX397" s="49">
        <v>0</v>
      </c>
      <c r="AY397" s="50">
        <v>0</v>
      </c>
      <c r="AZ397" s="49">
        <v>0</v>
      </c>
      <c r="BA397" s="50">
        <v>0</v>
      </c>
      <c r="BB397" s="49">
        <v>3</v>
      </c>
      <c r="BC397" s="50">
        <v>100</v>
      </c>
      <c r="BD397" s="49">
        <v>3</v>
      </c>
      <c r="BE397" s="49"/>
      <c r="BF397" s="49"/>
      <c r="BG397" s="49"/>
      <c r="BH397" s="49"/>
      <c r="BI397" s="49"/>
      <c r="BJ397" s="49"/>
      <c r="BK397" s="111" t="s">
        <v>3971</v>
      </c>
      <c r="BL397" s="111" t="s">
        <v>3971</v>
      </c>
      <c r="BM397" s="111" t="s">
        <v>4435</v>
      </c>
      <c r="BN397" s="111" t="s">
        <v>4435</v>
      </c>
      <c r="BO397" s="2"/>
      <c r="BP397" s="3"/>
      <c r="BQ397" s="3"/>
      <c r="BR397" s="3"/>
      <c r="BS397" s="3"/>
    </row>
    <row r="398" spans="1:71" ht="15">
      <c r="A398" s="65" t="s">
        <v>598</v>
      </c>
      <c r="B398" s="66"/>
      <c r="C398" s="66"/>
      <c r="D398" s="67">
        <v>433.3333333333333</v>
      </c>
      <c r="E398" s="69"/>
      <c r="F398" s="103" t="str">
        <f>HYPERLINK("https://yt3.ggpht.com/ytc/AAUvwnh8WXhQ1XJ4LIFIsBbkdjW8AUiXW9X4YaXTaGJ5Xw=s88-c-k-c0x00ffffff-no-rj")</f>
        <v>https://yt3.ggpht.com/ytc/AAUvwnh8WXhQ1XJ4LIFIsBbkdjW8AUiXW9X4YaXTaGJ5Xw=s88-c-k-c0x00ffffff-no-rj</v>
      </c>
      <c r="G398" s="66"/>
      <c r="H398" s="70" t="s">
        <v>1957</v>
      </c>
      <c r="I398" s="71"/>
      <c r="J398" s="71" t="s">
        <v>75</v>
      </c>
      <c r="K398" s="70" t="s">
        <v>1957</v>
      </c>
      <c r="L398" s="74">
        <v>191.43809523809523</v>
      </c>
      <c r="M398" s="75">
        <v>1645.4442138671875</v>
      </c>
      <c r="N398" s="75">
        <v>5546.68798828125</v>
      </c>
      <c r="O398" s="76"/>
      <c r="P398" s="77"/>
      <c r="Q398" s="77"/>
      <c r="R398" s="89"/>
      <c r="S398" s="49">
        <v>2</v>
      </c>
      <c r="T398" s="49">
        <v>1</v>
      </c>
      <c r="U398" s="50">
        <v>306</v>
      </c>
      <c r="V398" s="50">
        <v>0.002825</v>
      </c>
      <c r="W398" s="50">
        <v>0.009167</v>
      </c>
      <c r="X398" s="50">
        <v>1.342943</v>
      </c>
      <c r="Y398" s="50">
        <v>0.16666666666666666</v>
      </c>
      <c r="Z398" s="50">
        <v>0</v>
      </c>
      <c r="AA398" s="72">
        <v>398</v>
      </c>
      <c r="AB398" s="72"/>
      <c r="AC398" s="73"/>
      <c r="AD398" s="80" t="s">
        <v>1957</v>
      </c>
      <c r="AE398" s="80"/>
      <c r="AF398" s="80"/>
      <c r="AG398" s="80"/>
      <c r="AH398" s="80"/>
      <c r="AI398" s="80"/>
      <c r="AJ398" s="87">
        <v>42060.886145833334</v>
      </c>
      <c r="AK398" s="85" t="str">
        <f>HYPERLINK("https://yt3.ggpht.com/ytc/AAUvwnh8WXhQ1XJ4LIFIsBbkdjW8AUiXW9X4YaXTaGJ5Xw=s88-c-k-c0x00ffffff-no-rj")</f>
        <v>https://yt3.ggpht.com/ytc/AAUvwnh8WXhQ1XJ4LIFIsBbkdjW8AUiXW9X4YaXTaGJ5Xw=s88-c-k-c0x00ffffff-no-rj</v>
      </c>
      <c r="AL398" s="80">
        <v>0</v>
      </c>
      <c r="AM398" s="80">
        <v>0</v>
      </c>
      <c r="AN398" s="80">
        <v>0</v>
      </c>
      <c r="AO398" s="80" t="b">
        <v>0</v>
      </c>
      <c r="AP398" s="80">
        <v>0</v>
      </c>
      <c r="AQ398" s="80"/>
      <c r="AR398" s="80"/>
      <c r="AS398" s="80" t="s">
        <v>2664</v>
      </c>
      <c r="AT398" s="85" t="str">
        <f>HYPERLINK("https://www.youtube.com/channel/UCuyr7c1eKDQOYOTUfTxGMBA")</f>
        <v>https://www.youtube.com/channel/UCuyr7c1eKDQOYOTUfTxGMBA</v>
      </c>
      <c r="AU398" s="80" t="str">
        <f>REPLACE(INDEX(GroupVertices[Group],MATCH(Vertices[[#This Row],[Vertex]],GroupVertices[Vertex],0)),1,1,"")</f>
        <v>1</v>
      </c>
      <c r="AV398" s="49">
        <v>5</v>
      </c>
      <c r="AW398" s="50">
        <v>9.433962264150944</v>
      </c>
      <c r="AX398" s="49">
        <v>0</v>
      </c>
      <c r="AY398" s="50">
        <v>0</v>
      </c>
      <c r="AZ398" s="49">
        <v>0</v>
      </c>
      <c r="BA398" s="50">
        <v>0</v>
      </c>
      <c r="BB398" s="49">
        <v>48</v>
      </c>
      <c r="BC398" s="50">
        <v>90.56603773584905</v>
      </c>
      <c r="BD398" s="49">
        <v>53</v>
      </c>
      <c r="BE398" s="49"/>
      <c r="BF398" s="49"/>
      <c r="BG398" s="49"/>
      <c r="BH398" s="49"/>
      <c r="BI398" s="49"/>
      <c r="BJ398" s="49"/>
      <c r="BK398" s="111" t="s">
        <v>3972</v>
      </c>
      <c r="BL398" s="111" t="s">
        <v>3972</v>
      </c>
      <c r="BM398" s="111" t="s">
        <v>4436</v>
      </c>
      <c r="BN398" s="111" t="s">
        <v>4436</v>
      </c>
      <c r="BO398" s="2"/>
      <c r="BP398" s="3"/>
      <c r="BQ398" s="3"/>
      <c r="BR398" s="3"/>
      <c r="BS398" s="3"/>
    </row>
    <row r="399" spans="1:71" ht="15">
      <c r="A399" s="65" t="s">
        <v>597</v>
      </c>
      <c r="B399" s="66"/>
      <c r="C399" s="66"/>
      <c r="D399" s="67">
        <v>150</v>
      </c>
      <c r="E399" s="69"/>
      <c r="F399" s="103" t="str">
        <f>HYPERLINK("https://yt3.ggpht.com/ytc/AAUvwnijsPHm6xVDPzNW0y2T6k34BJ1mEKjQGJVVnQ=s88-c-k-c0x00ffffff-no-rj")</f>
        <v>https://yt3.ggpht.com/ytc/AAUvwnijsPHm6xVDPzNW0y2T6k34BJ1mEKjQGJVVnQ=s88-c-k-c0x00ffffff-no-rj</v>
      </c>
      <c r="G399" s="66"/>
      <c r="H399" s="70" t="s">
        <v>1956</v>
      </c>
      <c r="I399" s="71"/>
      <c r="J399" s="71" t="s">
        <v>159</v>
      </c>
      <c r="K399" s="70" t="s">
        <v>1956</v>
      </c>
      <c r="L399" s="74">
        <v>1</v>
      </c>
      <c r="M399" s="75">
        <v>1544.113037109375</v>
      </c>
      <c r="N399" s="75">
        <v>5673.212890625</v>
      </c>
      <c r="O399" s="76"/>
      <c r="P399" s="77"/>
      <c r="Q399" s="77"/>
      <c r="R399" s="89"/>
      <c r="S399" s="49">
        <v>0</v>
      </c>
      <c r="T399" s="49">
        <v>2</v>
      </c>
      <c r="U399" s="50">
        <v>0</v>
      </c>
      <c r="V399" s="50">
        <v>0.002817</v>
      </c>
      <c r="W399" s="50">
        <v>0.009094</v>
      </c>
      <c r="X399" s="50">
        <v>0.892995</v>
      </c>
      <c r="Y399" s="50">
        <v>0.5</v>
      </c>
      <c r="Z399" s="50">
        <v>0</v>
      </c>
      <c r="AA399" s="72">
        <v>399</v>
      </c>
      <c r="AB399" s="72"/>
      <c r="AC399" s="73"/>
      <c r="AD399" s="80" t="s">
        <v>1956</v>
      </c>
      <c r="AE399" s="80"/>
      <c r="AF399" s="80"/>
      <c r="AG399" s="80"/>
      <c r="AH399" s="80"/>
      <c r="AI399" s="80"/>
      <c r="AJ399" s="87">
        <v>41191.82461805556</v>
      </c>
      <c r="AK399" s="85" t="str">
        <f>HYPERLINK("https://yt3.ggpht.com/ytc/AAUvwnijsPHm6xVDPzNW0y2T6k34BJ1mEKjQGJVVnQ=s88-c-k-c0x00ffffff-no-rj")</f>
        <v>https://yt3.ggpht.com/ytc/AAUvwnijsPHm6xVDPzNW0y2T6k34BJ1mEKjQGJVVnQ=s88-c-k-c0x00ffffff-no-rj</v>
      </c>
      <c r="AL399" s="80">
        <v>0</v>
      </c>
      <c r="AM399" s="80">
        <v>0</v>
      </c>
      <c r="AN399" s="80">
        <v>5</v>
      </c>
      <c r="AO399" s="80" t="b">
        <v>0</v>
      </c>
      <c r="AP399" s="80">
        <v>0</v>
      </c>
      <c r="AQ399" s="80"/>
      <c r="AR399" s="80"/>
      <c r="AS399" s="80" t="s">
        <v>2664</v>
      </c>
      <c r="AT399" s="85" t="str">
        <f>HYPERLINK("https://www.youtube.com/channel/UCdgATLC3qPTQSezm2lpPRiw")</f>
        <v>https://www.youtube.com/channel/UCdgATLC3qPTQSezm2lpPRiw</v>
      </c>
      <c r="AU399" s="80" t="str">
        <f>REPLACE(INDEX(GroupVertices[Group],MATCH(Vertices[[#This Row],[Vertex]],GroupVertices[Vertex],0)),1,1,"")</f>
        <v>1</v>
      </c>
      <c r="AV399" s="49">
        <v>0</v>
      </c>
      <c r="AW399" s="50">
        <v>0</v>
      </c>
      <c r="AX399" s="49">
        <v>2</v>
      </c>
      <c r="AY399" s="50">
        <v>9.090909090909092</v>
      </c>
      <c r="AZ399" s="49">
        <v>0</v>
      </c>
      <c r="BA399" s="50">
        <v>0</v>
      </c>
      <c r="BB399" s="49">
        <v>20</v>
      </c>
      <c r="BC399" s="50">
        <v>90.9090909090909</v>
      </c>
      <c r="BD399" s="49">
        <v>22</v>
      </c>
      <c r="BE399" s="49"/>
      <c r="BF399" s="49"/>
      <c r="BG399" s="49"/>
      <c r="BH399" s="49"/>
      <c r="BI399" s="49"/>
      <c r="BJ399" s="49"/>
      <c r="BK399" s="111" t="s">
        <v>3973</v>
      </c>
      <c r="BL399" s="111" t="s">
        <v>3973</v>
      </c>
      <c r="BM399" s="111" t="s">
        <v>4437</v>
      </c>
      <c r="BN399" s="111" t="s">
        <v>4437</v>
      </c>
      <c r="BO399" s="2"/>
      <c r="BP399" s="3"/>
      <c r="BQ399" s="3"/>
      <c r="BR399" s="3"/>
      <c r="BS399" s="3"/>
    </row>
    <row r="400" spans="1:71" ht="15">
      <c r="A400" s="65" t="s">
        <v>599</v>
      </c>
      <c r="B400" s="66"/>
      <c r="C400" s="66"/>
      <c r="D400" s="67">
        <v>150</v>
      </c>
      <c r="E400" s="69"/>
      <c r="F400" s="103" t="str">
        <f>HYPERLINK("https://yt3.ggpht.com/ytc/AAUvwnjXgECVH1X5XYDKXjThRoV5jGvb9GntB3HHeY9LvQ=s88-c-k-c0x00ffffff-no-rj")</f>
        <v>https://yt3.ggpht.com/ytc/AAUvwnjXgECVH1X5XYDKXjThRoV5jGvb9GntB3HHeY9LvQ=s88-c-k-c0x00ffffff-no-rj</v>
      </c>
      <c r="G400" s="66"/>
      <c r="H400" s="70" t="s">
        <v>1958</v>
      </c>
      <c r="I400" s="71"/>
      <c r="J400" s="71" t="s">
        <v>159</v>
      </c>
      <c r="K400" s="70" t="s">
        <v>1958</v>
      </c>
      <c r="L400" s="74">
        <v>1</v>
      </c>
      <c r="M400" s="75">
        <v>9892.853515625</v>
      </c>
      <c r="N400" s="75">
        <v>3446.8056640625</v>
      </c>
      <c r="O400" s="76"/>
      <c r="P400" s="77"/>
      <c r="Q400" s="77"/>
      <c r="R400" s="89"/>
      <c r="S400" s="49">
        <v>0</v>
      </c>
      <c r="T400" s="49">
        <v>1</v>
      </c>
      <c r="U400" s="50">
        <v>0</v>
      </c>
      <c r="V400" s="50">
        <v>0.002033</v>
      </c>
      <c r="W400" s="50">
        <v>0.000829</v>
      </c>
      <c r="X400" s="50">
        <v>0.553429</v>
      </c>
      <c r="Y400" s="50">
        <v>0</v>
      </c>
      <c r="Z400" s="50">
        <v>0</v>
      </c>
      <c r="AA400" s="72">
        <v>400</v>
      </c>
      <c r="AB400" s="72"/>
      <c r="AC400" s="73"/>
      <c r="AD400" s="80" t="s">
        <v>1958</v>
      </c>
      <c r="AE400" s="80"/>
      <c r="AF400" s="80"/>
      <c r="AG400" s="80"/>
      <c r="AH400" s="80"/>
      <c r="AI400" s="80"/>
      <c r="AJ400" s="87">
        <v>41653.711006944446</v>
      </c>
      <c r="AK400" s="85" t="str">
        <f>HYPERLINK("https://yt3.ggpht.com/ytc/AAUvwnjXgECVH1X5XYDKXjThRoV5jGvb9GntB3HHeY9LvQ=s88-c-k-c0x00ffffff-no-rj")</f>
        <v>https://yt3.ggpht.com/ytc/AAUvwnjXgECVH1X5XYDKXjThRoV5jGvb9GntB3HHeY9LvQ=s88-c-k-c0x00ffffff-no-rj</v>
      </c>
      <c r="AL400" s="80">
        <v>1422</v>
      </c>
      <c r="AM400" s="80">
        <v>0</v>
      </c>
      <c r="AN400" s="80">
        <v>64</v>
      </c>
      <c r="AO400" s="80" t="b">
        <v>0</v>
      </c>
      <c r="AP400" s="80">
        <v>5</v>
      </c>
      <c r="AQ400" s="80"/>
      <c r="AR400" s="80"/>
      <c r="AS400" s="80" t="s">
        <v>2664</v>
      </c>
      <c r="AT400" s="85" t="str">
        <f>HYPERLINK("https://www.youtube.com/channel/UC4LkC8orOfPAL6JcREKcwLg")</f>
        <v>https://www.youtube.com/channel/UC4LkC8orOfPAL6JcREKcwLg</v>
      </c>
      <c r="AU400" s="80" t="str">
        <f>REPLACE(INDEX(GroupVertices[Group],MATCH(Vertices[[#This Row],[Vertex]],GroupVertices[Vertex],0)),1,1,"")</f>
        <v>12</v>
      </c>
      <c r="AV400" s="49">
        <v>0</v>
      </c>
      <c r="AW400" s="50">
        <v>0</v>
      </c>
      <c r="AX400" s="49">
        <v>0</v>
      </c>
      <c r="AY400" s="50">
        <v>0</v>
      </c>
      <c r="AZ400" s="49">
        <v>0</v>
      </c>
      <c r="BA400" s="50">
        <v>0</v>
      </c>
      <c r="BB400" s="49">
        <v>5</v>
      </c>
      <c r="BC400" s="50">
        <v>100</v>
      </c>
      <c r="BD400" s="49">
        <v>5</v>
      </c>
      <c r="BE400" s="49"/>
      <c r="BF400" s="49"/>
      <c r="BG400" s="49"/>
      <c r="BH400" s="49"/>
      <c r="BI400" s="49"/>
      <c r="BJ400" s="49"/>
      <c r="BK400" s="111" t="s">
        <v>3974</v>
      </c>
      <c r="BL400" s="111" t="s">
        <v>3974</v>
      </c>
      <c r="BM400" s="111" t="s">
        <v>4438</v>
      </c>
      <c r="BN400" s="111" t="s">
        <v>4438</v>
      </c>
      <c r="BO400" s="2"/>
      <c r="BP400" s="3"/>
      <c r="BQ400" s="3"/>
      <c r="BR400" s="3"/>
      <c r="BS400" s="3"/>
    </row>
    <row r="401" spans="1:71" ht="15">
      <c r="A401" s="65" t="s">
        <v>608</v>
      </c>
      <c r="B401" s="66"/>
      <c r="C401" s="66"/>
      <c r="D401" s="67">
        <v>1000</v>
      </c>
      <c r="E401" s="69"/>
      <c r="F401" s="103" t="str">
        <f>HYPERLINK("https://yt3.ggpht.com/ytc/AAUvwniHZz2kxYdK_0C2BAMk4Ya2qYh8HgcdEnnxye2vfw=s88-c-k-c0x00ffffff-no-rj")</f>
        <v>https://yt3.ggpht.com/ytc/AAUvwniHZz2kxYdK_0C2BAMk4Ya2qYh8HgcdEnnxye2vfw=s88-c-k-c0x00ffffff-no-rj</v>
      </c>
      <c r="G401" s="66"/>
      <c r="H401" s="70" t="s">
        <v>1967</v>
      </c>
      <c r="I401" s="71"/>
      <c r="J401" s="71" t="s">
        <v>75</v>
      </c>
      <c r="K401" s="70" t="s">
        <v>1967</v>
      </c>
      <c r="L401" s="74">
        <v>857.9714285714285</v>
      </c>
      <c r="M401" s="75">
        <v>9446.5517578125</v>
      </c>
      <c r="N401" s="75">
        <v>3611.908935546875</v>
      </c>
      <c r="O401" s="76"/>
      <c r="P401" s="77"/>
      <c r="Q401" s="77"/>
      <c r="R401" s="89"/>
      <c r="S401" s="49">
        <v>9</v>
      </c>
      <c r="T401" s="49">
        <v>1</v>
      </c>
      <c r="U401" s="50">
        <v>2682</v>
      </c>
      <c r="V401" s="50">
        <v>0.00295</v>
      </c>
      <c r="W401" s="50">
        <v>0.008936</v>
      </c>
      <c r="X401" s="50">
        <v>4.746229</v>
      </c>
      <c r="Y401" s="50">
        <v>0</v>
      </c>
      <c r="Z401" s="50">
        <v>0</v>
      </c>
      <c r="AA401" s="72">
        <v>401</v>
      </c>
      <c r="AB401" s="72"/>
      <c r="AC401" s="73"/>
      <c r="AD401" s="80" t="s">
        <v>1967</v>
      </c>
      <c r="AE401" s="80"/>
      <c r="AF401" s="80"/>
      <c r="AG401" s="80"/>
      <c r="AH401" s="80"/>
      <c r="AI401" s="80"/>
      <c r="AJ401" s="87">
        <v>42507.75545138889</v>
      </c>
      <c r="AK401" s="85" t="str">
        <f>HYPERLINK("https://yt3.ggpht.com/ytc/AAUvwniHZz2kxYdK_0C2BAMk4Ya2qYh8HgcdEnnxye2vfw=s88-c-k-c0x00ffffff-no-rj")</f>
        <v>https://yt3.ggpht.com/ytc/AAUvwniHZz2kxYdK_0C2BAMk4Ya2qYh8HgcdEnnxye2vfw=s88-c-k-c0x00ffffff-no-rj</v>
      </c>
      <c r="AL401" s="80">
        <v>225</v>
      </c>
      <c r="AM401" s="80">
        <v>0</v>
      </c>
      <c r="AN401" s="80">
        <v>9</v>
      </c>
      <c r="AO401" s="80" t="b">
        <v>0</v>
      </c>
      <c r="AP401" s="80">
        <v>4</v>
      </c>
      <c r="AQ401" s="80"/>
      <c r="AR401" s="80"/>
      <c r="AS401" s="80" t="s">
        <v>2664</v>
      </c>
      <c r="AT401" s="85" t="str">
        <f>HYPERLINK("https://www.youtube.com/channel/UCdNDDoX2E_HLp9xMTbh7SMg")</f>
        <v>https://www.youtube.com/channel/UCdNDDoX2E_HLp9xMTbh7SMg</v>
      </c>
      <c r="AU401" s="80" t="str">
        <f>REPLACE(INDEX(GroupVertices[Group],MATCH(Vertices[[#This Row],[Vertex]],GroupVertices[Vertex],0)),1,1,"")</f>
        <v>12</v>
      </c>
      <c r="AV401" s="49">
        <v>1</v>
      </c>
      <c r="AW401" s="50">
        <v>33.333333333333336</v>
      </c>
      <c r="AX401" s="49">
        <v>0</v>
      </c>
      <c r="AY401" s="50">
        <v>0</v>
      </c>
      <c r="AZ401" s="49">
        <v>0</v>
      </c>
      <c r="BA401" s="50">
        <v>0</v>
      </c>
      <c r="BB401" s="49">
        <v>2</v>
      </c>
      <c r="BC401" s="50">
        <v>66.66666666666667</v>
      </c>
      <c r="BD401" s="49">
        <v>3</v>
      </c>
      <c r="BE401" s="49"/>
      <c r="BF401" s="49"/>
      <c r="BG401" s="49"/>
      <c r="BH401" s="49"/>
      <c r="BI401" s="49"/>
      <c r="BJ401" s="49"/>
      <c r="BK401" s="111" t="s">
        <v>3975</v>
      </c>
      <c r="BL401" s="111" t="s">
        <v>3975</v>
      </c>
      <c r="BM401" s="111" t="s">
        <v>2390</v>
      </c>
      <c r="BN401" s="111" t="s">
        <v>2390</v>
      </c>
      <c r="BO401" s="2"/>
      <c r="BP401" s="3"/>
      <c r="BQ401" s="3"/>
      <c r="BR401" s="3"/>
      <c r="BS401" s="3"/>
    </row>
    <row r="402" spans="1:71" ht="15">
      <c r="A402" s="65" t="s">
        <v>600</v>
      </c>
      <c r="B402" s="66"/>
      <c r="C402" s="66"/>
      <c r="D402" s="67">
        <v>150</v>
      </c>
      <c r="E402" s="69"/>
      <c r="F402" s="103" t="str">
        <f>HYPERLINK("https://yt3.ggpht.com/ytc/AAUvwngj6kkOZToxjUTsbV9y5g6clrcvKI9KMwL5ylD2TQ=s88-c-k-c0x00ffffff-no-rj")</f>
        <v>https://yt3.ggpht.com/ytc/AAUvwngj6kkOZToxjUTsbV9y5g6clrcvKI9KMwL5ylD2TQ=s88-c-k-c0x00ffffff-no-rj</v>
      </c>
      <c r="G402" s="66"/>
      <c r="H402" s="70" t="s">
        <v>1959</v>
      </c>
      <c r="I402" s="71"/>
      <c r="J402" s="71" t="s">
        <v>159</v>
      </c>
      <c r="K402" s="70" t="s">
        <v>1959</v>
      </c>
      <c r="L402" s="74">
        <v>1</v>
      </c>
      <c r="M402" s="75">
        <v>9063.724609375</v>
      </c>
      <c r="N402" s="75">
        <v>4002.83642578125</v>
      </c>
      <c r="O402" s="76"/>
      <c r="P402" s="77"/>
      <c r="Q402" s="77"/>
      <c r="R402" s="89"/>
      <c r="S402" s="49">
        <v>0</v>
      </c>
      <c r="T402" s="49">
        <v>1</v>
      </c>
      <c r="U402" s="50">
        <v>0</v>
      </c>
      <c r="V402" s="50">
        <v>0.002033</v>
      </c>
      <c r="W402" s="50">
        <v>0.000829</v>
      </c>
      <c r="X402" s="50">
        <v>0.553429</v>
      </c>
      <c r="Y402" s="50">
        <v>0</v>
      </c>
      <c r="Z402" s="50">
        <v>0</v>
      </c>
      <c r="AA402" s="72">
        <v>402</v>
      </c>
      <c r="AB402" s="72"/>
      <c r="AC402" s="73"/>
      <c r="AD402" s="80" t="s">
        <v>1959</v>
      </c>
      <c r="AE402" s="80"/>
      <c r="AF402" s="80"/>
      <c r="AG402" s="80"/>
      <c r="AH402" s="80"/>
      <c r="AI402" s="80"/>
      <c r="AJ402" s="87">
        <v>41535.28994212963</v>
      </c>
      <c r="AK402" s="85" t="str">
        <f>HYPERLINK("https://yt3.ggpht.com/ytc/AAUvwngj6kkOZToxjUTsbV9y5g6clrcvKI9KMwL5ylD2TQ=s88-c-k-c0x00ffffff-no-rj")</f>
        <v>https://yt3.ggpht.com/ytc/AAUvwngj6kkOZToxjUTsbV9y5g6clrcvKI9KMwL5ylD2TQ=s88-c-k-c0x00ffffff-no-rj</v>
      </c>
      <c r="AL402" s="80">
        <v>995</v>
      </c>
      <c r="AM402" s="80">
        <v>0</v>
      </c>
      <c r="AN402" s="80">
        <v>93</v>
      </c>
      <c r="AO402" s="80" t="b">
        <v>0</v>
      </c>
      <c r="AP402" s="80">
        <v>3</v>
      </c>
      <c r="AQ402" s="80"/>
      <c r="AR402" s="80"/>
      <c r="AS402" s="80" t="s">
        <v>2664</v>
      </c>
      <c r="AT402" s="85" t="str">
        <f>HYPERLINK("https://www.youtube.com/channel/UCkYhBzBLlFWcH49l9vGgylQ")</f>
        <v>https://www.youtube.com/channel/UCkYhBzBLlFWcH49l9vGgylQ</v>
      </c>
      <c r="AU402" s="80" t="str">
        <f>REPLACE(INDEX(GroupVertices[Group],MATCH(Vertices[[#This Row],[Vertex]],GroupVertices[Vertex],0)),1,1,"")</f>
        <v>12</v>
      </c>
      <c r="AV402" s="49">
        <v>1</v>
      </c>
      <c r="AW402" s="50">
        <v>25</v>
      </c>
      <c r="AX402" s="49">
        <v>0</v>
      </c>
      <c r="AY402" s="50">
        <v>0</v>
      </c>
      <c r="AZ402" s="49">
        <v>0</v>
      </c>
      <c r="BA402" s="50">
        <v>0</v>
      </c>
      <c r="BB402" s="49">
        <v>3</v>
      </c>
      <c r="BC402" s="50">
        <v>75</v>
      </c>
      <c r="BD402" s="49">
        <v>4</v>
      </c>
      <c r="BE402" s="49"/>
      <c r="BF402" s="49"/>
      <c r="BG402" s="49"/>
      <c r="BH402" s="49"/>
      <c r="BI402" s="49"/>
      <c r="BJ402" s="49"/>
      <c r="BK402" s="111" t="s">
        <v>3976</v>
      </c>
      <c r="BL402" s="111" t="s">
        <v>3976</v>
      </c>
      <c r="BM402" s="111" t="s">
        <v>4439</v>
      </c>
      <c r="BN402" s="111" t="s">
        <v>4439</v>
      </c>
      <c r="BO402" s="2"/>
      <c r="BP402" s="3"/>
      <c r="BQ402" s="3"/>
      <c r="BR402" s="3"/>
      <c r="BS402" s="3"/>
    </row>
    <row r="403" spans="1:71" ht="15">
      <c r="A403" s="65" t="s">
        <v>601</v>
      </c>
      <c r="B403" s="66"/>
      <c r="C403" s="66"/>
      <c r="D403" s="67">
        <v>150</v>
      </c>
      <c r="E403" s="69"/>
      <c r="F403" s="103" t="str">
        <f>HYPERLINK("https://yt3.ggpht.com/ytc/AAUvwngVftCYoX7GOpzCr2d7DuRH0SP8B6IeEF2moJYb=s88-c-k-c0x00ffffff-no-rj")</f>
        <v>https://yt3.ggpht.com/ytc/AAUvwngVftCYoX7GOpzCr2d7DuRH0SP8B6IeEF2moJYb=s88-c-k-c0x00ffffff-no-rj</v>
      </c>
      <c r="G403" s="66"/>
      <c r="H403" s="70" t="s">
        <v>1960</v>
      </c>
      <c r="I403" s="71"/>
      <c r="J403" s="71" t="s">
        <v>159</v>
      </c>
      <c r="K403" s="70" t="s">
        <v>1960</v>
      </c>
      <c r="L403" s="74">
        <v>1</v>
      </c>
      <c r="M403" s="75">
        <v>9719.7314453125</v>
      </c>
      <c r="N403" s="75">
        <v>3042.3125</v>
      </c>
      <c r="O403" s="76"/>
      <c r="P403" s="77"/>
      <c r="Q403" s="77"/>
      <c r="R403" s="89"/>
      <c r="S403" s="49">
        <v>0</v>
      </c>
      <c r="T403" s="49">
        <v>1</v>
      </c>
      <c r="U403" s="50">
        <v>0</v>
      </c>
      <c r="V403" s="50">
        <v>0.002033</v>
      </c>
      <c r="W403" s="50">
        <v>0.000829</v>
      </c>
      <c r="X403" s="50">
        <v>0.553429</v>
      </c>
      <c r="Y403" s="50">
        <v>0</v>
      </c>
      <c r="Z403" s="50">
        <v>0</v>
      </c>
      <c r="AA403" s="72">
        <v>403</v>
      </c>
      <c r="AB403" s="72"/>
      <c r="AC403" s="73"/>
      <c r="AD403" s="80" t="s">
        <v>1960</v>
      </c>
      <c r="AE403" s="80"/>
      <c r="AF403" s="80"/>
      <c r="AG403" s="80"/>
      <c r="AH403" s="80"/>
      <c r="AI403" s="80"/>
      <c r="AJ403" s="87">
        <v>41975.90347222222</v>
      </c>
      <c r="AK403" s="85" t="str">
        <f>HYPERLINK("https://yt3.ggpht.com/ytc/AAUvwngVftCYoX7GOpzCr2d7DuRH0SP8B6IeEF2moJYb=s88-c-k-c0x00ffffff-no-rj")</f>
        <v>https://yt3.ggpht.com/ytc/AAUvwngVftCYoX7GOpzCr2d7DuRH0SP8B6IeEF2moJYb=s88-c-k-c0x00ffffff-no-rj</v>
      </c>
      <c r="AL403" s="80">
        <v>0</v>
      </c>
      <c r="AM403" s="80">
        <v>0</v>
      </c>
      <c r="AN403" s="80">
        <v>0</v>
      </c>
      <c r="AO403" s="80" t="b">
        <v>0</v>
      </c>
      <c r="AP403" s="80">
        <v>0</v>
      </c>
      <c r="AQ403" s="80"/>
      <c r="AR403" s="80"/>
      <c r="AS403" s="80" t="s">
        <v>2664</v>
      </c>
      <c r="AT403" s="85" t="str">
        <f>HYPERLINK("https://www.youtube.com/channel/UCkje6Mcjq7DR0FIUQtLe82Q")</f>
        <v>https://www.youtube.com/channel/UCkje6Mcjq7DR0FIUQtLe82Q</v>
      </c>
      <c r="AU403" s="80" t="str">
        <f>REPLACE(INDEX(GroupVertices[Group],MATCH(Vertices[[#This Row],[Vertex]],GroupVertices[Vertex],0)),1,1,"")</f>
        <v>12</v>
      </c>
      <c r="AV403" s="49">
        <v>0</v>
      </c>
      <c r="AW403" s="50">
        <v>0</v>
      </c>
      <c r="AX403" s="49">
        <v>0</v>
      </c>
      <c r="AY403" s="50">
        <v>0</v>
      </c>
      <c r="AZ403" s="49">
        <v>0</v>
      </c>
      <c r="BA403" s="50">
        <v>0</v>
      </c>
      <c r="BB403" s="49">
        <v>5</v>
      </c>
      <c r="BC403" s="50">
        <v>100</v>
      </c>
      <c r="BD403" s="49">
        <v>5</v>
      </c>
      <c r="BE403" s="49"/>
      <c r="BF403" s="49"/>
      <c r="BG403" s="49"/>
      <c r="BH403" s="49"/>
      <c r="BI403" s="49"/>
      <c r="BJ403" s="49"/>
      <c r="BK403" s="111" t="s">
        <v>3163</v>
      </c>
      <c r="BL403" s="111" t="s">
        <v>3163</v>
      </c>
      <c r="BM403" s="111" t="s">
        <v>2390</v>
      </c>
      <c r="BN403" s="111" t="s">
        <v>2390</v>
      </c>
      <c r="BO403" s="2"/>
      <c r="BP403" s="3"/>
      <c r="BQ403" s="3"/>
      <c r="BR403" s="3"/>
      <c r="BS403" s="3"/>
    </row>
    <row r="404" spans="1:71" ht="15">
      <c r="A404" s="65" t="s">
        <v>602</v>
      </c>
      <c r="B404" s="66"/>
      <c r="C404" s="66"/>
      <c r="D404" s="67">
        <v>150</v>
      </c>
      <c r="E404" s="69"/>
      <c r="F404" s="103" t="str">
        <f>HYPERLINK("https://yt3.ggpht.com/ytc/AAUvwniS24EqoY99ShRUFmw0-UjPDpVtuT0-6Z1Cv8Zd=s88-c-k-c0x00ffffff-no-rj")</f>
        <v>https://yt3.ggpht.com/ytc/AAUvwniS24EqoY99ShRUFmw0-UjPDpVtuT0-6Z1Cv8Zd=s88-c-k-c0x00ffffff-no-rj</v>
      </c>
      <c r="G404" s="66"/>
      <c r="H404" s="70" t="s">
        <v>1961</v>
      </c>
      <c r="I404" s="71"/>
      <c r="J404" s="71" t="s">
        <v>159</v>
      </c>
      <c r="K404" s="70" t="s">
        <v>1961</v>
      </c>
      <c r="L404" s="74">
        <v>1</v>
      </c>
      <c r="M404" s="75">
        <v>9315.96875</v>
      </c>
      <c r="N404" s="75">
        <v>4291.478515625</v>
      </c>
      <c r="O404" s="76"/>
      <c r="P404" s="77"/>
      <c r="Q404" s="77"/>
      <c r="R404" s="89"/>
      <c r="S404" s="49">
        <v>0</v>
      </c>
      <c r="T404" s="49">
        <v>1</v>
      </c>
      <c r="U404" s="50">
        <v>0</v>
      </c>
      <c r="V404" s="50">
        <v>0.002033</v>
      </c>
      <c r="W404" s="50">
        <v>0.000829</v>
      </c>
      <c r="X404" s="50">
        <v>0.553429</v>
      </c>
      <c r="Y404" s="50">
        <v>0</v>
      </c>
      <c r="Z404" s="50">
        <v>0</v>
      </c>
      <c r="AA404" s="72">
        <v>404</v>
      </c>
      <c r="AB404" s="72"/>
      <c r="AC404" s="73"/>
      <c r="AD404" s="80" t="s">
        <v>1961</v>
      </c>
      <c r="AE404" s="80" t="s">
        <v>2547</v>
      </c>
      <c r="AF404" s="80"/>
      <c r="AG404" s="80"/>
      <c r="AH404" s="80"/>
      <c r="AI404" s="80"/>
      <c r="AJ404" s="87">
        <v>42576.610613425924</v>
      </c>
      <c r="AK404" s="85" t="str">
        <f>HYPERLINK("https://yt3.ggpht.com/ytc/AAUvwniS24EqoY99ShRUFmw0-UjPDpVtuT0-6Z1Cv8Zd=s88-c-k-c0x00ffffff-no-rj")</f>
        <v>https://yt3.ggpht.com/ytc/AAUvwniS24EqoY99ShRUFmw0-UjPDpVtuT0-6Z1Cv8Zd=s88-c-k-c0x00ffffff-no-rj</v>
      </c>
      <c r="AL404" s="80">
        <v>0</v>
      </c>
      <c r="AM404" s="80">
        <v>0</v>
      </c>
      <c r="AN404" s="80">
        <v>2</v>
      </c>
      <c r="AO404" s="80" t="b">
        <v>0</v>
      </c>
      <c r="AP404" s="80">
        <v>0</v>
      </c>
      <c r="AQ404" s="80"/>
      <c r="AR404" s="80"/>
      <c r="AS404" s="80" t="s">
        <v>2664</v>
      </c>
      <c r="AT404" s="85" t="str">
        <f>HYPERLINK("https://www.youtube.com/channel/UC5svPzYb-Q2h5UgW3fUxIfg")</f>
        <v>https://www.youtube.com/channel/UC5svPzYb-Q2h5UgW3fUxIfg</v>
      </c>
      <c r="AU404" s="80" t="str">
        <f>REPLACE(INDEX(GroupVertices[Group],MATCH(Vertices[[#This Row],[Vertex]],GroupVertices[Vertex],0)),1,1,"")</f>
        <v>12</v>
      </c>
      <c r="AV404" s="49">
        <v>0</v>
      </c>
      <c r="AW404" s="50">
        <v>0</v>
      </c>
      <c r="AX404" s="49">
        <v>2</v>
      </c>
      <c r="AY404" s="50">
        <v>20</v>
      </c>
      <c r="AZ404" s="49">
        <v>0</v>
      </c>
      <c r="BA404" s="50">
        <v>0</v>
      </c>
      <c r="BB404" s="49">
        <v>8</v>
      </c>
      <c r="BC404" s="50">
        <v>80</v>
      </c>
      <c r="BD404" s="49">
        <v>10</v>
      </c>
      <c r="BE404" s="49"/>
      <c r="BF404" s="49"/>
      <c r="BG404" s="49"/>
      <c r="BH404" s="49"/>
      <c r="BI404" s="49"/>
      <c r="BJ404" s="49"/>
      <c r="BK404" s="111" t="s">
        <v>3977</v>
      </c>
      <c r="BL404" s="111" t="s">
        <v>3977</v>
      </c>
      <c r="BM404" s="111" t="s">
        <v>4440</v>
      </c>
      <c r="BN404" s="111" t="s">
        <v>4440</v>
      </c>
      <c r="BO404" s="2"/>
      <c r="BP404" s="3"/>
      <c r="BQ404" s="3"/>
      <c r="BR404" s="3"/>
      <c r="BS404" s="3"/>
    </row>
    <row r="405" spans="1:71" ht="15">
      <c r="A405" s="65" t="s">
        <v>603</v>
      </c>
      <c r="B405" s="66"/>
      <c r="C405" s="66"/>
      <c r="D405" s="67">
        <v>150</v>
      </c>
      <c r="E405" s="69"/>
      <c r="F405" s="103" t="str">
        <f>HYPERLINK("https://yt3.ggpht.com/ytc/AAUvwni9AAntrTzIHBLmPLLkgjUKtqOxn8mv4bx9wFTyXQ=s88-c-k-c0x00ffffff-no-rj")</f>
        <v>https://yt3.ggpht.com/ytc/AAUvwni9AAntrTzIHBLmPLLkgjUKtqOxn8mv4bx9wFTyXQ=s88-c-k-c0x00ffffff-no-rj</v>
      </c>
      <c r="G405" s="66"/>
      <c r="H405" s="70" t="s">
        <v>1962</v>
      </c>
      <c r="I405" s="71"/>
      <c r="J405" s="71" t="s">
        <v>159</v>
      </c>
      <c r="K405" s="70" t="s">
        <v>1962</v>
      </c>
      <c r="L405" s="74">
        <v>1</v>
      </c>
      <c r="M405" s="75">
        <v>9857.1455078125</v>
      </c>
      <c r="N405" s="75">
        <v>3928.556396484375</v>
      </c>
      <c r="O405" s="76"/>
      <c r="P405" s="77"/>
      <c r="Q405" s="77"/>
      <c r="R405" s="89"/>
      <c r="S405" s="49">
        <v>0</v>
      </c>
      <c r="T405" s="49">
        <v>1</v>
      </c>
      <c r="U405" s="50">
        <v>0</v>
      </c>
      <c r="V405" s="50">
        <v>0.002033</v>
      </c>
      <c r="W405" s="50">
        <v>0.000829</v>
      </c>
      <c r="X405" s="50">
        <v>0.553429</v>
      </c>
      <c r="Y405" s="50">
        <v>0</v>
      </c>
      <c r="Z405" s="50">
        <v>0</v>
      </c>
      <c r="AA405" s="72">
        <v>405</v>
      </c>
      <c r="AB405" s="72"/>
      <c r="AC405" s="73"/>
      <c r="AD405" s="80" t="s">
        <v>1962</v>
      </c>
      <c r="AE405" s="80" t="s">
        <v>2548</v>
      </c>
      <c r="AF405" s="80"/>
      <c r="AG405" s="80"/>
      <c r="AH405" s="80"/>
      <c r="AI405" s="80"/>
      <c r="AJ405" s="87">
        <v>42835.610243055555</v>
      </c>
      <c r="AK405" s="85" t="str">
        <f>HYPERLINK("https://yt3.ggpht.com/ytc/AAUvwni9AAntrTzIHBLmPLLkgjUKtqOxn8mv4bx9wFTyXQ=s88-c-k-c0x00ffffff-no-rj")</f>
        <v>https://yt3.ggpht.com/ytc/AAUvwni9AAntrTzIHBLmPLLkgjUKtqOxn8mv4bx9wFTyXQ=s88-c-k-c0x00ffffff-no-rj</v>
      </c>
      <c r="AL405" s="80">
        <v>113</v>
      </c>
      <c r="AM405" s="80">
        <v>0</v>
      </c>
      <c r="AN405" s="80">
        <v>8</v>
      </c>
      <c r="AO405" s="80" t="b">
        <v>0</v>
      </c>
      <c r="AP405" s="80">
        <v>2</v>
      </c>
      <c r="AQ405" s="80"/>
      <c r="AR405" s="80"/>
      <c r="AS405" s="80" t="s">
        <v>2664</v>
      </c>
      <c r="AT405" s="85" t="str">
        <f>HYPERLINK("https://www.youtube.com/channel/UCxNm0L1VAwHS8dZ7yDXOjxA")</f>
        <v>https://www.youtube.com/channel/UCxNm0L1VAwHS8dZ7yDXOjxA</v>
      </c>
      <c r="AU405" s="80" t="str">
        <f>REPLACE(INDEX(GroupVertices[Group],MATCH(Vertices[[#This Row],[Vertex]],GroupVertices[Vertex],0)),1,1,"")</f>
        <v>12</v>
      </c>
      <c r="AV405" s="49">
        <v>1</v>
      </c>
      <c r="AW405" s="50">
        <v>50</v>
      </c>
      <c r="AX405" s="49">
        <v>0</v>
      </c>
      <c r="AY405" s="50">
        <v>0</v>
      </c>
      <c r="AZ405" s="49">
        <v>0</v>
      </c>
      <c r="BA405" s="50">
        <v>0</v>
      </c>
      <c r="BB405" s="49">
        <v>1</v>
      </c>
      <c r="BC405" s="50">
        <v>50</v>
      </c>
      <c r="BD405" s="49">
        <v>2</v>
      </c>
      <c r="BE405" s="49"/>
      <c r="BF405" s="49"/>
      <c r="BG405" s="49"/>
      <c r="BH405" s="49"/>
      <c r="BI405" s="49"/>
      <c r="BJ405" s="49"/>
      <c r="BK405" s="111" t="s">
        <v>3978</v>
      </c>
      <c r="BL405" s="111" t="s">
        <v>3978</v>
      </c>
      <c r="BM405" s="111" t="s">
        <v>4441</v>
      </c>
      <c r="BN405" s="111" t="s">
        <v>4441</v>
      </c>
      <c r="BO405" s="2"/>
      <c r="BP405" s="3"/>
      <c r="BQ405" s="3"/>
      <c r="BR405" s="3"/>
      <c r="BS405" s="3"/>
    </row>
    <row r="406" spans="1:71" ht="15">
      <c r="A406" s="65" t="s">
        <v>604</v>
      </c>
      <c r="B406" s="66"/>
      <c r="C406" s="66"/>
      <c r="D406" s="67">
        <v>150</v>
      </c>
      <c r="E406" s="69"/>
      <c r="F406" s="103" t="str">
        <f>HYPERLINK("https://yt3.ggpht.com/ytc/AAUvwni6WAehzVPj3JgcOtVxl0199FXhpelIzEF6AahcjQ=s88-c-k-c0x00ffffff-no-rj")</f>
        <v>https://yt3.ggpht.com/ytc/AAUvwni6WAehzVPj3JgcOtVxl0199FXhpelIzEF6AahcjQ=s88-c-k-c0x00ffffff-no-rj</v>
      </c>
      <c r="G406" s="66"/>
      <c r="H406" s="70" t="s">
        <v>1963</v>
      </c>
      <c r="I406" s="71"/>
      <c r="J406" s="71" t="s">
        <v>159</v>
      </c>
      <c r="K406" s="70" t="s">
        <v>1963</v>
      </c>
      <c r="L406" s="74">
        <v>1</v>
      </c>
      <c r="M406" s="75">
        <v>8990.6083984375</v>
      </c>
      <c r="N406" s="75">
        <v>3531.27392578125</v>
      </c>
      <c r="O406" s="76"/>
      <c r="P406" s="77"/>
      <c r="Q406" s="77"/>
      <c r="R406" s="89"/>
      <c r="S406" s="49">
        <v>0</v>
      </c>
      <c r="T406" s="49">
        <v>1</v>
      </c>
      <c r="U406" s="50">
        <v>0</v>
      </c>
      <c r="V406" s="50">
        <v>0.002033</v>
      </c>
      <c r="W406" s="50">
        <v>0.000829</v>
      </c>
      <c r="X406" s="50">
        <v>0.553429</v>
      </c>
      <c r="Y406" s="50">
        <v>0</v>
      </c>
      <c r="Z406" s="50">
        <v>0</v>
      </c>
      <c r="AA406" s="72">
        <v>406</v>
      </c>
      <c r="AB406" s="72"/>
      <c r="AC406" s="73"/>
      <c r="AD406" s="80" t="s">
        <v>1963</v>
      </c>
      <c r="AE406" s="80" t="s">
        <v>2549</v>
      </c>
      <c r="AF406" s="80"/>
      <c r="AG406" s="80"/>
      <c r="AH406" s="80"/>
      <c r="AI406" s="80"/>
      <c r="AJ406" s="87">
        <v>42343.747199074074</v>
      </c>
      <c r="AK406" s="85" t="str">
        <f>HYPERLINK("https://yt3.ggpht.com/ytc/AAUvwni6WAehzVPj3JgcOtVxl0199FXhpelIzEF6AahcjQ=s88-c-k-c0x00ffffff-no-rj")</f>
        <v>https://yt3.ggpht.com/ytc/AAUvwni6WAehzVPj3JgcOtVxl0199FXhpelIzEF6AahcjQ=s88-c-k-c0x00ffffff-no-rj</v>
      </c>
      <c r="AL406" s="80">
        <v>15673</v>
      </c>
      <c r="AM406" s="80">
        <v>0</v>
      </c>
      <c r="AN406" s="80">
        <v>86</v>
      </c>
      <c r="AO406" s="80" t="b">
        <v>0</v>
      </c>
      <c r="AP406" s="80">
        <v>4</v>
      </c>
      <c r="AQ406" s="80"/>
      <c r="AR406" s="80"/>
      <c r="AS406" s="80" t="s">
        <v>2664</v>
      </c>
      <c r="AT406" s="85" t="str">
        <f>HYPERLINK("https://www.youtube.com/channel/UC3LBkyF05aXlH8CTdYBy_Eg")</f>
        <v>https://www.youtube.com/channel/UC3LBkyF05aXlH8CTdYBy_Eg</v>
      </c>
      <c r="AU406" s="80" t="str">
        <f>REPLACE(INDEX(GroupVertices[Group],MATCH(Vertices[[#This Row],[Vertex]],GroupVertices[Vertex],0)),1,1,"")</f>
        <v>12</v>
      </c>
      <c r="AV406" s="49">
        <v>1</v>
      </c>
      <c r="AW406" s="50">
        <v>20</v>
      </c>
      <c r="AX406" s="49">
        <v>0</v>
      </c>
      <c r="AY406" s="50">
        <v>0</v>
      </c>
      <c r="AZ406" s="49">
        <v>0</v>
      </c>
      <c r="BA406" s="50">
        <v>0</v>
      </c>
      <c r="BB406" s="49">
        <v>4</v>
      </c>
      <c r="BC406" s="50">
        <v>80</v>
      </c>
      <c r="BD406" s="49">
        <v>5</v>
      </c>
      <c r="BE406" s="49"/>
      <c r="BF406" s="49"/>
      <c r="BG406" s="49"/>
      <c r="BH406" s="49"/>
      <c r="BI406" s="49"/>
      <c r="BJ406" s="49"/>
      <c r="BK406" s="111" t="s">
        <v>3979</v>
      </c>
      <c r="BL406" s="111" t="s">
        <v>3979</v>
      </c>
      <c r="BM406" s="111" t="s">
        <v>4442</v>
      </c>
      <c r="BN406" s="111" t="s">
        <v>4442</v>
      </c>
      <c r="BO406" s="2"/>
      <c r="BP406" s="3"/>
      <c r="BQ406" s="3"/>
      <c r="BR406" s="3"/>
      <c r="BS406" s="3"/>
    </row>
    <row r="407" spans="1:71" ht="15">
      <c r="A407" s="65" t="s">
        <v>605</v>
      </c>
      <c r="B407" s="66"/>
      <c r="C407" s="66"/>
      <c r="D407" s="67">
        <v>150</v>
      </c>
      <c r="E407" s="69"/>
      <c r="F407" s="103" t="str">
        <f>HYPERLINK("https://yt3.ggpht.com/ytc/AAUvwnhQcfN644N84S-iysWa-rpxQ0XzPtKYdVc1SWG9=s88-c-k-c0x00ffffff-no-rj")</f>
        <v>https://yt3.ggpht.com/ytc/AAUvwnhQcfN644N84S-iysWa-rpxQ0XzPtKYdVc1SWG9=s88-c-k-c0x00ffffff-no-rj</v>
      </c>
      <c r="G407" s="66"/>
      <c r="H407" s="70" t="s">
        <v>1964</v>
      </c>
      <c r="I407" s="71"/>
      <c r="J407" s="71" t="s">
        <v>159</v>
      </c>
      <c r="K407" s="70" t="s">
        <v>1964</v>
      </c>
      <c r="L407" s="74">
        <v>1</v>
      </c>
      <c r="M407" s="75">
        <v>9629.314453125</v>
      </c>
      <c r="N407" s="75">
        <v>4262.14111328125</v>
      </c>
      <c r="O407" s="76"/>
      <c r="P407" s="77"/>
      <c r="Q407" s="77"/>
      <c r="R407" s="89"/>
      <c r="S407" s="49">
        <v>0</v>
      </c>
      <c r="T407" s="49">
        <v>1</v>
      </c>
      <c r="U407" s="50">
        <v>0</v>
      </c>
      <c r="V407" s="50">
        <v>0.002033</v>
      </c>
      <c r="W407" s="50">
        <v>0.000829</v>
      </c>
      <c r="X407" s="50">
        <v>0.553429</v>
      </c>
      <c r="Y407" s="50">
        <v>0</v>
      </c>
      <c r="Z407" s="50">
        <v>0</v>
      </c>
      <c r="AA407" s="72">
        <v>407</v>
      </c>
      <c r="AB407" s="72"/>
      <c r="AC407" s="73"/>
      <c r="AD407" s="80" t="s">
        <v>1964</v>
      </c>
      <c r="AE407" s="80"/>
      <c r="AF407" s="80"/>
      <c r="AG407" s="80"/>
      <c r="AH407" s="80"/>
      <c r="AI407" s="80"/>
      <c r="AJ407" s="87">
        <v>41627.977847222224</v>
      </c>
      <c r="AK407" s="85" t="str">
        <f>HYPERLINK("https://yt3.ggpht.com/ytc/AAUvwnhQcfN644N84S-iysWa-rpxQ0XzPtKYdVc1SWG9=s88-c-k-c0x00ffffff-no-rj")</f>
        <v>https://yt3.ggpht.com/ytc/AAUvwnhQcfN644N84S-iysWa-rpxQ0XzPtKYdVc1SWG9=s88-c-k-c0x00ffffff-no-rj</v>
      </c>
      <c r="AL407" s="80">
        <v>0</v>
      </c>
      <c r="AM407" s="80">
        <v>0</v>
      </c>
      <c r="AN407" s="80">
        <v>5</v>
      </c>
      <c r="AO407" s="80" t="b">
        <v>0</v>
      </c>
      <c r="AP407" s="80">
        <v>0</v>
      </c>
      <c r="AQ407" s="80"/>
      <c r="AR407" s="80"/>
      <c r="AS407" s="80" t="s">
        <v>2664</v>
      </c>
      <c r="AT407" s="85" t="str">
        <f>HYPERLINK("https://www.youtube.com/channel/UCtDTJswKfTIo929ea9LuyVA")</f>
        <v>https://www.youtube.com/channel/UCtDTJswKfTIo929ea9LuyVA</v>
      </c>
      <c r="AU407" s="80" t="str">
        <f>REPLACE(INDEX(GroupVertices[Group],MATCH(Vertices[[#This Row],[Vertex]],GroupVertices[Vertex],0)),1,1,"")</f>
        <v>12</v>
      </c>
      <c r="AV407" s="49">
        <v>1</v>
      </c>
      <c r="AW407" s="50">
        <v>25</v>
      </c>
      <c r="AX407" s="49">
        <v>0</v>
      </c>
      <c r="AY407" s="50">
        <v>0</v>
      </c>
      <c r="AZ407" s="49">
        <v>0</v>
      </c>
      <c r="BA407" s="50">
        <v>0</v>
      </c>
      <c r="BB407" s="49">
        <v>3</v>
      </c>
      <c r="BC407" s="50">
        <v>75</v>
      </c>
      <c r="BD407" s="49">
        <v>4</v>
      </c>
      <c r="BE407" s="49"/>
      <c r="BF407" s="49"/>
      <c r="BG407" s="49"/>
      <c r="BH407" s="49"/>
      <c r="BI407" s="49"/>
      <c r="BJ407" s="49"/>
      <c r="BK407" s="111" t="s">
        <v>3980</v>
      </c>
      <c r="BL407" s="111" t="s">
        <v>3980</v>
      </c>
      <c r="BM407" s="111" t="s">
        <v>2390</v>
      </c>
      <c r="BN407" s="111" t="s">
        <v>2390</v>
      </c>
      <c r="BO407" s="2"/>
      <c r="BP407" s="3"/>
      <c r="BQ407" s="3"/>
      <c r="BR407" s="3"/>
      <c r="BS407" s="3"/>
    </row>
    <row r="408" spans="1:71" ht="15">
      <c r="A408" s="65" t="s">
        <v>606</v>
      </c>
      <c r="B408" s="66"/>
      <c r="C408" s="66"/>
      <c r="D408" s="67">
        <v>150</v>
      </c>
      <c r="E408" s="69"/>
      <c r="F408" s="103" t="str">
        <f>HYPERLINK("https://yt3.ggpht.com/ytc/AAUvwnhdVJn29GQ5nIXCr2_RHmp_ELQephFR3OCKI70i=s88-c-k-c0x00ffffff-no-rj")</f>
        <v>https://yt3.ggpht.com/ytc/AAUvwnhdVJn29GQ5nIXCr2_RHmp_ELQephFR3OCKI70i=s88-c-k-c0x00ffffff-no-rj</v>
      </c>
      <c r="G408" s="66"/>
      <c r="H408" s="70" t="s">
        <v>1965</v>
      </c>
      <c r="I408" s="71"/>
      <c r="J408" s="71" t="s">
        <v>159</v>
      </c>
      <c r="K408" s="70" t="s">
        <v>1965</v>
      </c>
      <c r="L408" s="74">
        <v>1</v>
      </c>
      <c r="M408" s="75">
        <v>9418.7890625</v>
      </c>
      <c r="N408" s="75">
        <v>2904.333740234375</v>
      </c>
      <c r="O408" s="76"/>
      <c r="P408" s="77"/>
      <c r="Q408" s="77"/>
      <c r="R408" s="89"/>
      <c r="S408" s="49">
        <v>0</v>
      </c>
      <c r="T408" s="49">
        <v>1</v>
      </c>
      <c r="U408" s="50">
        <v>0</v>
      </c>
      <c r="V408" s="50">
        <v>0.002033</v>
      </c>
      <c r="W408" s="50">
        <v>0.000829</v>
      </c>
      <c r="X408" s="50">
        <v>0.553429</v>
      </c>
      <c r="Y408" s="50">
        <v>0</v>
      </c>
      <c r="Z408" s="50">
        <v>0</v>
      </c>
      <c r="AA408" s="72">
        <v>408</v>
      </c>
      <c r="AB408" s="72"/>
      <c r="AC408" s="73"/>
      <c r="AD408" s="80" t="s">
        <v>1965</v>
      </c>
      <c r="AE408" s="80"/>
      <c r="AF408" s="80"/>
      <c r="AG408" s="80"/>
      <c r="AH408" s="80"/>
      <c r="AI408" s="80"/>
      <c r="AJ408" s="87">
        <v>43777.784212962964</v>
      </c>
      <c r="AK408" s="85" t="str">
        <f>HYPERLINK("https://yt3.ggpht.com/ytc/AAUvwnhdVJn29GQ5nIXCr2_RHmp_ELQephFR3OCKI70i=s88-c-k-c0x00ffffff-no-rj")</f>
        <v>https://yt3.ggpht.com/ytc/AAUvwnhdVJn29GQ5nIXCr2_RHmp_ELQephFR3OCKI70i=s88-c-k-c0x00ffffff-no-rj</v>
      </c>
      <c r="AL408" s="80">
        <v>0</v>
      </c>
      <c r="AM408" s="80">
        <v>0</v>
      </c>
      <c r="AN408" s="80">
        <v>1</v>
      </c>
      <c r="AO408" s="80" t="b">
        <v>0</v>
      </c>
      <c r="AP408" s="80">
        <v>0</v>
      </c>
      <c r="AQ408" s="80"/>
      <c r="AR408" s="80"/>
      <c r="AS408" s="80" t="s">
        <v>2664</v>
      </c>
      <c r="AT408" s="85" t="str">
        <f>HYPERLINK("https://www.youtube.com/channel/UCVTQwxMQKcjgXSajrmFcadg")</f>
        <v>https://www.youtube.com/channel/UCVTQwxMQKcjgXSajrmFcadg</v>
      </c>
      <c r="AU408" s="80" t="str">
        <f>REPLACE(INDEX(GroupVertices[Group],MATCH(Vertices[[#This Row],[Vertex]],GroupVertices[Vertex],0)),1,1,"")</f>
        <v>12</v>
      </c>
      <c r="AV408" s="49">
        <v>0</v>
      </c>
      <c r="AW408" s="50">
        <v>0</v>
      </c>
      <c r="AX408" s="49">
        <v>0</v>
      </c>
      <c r="AY408" s="50">
        <v>0</v>
      </c>
      <c r="AZ408" s="49">
        <v>0</v>
      </c>
      <c r="BA408" s="50">
        <v>0</v>
      </c>
      <c r="BB408" s="49">
        <v>7</v>
      </c>
      <c r="BC408" s="50">
        <v>100</v>
      </c>
      <c r="BD408" s="49">
        <v>7</v>
      </c>
      <c r="BE408" s="49"/>
      <c r="BF408" s="49"/>
      <c r="BG408" s="49"/>
      <c r="BH408" s="49"/>
      <c r="BI408" s="49"/>
      <c r="BJ408" s="49"/>
      <c r="BK408" s="111" t="s">
        <v>3981</v>
      </c>
      <c r="BL408" s="111" t="s">
        <v>3981</v>
      </c>
      <c r="BM408" s="111" t="s">
        <v>4443</v>
      </c>
      <c r="BN408" s="111" t="s">
        <v>4443</v>
      </c>
      <c r="BO408" s="2"/>
      <c r="BP408" s="3"/>
      <c r="BQ408" s="3"/>
      <c r="BR408" s="3"/>
      <c r="BS408" s="3"/>
    </row>
    <row r="409" spans="1:71" ht="15">
      <c r="A409" s="65" t="s">
        <v>607</v>
      </c>
      <c r="B409" s="66"/>
      <c r="C409" s="66"/>
      <c r="D409" s="67">
        <v>150</v>
      </c>
      <c r="E409" s="69"/>
      <c r="F409" s="103" t="str">
        <f>HYPERLINK("https://yt3.ggpht.com/ytc/AAUvwniovasuTVsvnpQq4vxoGIJhjsyv8NhkzV1bnryx=s88-c-k-c0x00ffffff-no-rj")</f>
        <v>https://yt3.ggpht.com/ytc/AAUvwniovasuTVsvnpQq4vxoGIJhjsyv8NhkzV1bnryx=s88-c-k-c0x00ffffff-no-rj</v>
      </c>
      <c r="G409" s="66"/>
      <c r="H409" s="70" t="s">
        <v>1966</v>
      </c>
      <c r="I409" s="71"/>
      <c r="J409" s="71" t="s">
        <v>159</v>
      </c>
      <c r="K409" s="70" t="s">
        <v>1966</v>
      </c>
      <c r="L409" s="74">
        <v>1</v>
      </c>
      <c r="M409" s="75">
        <v>9130.8359375</v>
      </c>
      <c r="N409" s="75">
        <v>3097.444091796875</v>
      </c>
      <c r="O409" s="76"/>
      <c r="P409" s="77"/>
      <c r="Q409" s="77"/>
      <c r="R409" s="89"/>
      <c r="S409" s="49">
        <v>0</v>
      </c>
      <c r="T409" s="49">
        <v>1</v>
      </c>
      <c r="U409" s="50">
        <v>0</v>
      </c>
      <c r="V409" s="50">
        <v>0.002033</v>
      </c>
      <c r="W409" s="50">
        <v>0.000829</v>
      </c>
      <c r="X409" s="50">
        <v>0.553429</v>
      </c>
      <c r="Y409" s="50">
        <v>0</v>
      </c>
      <c r="Z409" s="50">
        <v>0</v>
      </c>
      <c r="AA409" s="72">
        <v>409</v>
      </c>
      <c r="AB409" s="72"/>
      <c r="AC409" s="73"/>
      <c r="AD409" s="80" t="s">
        <v>1966</v>
      </c>
      <c r="AE409" s="80" t="s">
        <v>2550</v>
      </c>
      <c r="AF409" s="80"/>
      <c r="AG409" s="80"/>
      <c r="AH409" s="80"/>
      <c r="AI409" s="80"/>
      <c r="AJ409" s="87">
        <v>43038.84962962963</v>
      </c>
      <c r="AK409" s="85" t="str">
        <f>HYPERLINK("https://yt3.ggpht.com/ytc/AAUvwniovasuTVsvnpQq4vxoGIJhjsyv8NhkzV1bnryx=s88-c-k-c0x00ffffff-no-rj")</f>
        <v>https://yt3.ggpht.com/ytc/AAUvwniovasuTVsvnpQq4vxoGIJhjsyv8NhkzV1bnryx=s88-c-k-c0x00ffffff-no-rj</v>
      </c>
      <c r="AL409" s="80">
        <v>0</v>
      </c>
      <c r="AM409" s="80">
        <v>0</v>
      </c>
      <c r="AN409" s="80">
        <v>5</v>
      </c>
      <c r="AO409" s="80" t="b">
        <v>0</v>
      </c>
      <c r="AP409" s="80">
        <v>0</v>
      </c>
      <c r="AQ409" s="80"/>
      <c r="AR409" s="80"/>
      <c r="AS409" s="80" t="s">
        <v>2664</v>
      </c>
      <c r="AT409" s="85" t="str">
        <f>HYPERLINK("https://www.youtube.com/channel/UCW2mhNoDumoJAeqYxmSBVJA")</f>
        <v>https://www.youtube.com/channel/UCW2mhNoDumoJAeqYxmSBVJA</v>
      </c>
      <c r="AU409" s="80" t="str">
        <f>REPLACE(INDEX(GroupVertices[Group],MATCH(Vertices[[#This Row],[Vertex]],GroupVertices[Vertex],0)),1,1,"")</f>
        <v>12</v>
      </c>
      <c r="AV409" s="49">
        <v>2</v>
      </c>
      <c r="AW409" s="50">
        <v>40</v>
      </c>
      <c r="AX409" s="49">
        <v>0</v>
      </c>
      <c r="AY409" s="50">
        <v>0</v>
      </c>
      <c r="AZ409" s="49">
        <v>0</v>
      </c>
      <c r="BA409" s="50">
        <v>0</v>
      </c>
      <c r="BB409" s="49">
        <v>3</v>
      </c>
      <c r="BC409" s="50">
        <v>60</v>
      </c>
      <c r="BD409" s="49">
        <v>5</v>
      </c>
      <c r="BE409" s="49"/>
      <c r="BF409" s="49"/>
      <c r="BG409" s="49"/>
      <c r="BH409" s="49"/>
      <c r="BI409" s="49"/>
      <c r="BJ409" s="49"/>
      <c r="BK409" s="111" t="s">
        <v>2985</v>
      </c>
      <c r="BL409" s="111" t="s">
        <v>2985</v>
      </c>
      <c r="BM409" s="111" t="s">
        <v>4444</v>
      </c>
      <c r="BN409" s="111" t="s">
        <v>4444</v>
      </c>
      <c r="BO409" s="2"/>
      <c r="BP409" s="3"/>
      <c r="BQ409" s="3"/>
      <c r="BR409" s="3"/>
      <c r="BS409" s="3"/>
    </row>
    <row r="410" spans="1:71" ht="15">
      <c r="A410" s="65" t="s">
        <v>609</v>
      </c>
      <c r="B410" s="66"/>
      <c r="C410" s="66"/>
      <c r="D410" s="67">
        <v>150</v>
      </c>
      <c r="E410" s="69"/>
      <c r="F410" s="103" t="str">
        <f>HYPERLINK("https://yt3.ggpht.com/ytc/AAUvwnhVN_hrIgKfEeiXJhP60CUxDCj-66FkLFViWscDlw=s88-c-k-c0x00ffffff-no-rj")</f>
        <v>https://yt3.ggpht.com/ytc/AAUvwnhVN_hrIgKfEeiXJhP60CUxDCj-66FkLFViWscDlw=s88-c-k-c0x00ffffff-no-rj</v>
      </c>
      <c r="G410" s="66"/>
      <c r="H410" s="70" t="s">
        <v>1968</v>
      </c>
      <c r="I410" s="71"/>
      <c r="J410" s="71" t="s">
        <v>159</v>
      </c>
      <c r="K410" s="70" t="s">
        <v>1968</v>
      </c>
      <c r="L410" s="74">
        <v>1</v>
      </c>
      <c r="M410" s="75">
        <v>1599.07470703125</v>
      </c>
      <c r="N410" s="75">
        <v>6186.3828125</v>
      </c>
      <c r="O410" s="76"/>
      <c r="P410" s="77"/>
      <c r="Q410" s="77"/>
      <c r="R410" s="89"/>
      <c r="S410" s="49">
        <v>0</v>
      </c>
      <c r="T410" s="49">
        <v>1</v>
      </c>
      <c r="U410" s="50">
        <v>0</v>
      </c>
      <c r="V410" s="50">
        <v>0.002801</v>
      </c>
      <c r="W410" s="50">
        <v>0.008244</v>
      </c>
      <c r="X410" s="50">
        <v>0.512495</v>
      </c>
      <c r="Y410" s="50">
        <v>0</v>
      </c>
      <c r="Z410" s="50">
        <v>0</v>
      </c>
      <c r="AA410" s="72">
        <v>410</v>
      </c>
      <c r="AB410" s="72"/>
      <c r="AC410" s="73"/>
      <c r="AD410" s="80" t="s">
        <v>1968</v>
      </c>
      <c r="AE410" s="80"/>
      <c r="AF410" s="80"/>
      <c r="AG410" s="80"/>
      <c r="AH410" s="80"/>
      <c r="AI410" s="80"/>
      <c r="AJ410" s="87">
        <v>41696.90797453704</v>
      </c>
      <c r="AK410" s="85" t="str">
        <f>HYPERLINK("https://yt3.ggpht.com/ytc/AAUvwnhVN_hrIgKfEeiXJhP60CUxDCj-66FkLFViWscDlw=s88-c-k-c0x00ffffff-no-rj")</f>
        <v>https://yt3.ggpht.com/ytc/AAUvwnhVN_hrIgKfEeiXJhP60CUxDCj-66FkLFViWscDlw=s88-c-k-c0x00ffffff-no-rj</v>
      </c>
      <c r="AL410" s="80">
        <v>28527</v>
      </c>
      <c r="AM410" s="80">
        <v>0</v>
      </c>
      <c r="AN410" s="80">
        <v>143</v>
      </c>
      <c r="AO410" s="80" t="b">
        <v>0</v>
      </c>
      <c r="AP410" s="80">
        <v>4</v>
      </c>
      <c r="AQ410" s="80"/>
      <c r="AR410" s="80"/>
      <c r="AS410" s="80" t="s">
        <v>2664</v>
      </c>
      <c r="AT410" s="85" t="str">
        <f>HYPERLINK("https://www.youtube.com/channel/UCk1v-IfRLmWAm-SiRqnxnJQ")</f>
        <v>https://www.youtube.com/channel/UCk1v-IfRLmWAm-SiRqnxnJQ</v>
      </c>
      <c r="AU410" s="80" t="str">
        <f>REPLACE(INDEX(GroupVertices[Group],MATCH(Vertices[[#This Row],[Vertex]],GroupVertices[Vertex],0)),1,1,"")</f>
        <v>1</v>
      </c>
      <c r="AV410" s="49">
        <v>2</v>
      </c>
      <c r="AW410" s="50">
        <v>8</v>
      </c>
      <c r="AX410" s="49">
        <v>1</v>
      </c>
      <c r="AY410" s="50">
        <v>4</v>
      </c>
      <c r="AZ410" s="49">
        <v>0</v>
      </c>
      <c r="BA410" s="50">
        <v>0</v>
      </c>
      <c r="BB410" s="49">
        <v>22</v>
      </c>
      <c r="BC410" s="50">
        <v>88</v>
      </c>
      <c r="BD410" s="49">
        <v>25</v>
      </c>
      <c r="BE410" s="49"/>
      <c r="BF410" s="49"/>
      <c r="BG410" s="49"/>
      <c r="BH410" s="49"/>
      <c r="BI410" s="49"/>
      <c r="BJ410" s="49"/>
      <c r="BK410" s="111" t="s">
        <v>3982</v>
      </c>
      <c r="BL410" s="111" t="s">
        <v>3982</v>
      </c>
      <c r="BM410" s="111" t="s">
        <v>4445</v>
      </c>
      <c r="BN410" s="111" t="s">
        <v>4445</v>
      </c>
      <c r="BO410" s="2"/>
      <c r="BP410" s="3"/>
      <c r="BQ410" s="3"/>
      <c r="BR410" s="3"/>
      <c r="BS410" s="3"/>
    </row>
    <row r="411" spans="1:71" ht="15">
      <c r="A411" s="65" t="s">
        <v>610</v>
      </c>
      <c r="B411" s="66"/>
      <c r="C411" s="66"/>
      <c r="D411" s="67">
        <v>150</v>
      </c>
      <c r="E411" s="69"/>
      <c r="F411" s="103" t="str">
        <f>HYPERLINK("https://yt3.ggpht.com/ytc/AAUvwnjXjPP4XBFp5RBQ8io5sEUgQejckGAwkKB_XtDyEg=s88-c-k-c0x00ffffff-no-rj")</f>
        <v>https://yt3.ggpht.com/ytc/AAUvwnjXjPP4XBFp5RBQ8io5sEUgQejckGAwkKB_XtDyEg=s88-c-k-c0x00ffffff-no-rj</v>
      </c>
      <c r="G411" s="66"/>
      <c r="H411" s="70" t="s">
        <v>1969</v>
      </c>
      <c r="I411" s="71"/>
      <c r="J411" s="71" t="s">
        <v>159</v>
      </c>
      <c r="K411" s="70" t="s">
        <v>1969</v>
      </c>
      <c r="L411" s="74">
        <v>1</v>
      </c>
      <c r="M411" s="75">
        <v>2397.663818359375</v>
      </c>
      <c r="N411" s="75">
        <v>4440.6669921875</v>
      </c>
      <c r="O411" s="76"/>
      <c r="P411" s="77"/>
      <c r="Q411" s="77"/>
      <c r="R411" s="89"/>
      <c r="S411" s="49">
        <v>0</v>
      </c>
      <c r="T411" s="49">
        <v>1</v>
      </c>
      <c r="U411" s="50">
        <v>0</v>
      </c>
      <c r="V411" s="50">
        <v>0.001969</v>
      </c>
      <c r="W411" s="50">
        <v>0.000772</v>
      </c>
      <c r="X411" s="50">
        <v>0.575828</v>
      </c>
      <c r="Y411" s="50">
        <v>0</v>
      </c>
      <c r="Z411" s="50">
        <v>0</v>
      </c>
      <c r="AA411" s="72">
        <v>411</v>
      </c>
      <c r="AB411" s="72"/>
      <c r="AC411" s="73"/>
      <c r="AD411" s="80" t="s">
        <v>1969</v>
      </c>
      <c r="AE411" s="80" t="s">
        <v>2551</v>
      </c>
      <c r="AF411" s="80"/>
      <c r="AG411" s="80"/>
      <c r="AH411" s="80"/>
      <c r="AI411" s="80" t="s">
        <v>2648</v>
      </c>
      <c r="AJ411" s="87">
        <v>42422.85282407407</v>
      </c>
      <c r="AK411" s="85" t="str">
        <f>HYPERLINK("https://yt3.ggpht.com/ytc/AAUvwnjXjPP4XBFp5RBQ8io5sEUgQejckGAwkKB_XtDyEg=s88-c-k-c0x00ffffff-no-rj")</f>
        <v>https://yt3.ggpht.com/ytc/AAUvwnjXjPP4XBFp5RBQ8io5sEUgQejckGAwkKB_XtDyEg=s88-c-k-c0x00ffffff-no-rj</v>
      </c>
      <c r="AL411" s="80">
        <v>29322</v>
      </c>
      <c r="AM411" s="80">
        <v>0</v>
      </c>
      <c r="AN411" s="80">
        <v>279</v>
      </c>
      <c r="AO411" s="80" t="b">
        <v>0</v>
      </c>
      <c r="AP411" s="80">
        <v>46</v>
      </c>
      <c r="AQ411" s="80"/>
      <c r="AR411" s="80"/>
      <c r="AS411" s="80" t="s">
        <v>2664</v>
      </c>
      <c r="AT411" s="85" t="str">
        <f>HYPERLINK("https://www.youtube.com/channel/UCoxUHvB2cSCItSwpVN-V_VQ")</f>
        <v>https://www.youtube.com/channel/UCoxUHvB2cSCItSwpVN-V_VQ</v>
      </c>
      <c r="AU411" s="80" t="str">
        <f>REPLACE(INDEX(GroupVertices[Group],MATCH(Vertices[[#This Row],[Vertex]],GroupVertices[Vertex],0)),1,1,"")</f>
        <v>1</v>
      </c>
      <c r="AV411" s="49">
        <v>0</v>
      </c>
      <c r="AW411" s="50">
        <v>0</v>
      </c>
      <c r="AX411" s="49">
        <v>0</v>
      </c>
      <c r="AY411" s="50">
        <v>0</v>
      </c>
      <c r="AZ411" s="49">
        <v>0</v>
      </c>
      <c r="BA411" s="50">
        <v>0</v>
      </c>
      <c r="BB411" s="49">
        <v>1</v>
      </c>
      <c r="BC411" s="50">
        <v>100</v>
      </c>
      <c r="BD411" s="49">
        <v>1</v>
      </c>
      <c r="BE411" s="49"/>
      <c r="BF411" s="49"/>
      <c r="BG411" s="49"/>
      <c r="BH411" s="49"/>
      <c r="BI411" s="49"/>
      <c r="BJ411" s="49"/>
      <c r="BK411" s="111" t="s">
        <v>2765</v>
      </c>
      <c r="BL411" s="111" t="s">
        <v>2765</v>
      </c>
      <c r="BM411" s="111" t="s">
        <v>2390</v>
      </c>
      <c r="BN411" s="111" t="s">
        <v>2390</v>
      </c>
      <c r="BO411" s="2"/>
      <c r="BP411" s="3"/>
      <c r="BQ411" s="3"/>
      <c r="BR411" s="3"/>
      <c r="BS411" s="3"/>
    </row>
    <row r="412" spans="1:71" ht="15">
      <c r="A412" s="65" t="s">
        <v>611</v>
      </c>
      <c r="B412" s="66"/>
      <c r="C412" s="66"/>
      <c r="D412" s="67">
        <v>433.3333333333333</v>
      </c>
      <c r="E412" s="69"/>
      <c r="F412" s="103" t="str">
        <f>HYPERLINK("https://yt3.ggpht.com/ytc/AAUvwngWlj_Lzh2wP5ggojllC_yPfZv6TWz7jSL0ww=s88-c-k-c0x00ffffff-no-rj")</f>
        <v>https://yt3.ggpht.com/ytc/AAUvwngWlj_Lzh2wP5ggojllC_yPfZv6TWz7jSL0ww=s88-c-k-c0x00ffffff-no-rj</v>
      </c>
      <c r="G412" s="66"/>
      <c r="H412" s="70" t="s">
        <v>1970</v>
      </c>
      <c r="I412" s="71"/>
      <c r="J412" s="71" t="s">
        <v>75</v>
      </c>
      <c r="K412" s="70" t="s">
        <v>1970</v>
      </c>
      <c r="L412" s="74">
        <v>191.43809523809523</v>
      </c>
      <c r="M412" s="75">
        <v>1988.1051025390625</v>
      </c>
      <c r="N412" s="75">
        <v>5639.50830078125</v>
      </c>
      <c r="O412" s="76"/>
      <c r="P412" s="77"/>
      <c r="Q412" s="77"/>
      <c r="R412" s="89"/>
      <c r="S412" s="49">
        <v>2</v>
      </c>
      <c r="T412" s="49">
        <v>1</v>
      </c>
      <c r="U412" s="50">
        <v>306</v>
      </c>
      <c r="V412" s="50">
        <v>0.002817</v>
      </c>
      <c r="W412" s="50">
        <v>0.008315</v>
      </c>
      <c r="X412" s="50">
        <v>1.001948</v>
      </c>
      <c r="Y412" s="50">
        <v>0</v>
      </c>
      <c r="Z412" s="50">
        <v>0.5</v>
      </c>
      <c r="AA412" s="72">
        <v>412</v>
      </c>
      <c r="AB412" s="72"/>
      <c r="AC412" s="73"/>
      <c r="AD412" s="80" t="s">
        <v>1970</v>
      </c>
      <c r="AE412" s="80"/>
      <c r="AF412" s="80"/>
      <c r="AG412" s="80"/>
      <c r="AH412" s="80"/>
      <c r="AI412" s="80"/>
      <c r="AJ412" s="87">
        <v>42589.94974537037</v>
      </c>
      <c r="AK412" s="85" t="str">
        <f>HYPERLINK("https://yt3.ggpht.com/ytc/AAUvwngWlj_Lzh2wP5ggojllC_yPfZv6TWz7jSL0ww=s88-c-k-c0x00ffffff-no-rj")</f>
        <v>https://yt3.ggpht.com/ytc/AAUvwngWlj_Lzh2wP5ggojllC_yPfZv6TWz7jSL0ww=s88-c-k-c0x00ffffff-no-rj</v>
      </c>
      <c r="AL412" s="80">
        <v>2673</v>
      </c>
      <c r="AM412" s="80">
        <v>0</v>
      </c>
      <c r="AN412" s="80">
        <v>11</v>
      </c>
      <c r="AO412" s="80" t="b">
        <v>0</v>
      </c>
      <c r="AP412" s="80">
        <v>4</v>
      </c>
      <c r="AQ412" s="80"/>
      <c r="AR412" s="80"/>
      <c r="AS412" s="80" t="s">
        <v>2664</v>
      </c>
      <c r="AT412" s="85" t="str">
        <f>HYPERLINK("https://www.youtube.com/channel/UCMc7OjtNwZ2L8uXCtPhjM_A")</f>
        <v>https://www.youtube.com/channel/UCMc7OjtNwZ2L8uXCtPhjM_A</v>
      </c>
      <c r="AU412" s="80" t="str">
        <f>REPLACE(INDEX(GroupVertices[Group],MATCH(Vertices[[#This Row],[Vertex]],GroupVertices[Vertex],0)),1,1,"")</f>
        <v>1</v>
      </c>
      <c r="AV412" s="49">
        <v>0</v>
      </c>
      <c r="AW412" s="50">
        <v>0</v>
      </c>
      <c r="AX412" s="49">
        <v>1</v>
      </c>
      <c r="AY412" s="50">
        <v>5.882352941176471</v>
      </c>
      <c r="AZ412" s="49">
        <v>0</v>
      </c>
      <c r="BA412" s="50">
        <v>0</v>
      </c>
      <c r="BB412" s="49">
        <v>16</v>
      </c>
      <c r="BC412" s="50">
        <v>94.11764705882354</v>
      </c>
      <c r="BD412" s="49">
        <v>17</v>
      </c>
      <c r="BE412" s="49"/>
      <c r="BF412" s="49"/>
      <c r="BG412" s="49"/>
      <c r="BH412" s="49"/>
      <c r="BI412" s="49"/>
      <c r="BJ412" s="49"/>
      <c r="BK412" s="111" t="s">
        <v>3983</v>
      </c>
      <c r="BL412" s="111" t="s">
        <v>3983</v>
      </c>
      <c r="BM412" s="111" t="s">
        <v>4446</v>
      </c>
      <c r="BN412" s="111" t="s">
        <v>4446</v>
      </c>
      <c r="BO412" s="2"/>
      <c r="BP412" s="3"/>
      <c r="BQ412" s="3"/>
      <c r="BR412" s="3"/>
      <c r="BS412" s="3"/>
    </row>
    <row r="413" spans="1:71" ht="15">
      <c r="A413" s="65" t="s">
        <v>612</v>
      </c>
      <c r="B413" s="66"/>
      <c r="C413" s="66"/>
      <c r="D413" s="67">
        <v>150</v>
      </c>
      <c r="E413" s="69"/>
      <c r="F413" s="103" t="str">
        <f>HYPERLINK("https://yt3.ggpht.com/ytc/AAUvwnhuqjyJTDKEMJso8tDNCz4CVwSICczD0Lu1jeCj8w=s88-c-k-c0x00ffffff-no-rj")</f>
        <v>https://yt3.ggpht.com/ytc/AAUvwnhuqjyJTDKEMJso8tDNCz4CVwSICczD0Lu1jeCj8w=s88-c-k-c0x00ffffff-no-rj</v>
      </c>
      <c r="G413" s="66"/>
      <c r="H413" s="70" t="s">
        <v>1971</v>
      </c>
      <c r="I413" s="71"/>
      <c r="J413" s="71" t="s">
        <v>159</v>
      </c>
      <c r="K413" s="70" t="s">
        <v>1971</v>
      </c>
      <c r="L413" s="74">
        <v>1</v>
      </c>
      <c r="M413" s="75">
        <v>1879.185791015625</v>
      </c>
      <c r="N413" s="75">
        <v>7551.4033203125</v>
      </c>
      <c r="O413" s="76"/>
      <c r="P413" s="77"/>
      <c r="Q413" s="77"/>
      <c r="R413" s="89"/>
      <c r="S413" s="49">
        <v>0</v>
      </c>
      <c r="T413" s="49">
        <v>1</v>
      </c>
      <c r="U413" s="50">
        <v>0</v>
      </c>
      <c r="V413" s="50">
        <v>0.002801</v>
      </c>
      <c r="W413" s="50">
        <v>0.008244</v>
      </c>
      <c r="X413" s="50">
        <v>0.512495</v>
      </c>
      <c r="Y413" s="50">
        <v>0</v>
      </c>
      <c r="Z413" s="50">
        <v>0</v>
      </c>
      <c r="AA413" s="72">
        <v>413</v>
      </c>
      <c r="AB413" s="72"/>
      <c r="AC413" s="73"/>
      <c r="AD413" s="80" t="s">
        <v>1971</v>
      </c>
      <c r="AE413" s="80"/>
      <c r="AF413" s="80"/>
      <c r="AG413" s="80"/>
      <c r="AH413" s="80"/>
      <c r="AI413" s="80"/>
      <c r="AJ413" s="87">
        <v>41511.43503472222</v>
      </c>
      <c r="AK413" s="85" t="str">
        <f>HYPERLINK("https://yt3.ggpht.com/ytc/AAUvwnhuqjyJTDKEMJso8tDNCz4CVwSICczD0Lu1jeCj8w=s88-c-k-c0x00ffffff-no-rj")</f>
        <v>https://yt3.ggpht.com/ytc/AAUvwnhuqjyJTDKEMJso8tDNCz4CVwSICczD0Lu1jeCj8w=s88-c-k-c0x00ffffff-no-rj</v>
      </c>
      <c r="AL413" s="80">
        <v>0</v>
      </c>
      <c r="AM413" s="80">
        <v>0</v>
      </c>
      <c r="AN413" s="80">
        <v>23</v>
      </c>
      <c r="AO413" s="80" t="b">
        <v>0</v>
      </c>
      <c r="AP413" s="80">
        <v>0</v>
      </c>
      <c r="AQ413" s="80"/>
      <c r="AR413" s="80"/>
      <c r="AS413" s="80" t="s">
        <v>2664</v>
      </c>
      <c r="AT413" s="85" t="str">
        <f>HYPERLINK("https://www.youtube.com/channel/UCYyePgFFf8AZiGQvMV1x8vw")</f>
        <v>https://www.youtube.com/channel/UCYyePgFFf8AZiGQvMV1x8vw</v>
      </c>
      <c r="AU413" s="80" t="str">
        <f>REPLACE(INDEX(GroupVertices[Group],MATCH(Vertices[[#This Row],[Vertex]],GroupVertices[Vertex],0)),1,1,"")</f>
        <v>1</v>
      </c>
      <c r="AV413" s="49">
        <v>2</v>
      </c>
      <c r="AW413" s="50">
        <v>22.22222222222222</v>
      </c>
      <c r="AX413" s="49">
        <v>0</v>
      </c>
      <c r="AY413" s="50">
        <v>0</v>
      </c>
      <c r="AZ413" s="49">
        <v>0</v>
      </c>
      <c r="BA413" s="50">
        <v>0</v>
      </c>
      <c r="BB413" s="49">
        <v>7</v>
      </c>
      <c r="BC413" s="50">
        <v>77.77777777777777</v>
      </c>
      <c r="BD413" s="49">
        <v>9</v>
      </c>
      <c r="BE413" s="49"/>
      <c r="BF413" s="49"/>
      <c r="BG413" s="49"/>
      <c r="BH413" s="49"/>
      <c r="BI413" s="49"/>
      <c r="BJ413" s="49"/>
      <c r="BK413" s="111" t="s">
        <v>2732</v>
      </c>
      <c r="BL413" s="111" t="s">
        <v>2732</v>
      </c>
      <c r="BM413" s="111" t="s">
        <v>2390</v>
      </c>
      <c r="BN413" s="111" t="s">
        <v>2390</v>
      </c>
      <c r="BO413" s="2"/>
      <c r="BP413" s="3"/>
      <c r="BQ413" s="3"/>
      <c r="BR413" s="3"/>
      <c r="BS413" s="3"/>
    </row>
    <row r="414" spans="1:71" ht="15">
      <c r="A414" s="65" t="s">
        <v>613</v>
      </c>
      <c r="B414" s="66"/>
      <c r="C414" s="66"/>
      <c r="D414" s="67">
        <v>150</v>
      </c>
      <c r="E414" s="69"/>
      <c r="F414" s="103" t="str">
        <f>HYPERLINK("https://yt3.ggpht.com/ytc/AAUvwnjxTK-THuPHWG8EjDaOMXyEQz4-z2vYf6-GVwVOjg=s88-c-k-c0x00ffffff-no-rj")</f>
        <v>https://yt3.ggpht.com/ytc/AAUvwnjxTK-THuPHWG8EjDaOMXyEQz4-z2vYf6-GVwVOjg=s88-c-k-c0x00ffffff-no-rj</v>
      </c>
      <c r="G414" s="66"/>
      <c r="H414" s="70" t="s">
        <v>1972</v>
      </c>
      <c r="I414" s="71"/>
      <c r="J414" s="71" t="s">
        <v>159</v>
      </c>
      <c r="K414" s="70" t="s">
        <v>1972</v>
      </c>
      <c r="L414" s="74">
        <v>1</v>
      </c>
      <c r="M414" s="75">
        <v>2472.386474609375</v>
      </c>
      <c r="N414" s="75">
        <v>7017.0185546875</v>
      </c>
      <c r="O414" s="76"/>
      <c r="P414" s="77"/>
      <c r="Q414" s="77"/>
      <c r="R414" s="89"/>
      <c r="S414" s="49">
        <v>0</v>
      </c>
      <c r="T414" s="49">
        <v>1</v>
      </c>
      <c r="U414" s="50">
        <v>0</v>
      </c>
      <c r="V414" s="50">
        <v>0.002801</v>
      </c>
      <c r="W414" s="50">
        <v>0.008244</v>
      </c>
      <c r="X414" s="50">
        <v>0.512495</v>
      </c>
      <c r="Y414" s="50">
        <v>0</v>
      </c>
      <c r="Z414" s="50">
        <v>0</v>
      </c>
      <c r="AA414" s="72">
        <v>414</v>
      </c>
      <c r="AB414" s="72"/>
      <c r="AC414" s="73"/>
      <c r="AD414" s="80" t="s">
        <v>1972</v>
      </c>
      <c r="AE414" s="80"/>
      <c r="AF414" s="80"/>
      <c r="AG414" s="80"/>
      <c r="AH414" s="80"/>
      <c r="AI414" s="80"/>
      <c r="AJ414" s="87">
        <v>41634.90782407407</v>
      </c>
      <c r="AK414" s="85" t="str">
        <f>HYPERLINK("https://yt3.ggpht.com/ytc/AAUvwnjxTK-THuPHWG8EjDaOMXyEQz4-z2vYf6-GVwVOjg=s88-c-k-c0x00ffffff-no-rj")</f>
        <v>https://yt3.ggpht.com/ytc/AAUvwnjxTK-THuPHWG8EjDaOMXyEQz4-z2vYf6-GVwVOjg=s88-c-k-c0x00ffffff-no-rj</v>
      </c>
      <c r="AL414" s="80">
        <v>0</v>
      </c>
      <c r="AM414" s="80">
        <v>0</v>
      </c>
      <c r="AN414" s="80">
        <v>4</v>
      </c>
      <c r="AO414" s="80" t="b">
        <v>0</v>
      </c>
      <c r="AP414" s="80">
        <v>0</v>
      </c>
      <c r="AQ414" s="80"/>
      <c r="AR414" s="80"/>
      <c r="AS414" s="80" t="s">
        <v>2664</v>
      </c>
      <c r="AT414" s="85" t="str">
        <f>HYPERLINK("https://www.youtube.com/channel/UCujKLrTPGoMqbsV6ut4h7NQ")</f>
        <v>https://www.youtube.com/channel/UCujKLrTPGoMqbsV6ut4h7NQ</v>
      </c>
      <c r="AU414" s="80" t="str">
        <f>REPLACE(INDEX(GroupVertices[Group],MATCH(Vertices[[#This Row],[Vertex]],GroupVertices[Vertex],0)),1,1,"")</f>
        <v>1</v>
      </c>
      <c r="AV414" s="49">
        <v>0</v>
      </c>
      <c r="AW414" s="50">
        <v>0</v>
      </c>
      <c r="AX414" s="49">
        <v>0</v>
      </c>
      <c r="AY414" s="50">
        <v>0</v>
      </c>
      <c r="AZ414" s="49">
        <v>0</v>
      </c>
      <c r="BA414" s="50">
        <v>0</v>
      </c>
      <c r="BB414" s="49">
        <v>14</v>
      </c>
      <c r="BC414" s="50">
        <v>100</v>
      </c>
      <c r="BD414" s="49">
        <v>14</v>
      </c>
      <c r="BE414" s="49"/>
      <c r="BF414" s="49"/>
      <c r="BG414" s="49"/>
      <c r="BH414" s="49"/>
      <c r="BI414" s="49"/>
      <c r="BJ414" s="49"/>
      <c r="BK414" s="111" t="s">
        <v>3984</v>
      </c>
      <c r="BL414" s="111" t="s">
        <v>3984</v>
      </c>
      <c r="BM414" s="111" t="s">
        <v>4447</v>
      </c>
      <c r="BN414" s="111" t="s">
        <v>4447</v>
      </c>
      <c r="BO414" s="2"/>
      <c r="BP414" s="3"/>
      <c r="BQ414" s="3"/>
      <c r="BR414" s="3"/>
      <c r="BS414" s="3"/>
    </row>
    <row r="415" spans="1:71" ht="15">
      <c r="A415" s="65" t="s">
        <v>614</v>
      </c>
      <c r="B415" s="66"/>
      <c r="C415" s="66"/>
      <c r="D415" s="67">
        <v>150</v>
      </c>
      <c r="E415" s="69"/>
      <c r="F415" s="103" t="str">
        <f>HYPERLINK("https://yt3.ggpht.com/ytc/AAUvwniJQa7AaZNNZxvwuG7ari3WiK9s8vxPYP0AnI2kSg=s88-c-k-c0x00ffffff-no-rj")</f>
        <v>https://yt3.ggpht.com/ytc/AAUvwniJQa7AaZNNZxvwuG7ari3WiK9s8vxPYP0AnI2kSg=s88-c-k-c0x00ffffff-no-rj</v>
      </c>
      <c r="G415" s="66"/>
      <c r="H415" s="70" t="s">
        <v>1973</v>
      </c>
      <c r="I415" s="71"/>
      <c r="J415" s="71" t="s">
        <v>159</v>
      </c>
      <c r="K415" s="70" t="s">
        <v>1973</v>
      </c>
      <c r="L415" s="74">
        <v>1</v>
      </c>
      <c r="M415" s="75">
        <v>3324.905517578125</v>
      </c>
      <c r="N415" s="75">
        <v>7724.33154296875</v>
      </c>
      <c r="O415" s="76"/>
      <c r="P415" s="77"/>
      <c r="Q415" s="77"/>
      <c r="R415" s="89"/>
      <c r="S415" s="49">
        <v>0</v>
      </c>
      <c r="T415" s="49">
        <v>1</v>
      </c>
      <c r="U415" s="50">
        <v>0</v>
      </c>
      <c r="V415" s="50">
        <v>0.001976</v>
      </c>
      <c r="W415" s="50">
        <v>0.000786</v>
      </c>
      <c r="X415" s="50">
        <v>0.528183</v>
      </c>
      <c r="Y415" s="50">
        <v>0</v>
      </c>
      <c r="Z415" s="50">
        <v>0</v>
      </c>
      <c r="AA415" s="72">
        <v>415</v>
      </c>
      <c r="AB415" s="72"/>
      <c r="AC415" s="73"/>
      <c r="AD415" s="80" t="s">
        <v>1973</v>
      </c>
      <c r="AE415" s="80" t="s">
        <v>2552</v>
      </c>
      <c r="AF415" s="80"/>
      <c r="AG415" s="80"/>
      <c r="AH415" s="80"/>
      <c r="AI415" s="80"/>
      <c r="AJ415" s="87">
        <v>41365.56321759259</v>
      </c>
      <c r="AK415" s="85" t="str">
        <f>HYPERLINK("https://yt3.ggpht.com/ytc/AAUvwniJQa7AaZNNZxvwuG7ari3WiK9s8vxPYP0AnI2kSg=s88-c-k-c0x00ffffff-no-rj")</f>
        <v>https://yt3.ggpht.com/ytc/AAUvwniJQa7AaZNNZxvwuG7ari3WiK9s8vxPYP0AnI2kSg=s88-c-k-c0x00ffffff-no-rj</v>
      </c>
      <c r="AL415" s="80">
        <v>0</v>
      </c>
      <c r="AM415" s="80">
        <v>0</v>
      </c>
      <c r="AN415" s="80">
        <v>33</v>
      </c>
      <c r="AO415" s="80" t="b">
        <v>0</v>
      </c>
      <c r="AP415" s="80">
        <v>0</v>
      </c>
      <c r="AQ415" s="80"/>
      <c r="AR415" s="80"/>
      <c r="AS415" s="80" t="s">
        <v>2664</v>
      </c>
      <c r="AT415" s="85" t="str">
        <f>HYPERLINK("https://www.youtube.com/channel/UC2LMT35ZLfTJwj6tsJVL_Kg")</f>
        <v>https://www.youtube.com/channel/UC2LMT35ZLfTJwj6tsJVL_Kg</v>
      </c>
      <c r="AU415" s="80" t="str">
        <f>REPLACE(INDEX(GroupVertices[Group],MATCH(Vertices[[#This Row],[Vertex]],GroupVertices[Vertex],0)),1,1,"")</f>
        <v>1</v>
      </c>
      <c r="AV415" s="49">
        <v>0</v>
      </c>
      <c r="AW415" s="50">
        <v>0</v>
      </c>
      <c r="AX415" s="49">
        <v>0</v>
      </c>
      <c r="AY415" s="50">
        <v>0</v>
      </c>
      <c r="AZ415" s="49">
        <v>0</v>
      </c>
      <c r="BA415" s="50">
        <v>0</v>
      </c>
      <c r="BB415" s="49">
        <v>6</v>
      </c>
      <c r="BC415" s="50">
        <v>100</v>
      </c>
      <c r="BD415" s="49">
        <v>6</v>
      </c>
      <c r="BE415" s="49"/>
      <c r="BF415" s="49"/>
      <c r="BG415" s="49"/>
      <c r="BH415" s="49"/>
      <c r="BI415" s="49"/>
      <c r="BJ415" s="49"/>
      <c r="BK415" s="111" t="s">
        <v>3985</v>
      </c>
      <c r="BL415" s="111" t="s">
        <v>3985</v>
      </c>
      <c r="BM415" s="111" t="s">
        <v>4448</v>
      </c>
      <c r="BN415" s="111" t="s">
        <v>4448</v>
      </c>
      <c r="BO415" s="2"/>
      <c r="BP415" s="3"/>
      <c r="BQ415" s="3"/>
      <c r="BR415" s="3"/>
      <c r="BS415" s="3"/>
    </row>
    <row r="416" spans="1:71" ht="15">
      <c r="A416" s="65" t="s">
        <v>616</v>
      </c>
      <c r="B416" s="66"/>
      <c r="C416" s="66"/>
      <c r="D416" s="67">
        <v>433.3333333333333</v>
      </c>
      <c r="E416" s="69"/>
      <c r="F416" s="103" t="str">
        <f>HYPERLINK("https://yt3.ggpht.com/ytc/AAUvwnjwi4NxOdELP6nMZeLvy-MOGILu7LNTz-OR2KIojQ=s88-c-k-c0x00ffffff-no-rj")</f>
        <v>https://yt3.ggpht.com/ytc/AAUvwnjwi4NxOdELP6nMZeLvy-MOGILu7LNTz-OR2KIojQ=s88-c-k-c0x00ffffff-no-rj</v>
      </c>
      <c r="G416" s="66"/>
      <c r="H416" s="70" t="s">
        <v>1975</v>
      </c>
      <c r="I416" s="71"/>
      <c r="J416" s="71" t="s">
        <v>75</v>
      </c>
      <c r="K416" s="70" t="s">
        <v>1975</v>
      </c>
      <c r="L416" s="74">
        <v>191.43809523809523</v>
      </c>
      <c r="M416" s="75">
        <v>2617.24365234375</v>
      </c>
      <c r="N416" s="75">
        <v>7145.8935546875</v>
      </c>
      <c r="O416" s="76"/>
      <c r="P416" s="77"/>
      <c r="Q416" s="77"/>
      <c r="R416" s="89"/>
      <c r="S416" s="49">
        <v>2</v>
      </c>
      <c r="T416" s="49">
        <v>1</v>
      </c>
      <c r="U416" s="50">
        <v>457</v>
      </c>
      <c r="V416" s="50">
        <v>0.002833</v>
      </c>
      <c r="W416" s="50">
        <v>0.008469</v>
      </c>
      <c r="X416" s="50">
        <v>1.334765</v>
      </c>
      <c r="Y416" s="50">
        <v>0</v>
      </c>
      <c r="Z416" s="50">
        <v>0</v>
      </c>
      <c r="AA416" s="72">
        <v>416</v>
      </c>
      <c r="AB416" s="72"/>
      <c r="AC416" s="73"/>
      <c r="AD416" s="80" t="s">
        <v>1975</v>
      </c>
      <c r="AE416" s="80"/>
      <c r="AF416" s="80"/>
      <c r="AG416" s="80"/>
      <c r="AH416" s="80"/>
      <c r="AI416" s="80"/>
      <c r="AJ416" s="87">
        <v>41391.895682870374</v>
      </c>
      <c r="AK416" s="85" t="str">
        <f>HYPERLINK("https://yt3.ggpht.com/ytc/AAUvwnjwi4NxOdELP6nMZeLvy-MOGILu7LNTz-OR2KIojQ=s88-c-k-c0x00ffffff-no-rj")</f>
        <v>https://yt3.ggpht.com/ytc/AAUvwnjwi4NxOdELP6nMZeLvy-MOGILu7LNTz-OR2KIojQ=s88-c-k-c0x00ffffff-no-rj</v>
      </c>
      <c r="AL416" s="80">
        <v>0</v>
      </c>
      <c r="AM416" s="80">
        <v>0</v>
      </c>
      <c r="AN416" s="80">
        <v>5</v>
      </c>
      <c r="AO416" s="80" t="b">
        <v>0</v>
      </c>
      <c r="AP416" s="80">
        <v>0</v>
      </c>
      <c r="AQ416" s="80"/>
      <c r="AR416" s="80"/>
      <c r="AS416" s="80" t="s">
        <v>2664</v>
      </c>
      <c r="AT416" s="85" t="str">
        <f>HYPERLINK("https://www.youtube.com/channel/UCsLEd0PtEtGzKOi9xBLQF8g")</f>
        <v>https://www.youtube.com/channel/UCsLEd0PtEtGzKOi9xBLQF8g</v>
      </c>
      <c r="AU416" s="80" t="str">
        <f>REPLACE(INDEX(GroupVertices[Group],MATCH(Vertices[[#This Row],[Vertex]],GroupVertices[Vertex],0)),1,1,"")</f>
        <v>1</v>
      </c>
      <c r="AV416" s="49">
        <v>0</v>
      </c>
      <c r="AW416" s="50">
        <v>0</v>
      </c>
      <c r="AX416" s="49">
        <v>0</v>
      </c>
      <c r="AY416" s="50">
        <v>0</v>
      </c>
      <c r="AZ416" s="49">
        <v>0</v>
      </c>
      <c r="BA416" s="50">
        <v>0</v>
      </c>
      <c r="BB416" s="49">
        <v>5</v>
      </c>
      <c r="BC416" s="50">
        <v>100</v>
      </c>
      <c r="BD416" s="49">
        <v>5</v>
      </c>
      <c r="BE416" s="49"/>
      <c r="BF416" s="49"/>
      <c r="BG416" s="49"/>
      <c r="BH416" s="49"/>
      <c r="BI416" s="49"/>
      <c r="BJ416" s="49"/>
      <c r="BK416" s="111" t="s">
        <v>3986</v>
      </c>
      <c r="BL416" s="111" t="s">
        <v>3986</v>
      </c>
      <c r="BM416" s="111" t="s">
        <v>4449</v>
      </c>
      <c r="BN416" s="111" t="s">
        <v>4449</v>
      </c>
      <c r="BO416" s="2"/>
      <c r="BP416" s="3"/>
      <c r="BQ416" s="3"/>
      <c r="BR416" s="3"/>
      <c r="BS416" s="3"/>
    </row>
    <row r="417" spans="1:71" ht="15">
      <c r="A417" s="65" t="s">
        <v>615</v>
      </c>
      <c r="B417" s="66"/>
      <c r="C417" s="66"/>
      <c r="D417" s="67">
        <v>150</v>
      </c>
      <c r="E417" s="69"/>
      <c r="F417" s="103" t="str">
        <f>HYPERLINK("https://yt3.ggpht.com/ytc/AAUvwnjvNQ-8OPOVAc23kp-7GwHJbXSn5ByTDw_9qV0SmA=s88-c-k-c0x00ffffff-no-rj")</f>
        <v>https://yt3.ggpht.com/ytc/AAUvwnjvNQ-8OPOVAc23kp-7GwHJbXSn5ByTDw_9qV0SmA=s88-c-k-c0x00ffffff-no-rj</v>
      </c>
      <c r="G417" s="66"/>
      <c r="H417" s="70" t="s">
        <v>1974</v>
      </c>
      <c r="I417" s="71"/>
      <c r="J417" s="71" t="s">
        <v>159</v>
      </c>
      <c r="K417" s="70" t="s">
        <v>1974</v>
      </c>
      <c r="L417" s="74">
        <v>1</v>
      </c>
      <c r="M417" s="75">
        <v>3278.977783203125</v>
      </c>
      <c r="N417" s="75">
        <v>6178.02587890625</v>
      </c>
      <c r="O417" s="76"/>
      <c r="P417" s="77"/>
      <c r="Q417" s="77"/>
      <c r="R417" s="89"/>
      <c r="S417" s="49">
        <v>0</v>
      </c>
      <c r="T417" s="49">
        <v>2</v>
      </c>
      <c r="U417" s="50">
        <v>2</v>
      </c>
      <c r="V417" s="50">
        <v>0.001984</v>
      </c>
      <c r="W417" s="50">
        <v>0.001645</v>
      </c>
      <c r="X417" s="50">
        <v>0.878387</v>
      </c>
      <c r="Y417" s="50">
        <v>0</v>
      </c>
      <c r="Z417" s="50">
        <v>0</v>
      </c>
      <c r="AA417" s="72">
        <v>417</v>
      </c>
      <c r="AB417" s="72"/>
      <c r="AC417" s="73"/>
      <c r="AD417" s="80" t="s">
        <v>1974</v>
      </c>
      <c r="AE417" s="80" t="s">
        <v>2553</v>
      </c>
      <c r="AF417" s="80"/>
      <c r="AG417" s="80"/>
      <c r="AH417" s="80"/>
      <c r="AI417" s="80"/>
      <c r="AJ417" s="87">
        <v>41909.883518518516</v>
      </c>
      <c r="AK417" s="85" t="str">
        <f>HYPERLINK("https://yt3.ggpht.com/ytc/AAUvwnjvNQ-8OPOVAc23kp-7GwHJbXSn5ByTDw_9qV0SmA=s88-c-k-c0x00ffffff-no-rj")</f>
        <v>https://yt3.ggpht.com/ytc/AAUvwnjvNQ-8OPOVAc23kp-7GwHJbXSn5ByTDw_9qV0SmA=s88-c-k-c0x00ffffff-no-rj</v>
      </c>
      <c r="AL417" s="80">
        <v>0</v>
      </c>
      <c r="AM417" s="80">
        <v>0</v>
      </c>
      <c r="AN417" s="80">
        <v>37</v>
      </c>
      <c r="AO417" s="80" t="b">
        <v>0</v>
      </c>
      <c r="AP417" s="80">
        <v>0</v>
      </c>
      <c r="AQ417" s="80"/>
      <c r="AR417" s="80"/>
      <c r="AS417" s="80" t="s">
        <v>2664</v>
      </c>
      <c r="AT417" s="85" t="str">
        <f>HYPERLINK("https://www.youtube.com/channel/UCpdGXkszzXE5LAkaICL6FVQ")</f>
        <v>https://www.youtube.com/channel/UCpdGXkszzXE5LAkaICL6FVQ</v>
      </c>
      <c r="AU417" s="80" t="str">
        <f>REPLACE(INDEX(GroupVertices[Group],MATCH(Vertices[[#This Row],[Vertex]],GroupVertices[Vertex],0)),1,1,"")</f>
        <v>1</v>
      </c>
      <c r="AV417" s="49">
        <v>4</v>
      </c>
      <c r="AW417" s="50">
        <v>10.526315789473685</v>
      </c>
      <c r="AX417" s="49">
        <v>0</v>
      </c>
      <c r="AY417" s="50">
        <v>0</v>
      </c>
      <c r="AZ417" s="49">
        <v>0</v>
      </c>
      <c r="BA417" s="50">
        <v>0</v>
      </c>
      <c r="BB417" s="49">
        <v>34</v>
      </c>
      <c r="BC417" s="50">
        <v>89.47368421052632</v>
      </c>
      <c r="BD417" s="49">
        <v>38</v>
      </c>
      <c r="BE417" s="49"/>
      <c r="BF417" s="49"/>
      <c r="BG417" s="49"/>
      <c r="BH417" s="49"/>
      <c r="BI417" s="49"/>
      <c r="BJ417" s="49"/>
      <c r="BK417" s="111" t="s">
        <v>3987</v>
      </c>
      <c r="BL417" s="111" t="s">
        <v>3987</v>
      </c>
      <c r="BM417" s="111" t="s">
        <v>4450</v>
      </c>
      <c r="BN417" s="111" t="s">
        <v>4450</v>
      </c>
      <c r="BO417" s="2"/>
      <c r="BP417" s="3"/>
      <c r="BQ417" s="3"/>
      <c r="BR417" s="3"/>
      <c r="BS417" s="3"/>
    </row>
    <row r="418" spans="1:71" ht="15">
      <c r="A418" s="65" t="s">
        <v>617</v>
      </c>
      <c r="B418" s="66"/>
      <c r="C418" s="66"/>
      <c r="D418" s="67">
        <v>150</v>
      </c>
      <c r="E418" s="69"/>
      <c r="F418" s="103" t="str">
        <f>HYPERLINK("https://yt3.ggpht.com/ytc/AAUvwnioLISTnJZYLfX5jhFJ8Y8YrKVnOrvzOGRagbWIm64=s88-c-k-c0x00ffffff-no-rj")</f>
        <v>https://yt3.ggpht.com/ytc/AAUvwnioLISTnJZYLfX5jhFJ8Y8YrKVnOrvzOGRagbWIm64=s88-c-k-c0x00ffffff-no-rj</v>
      </c>
      <c r="G418" s="66"/>
      <c r="H418" s="70" t="s">
        <v>1976</v>
      </c>
      <c r="I418" s="71"/>
      <c r="J418" s="71" t="s">
        <v>159</v>
      </c>
      <c r="K418" s="70" t="s">
        <v>1976</v>
      </c>
      <c r="L418" s="74">
        <v>1</v>
      </c>
      <c r="M418" s="75">
        <v>9043.681640625</v>
      </c>
      <c r="N418" s="75">
        <v>2575.609375</v>
      </c>
      <c r="O418" s="76"/>
      <c r="P418" s="77"/>
      <c r="Q418" s="77"/>
      <c r="R418" s="89"/>
      <c r="S418" s="49">
        <v>0</v>
      </c>
      <c r="T418" s="49">
        <v>1</v>
      </c>
      <c r="U418" s="50">
        <v>0</v>
      </c>
      <c r="V418" s="50">
        <v>0.001984</v>
      </c>
      <c r="W418" s="50">
        <v>0.000785</v>
      </c>
      <c r="X418" s="50">
        <v>0.565141</v>
      </c>
      <c r="Y418" s="50">
        <v>0</v>
      </c>
      <c r="Z418" s="50">
        <v>0</v>
      </c>
      <c r="AA418" s="72">
        <v>418</v>
      </c>
      <c r="AB418" s="72"/>
      <c r="AC418" s="73"/>
      <c r="AD418" s="80" t="s">
        <v>1976</v>
      </c>
      <c r="AE418" s="80"/>
      <c r="AF418" s="80"/>
      <c r="AG418" s="80"/>
      <c r="AH418" s="80"/>
      <c r="AI418" s="80"/>
      <c r="AJ418" s="87">
        <v>41312.801458333335</v>
      </c>
      <c r="AK418" s="85" t="str">
        <f>HYPERLINK("https://yt3.ggpht.com/ytc/AAUvwnioLISTnJZYLfX5jhFJ8Y8YrKVnOrvzOGRagbWIm64=s88-c-k-c0x00ffffff-no-rj")</f>
        <v>https://yt3.ggpht.com/ytc/AAUvwnioLISTnJZYLfX5jhFJ8Y8YrKVnOrvzOGRagbWIm64=s88-c-k-c0x00ffffff-no-rj</v>
      </c>
      <c r="AL418" s="80">
        <v>0</v>
      </c>
      <c r="AM418" s="80">
        <v>0</v>
      </c>
      <c r="AN418" s="80">
        <v>6</v>
      </c>
      <c r="AO418" s="80" t="b">
        <v>0</v>
      </c>
      <c r="AP418" s="80">
        <v>0</v>
      </c>
      <c r="AQ418" s="80"/>
      <c r="AR418" s="80"/>
      <c r="AS418" s="80" t="s">
        <v>2664</v>
      </c>
      <c r="AT418" s="85" t="str">
        <f>HYPERLINK("https://www.youtube.com/channel/UCTCSylPHRVXT6mGgWCb2Dmw")</f>
        <v>https://www.youtube.com/channel/UCTCSylPHRVXT6mGgWCb2Dmw</v>
      </c>
      <c r="AU418" s="80" t="str">
        <f>REPLACE(INDEX(GroupVertices[Group],MATCH(Vertices[[#This Row],[Vertex]],GroupVertices[Vertex],0)),1,1,"")</f>
        <v>19</v>
      </c>
      <c r="AV418" s="49">
        <v>0</v>
      </c>
      <c r="AW418" s="50">
        <v>0</v>
      </c>
      <c r="AX418" s="49">
        <v>0</v>
      </c>
      <c r="AY418" s="50">
        <v>0</v>
      </c>
      <c r="AZ418" s="49">
        <v>0</v>
      </c>
      <c r="BA418" s="50">
        <v>0</v>
      </c>
      <c r="BB418" s="49">
        <v>3</v>
      </c>
      <c r="BC418" s="50">
        <v>100</v>
      </c>
      <c r="BD418" s="49">
        <v>3</v>
      </c>
      <c r="BE418" s="49"/>
      <c r="BF418" s="49"/>
      <c r="BG418" s="49"/>
      <c r="BH418" s="49"/>
      <c r="BI418" s="49"/>
      <c r="BJ418" s="49"/>
      <c r="BK418" s="111" t="s">
        <v>3988</v>
      </c>
      <c r="BL418" s="111" t="s">
        <v>3988</v>
      </c>
      <c r="BM418" s="111" t="s">
        <v>4451</v>
      </c>
      <c r="BN418" s="111" t="s">
        <v>4451</v>
      </c>
      <c r="BO418" s="2"/>
      <c r="BP418" s="3"/>
      <c r="BQ418" s="3"/>
      <c r="BR418" s="3"/>
      <c r="BS418" s="3"/>
    </row>
    <row r="419" spans="1:71" ht="15">
      <c r="A419" s="65" t="s">
        <v>620</v>
      </c>
      <c r="B419" s="66"/>
      <c r="C419" s="66"/>
      <c r="D419" s="67">
        <v>575</v>
      </c>
      <c r="E419" s="69"/>
      <c r="F419" s="103" t="str">
        <f>HYPERLINK("https://yt3.ggpht.com/ytc/AAUvwniR5_UBWAvsqnkLlKVR0YPrrAprAmcJz99QRZ_MZw=s88-c-k-c0x00ffffff-no-rj")</f>
        <v>https://yt3.ggpht.com/ytc/AAUvwniR5_UBWAvsqnkLlKVR0YPrrAprAmcJz99QRZ_MZw=s88-c-k-c0x00ffffff-no-rj</v>
      </c>
      <c r="G419" s="66"/>
      <c r="H419" s="70" t="s">
        <v>1979</v>
      </c>
      <c r="I419" s="71"/>
      <c r="J419" s="71" t="s">
        <v>75</v>
      </c>
      <c r="K419" s="70" t="s">
        <v>1979</v>
      </c>
      <c r="L419" s="74">
        <v>286.65714285714284</v>
      </c>
      <c r="M419" s="75">
        <v>9043.681640625</v>
      </c>
      <c r="N419" s="75">
        <v>2207.149169921875</v>
      </c>
      <c r="O419" s="76"/>
      <c r="P419" s="77"/>
      <c r="Q419" s="77"/>
      <c r="R419" s="89"/>
      <c r="S419" s="49">
        <v>3</v>
      </c>
      <c r="T419" s="49">
        <v>1</v>
      </c>
      <c r="U419" s="50">
        <v>912</v>
      </c>
      <c r="V419" s="50">
        <v>0.002849</v>
      </c>
      <c r="W419" s="50">
        <v>0.008462</v>
      </c>
      <c r="X419" s="50">
        <v>1.953603</v>
      </c>
      <c r="Y419" s="50">
        <v>0</v>
      </c>
      <c r="Z419" s="50">
        <v>0</v>
      </c>
      <c r="AA419" s="72">
        <v>419</v>
      </c>
      <c r="AB419" s="72"/>
      <c r="AC419" s="73"/>
      <c r="AD419" s="80" t="s">
        <v>1979</v>
      </c>
      <c r="AE419" s="80"/>
      <c r="AF419" s="80"/>
      <c r="AG419" s="80"/>
      <c r="AH419" s="80"/>
      <c r="AI419" s="80"/>
      <c r="AJ419" s="87">
        <v>41868.5155787037</v>
      </c>
      <c r="AK419" s="85" t="str">
        <f>HYPERLINK("https://yt3.ggpht.com/ytc/AAUvwniR5_UBWAvsqnkLlKVR0YPrrAprAmcJz99QRZ_MZw=s88-c-k-c0x00ffffff-no-rj")</f>
        <v>https://yt3.ggpht.com/ytc/AAUvwniR5_UBWAvsqnkLlKVR0YPrrAprAmcJz99QRZ_MZw=s88-c-k-c0x00ffffff-no-rj</v>
      </c>
      <c r="AL419" s="80">
        <v>0</v>
      </c>
      <c r="AM419" s="80">
        <v>0</v>
      </c>
      <c r="AN419" s="80">
        <v>12</v>
      </c>
      <c r="AO419" s="80" t="b">
        <v>0</v>
      </c>
      <c r="AP419" s="80">
        <v>0</v>
      </c>
      <c r="AQ419" s="80"/>
      <c r="AR419" s="80"/>
      <c r="AS419" s="80" t="s">
        <v>2664</v>
      </c>
      <c r="AT419" s="85" t="str">
        <f>HYPERLINK("https://www.youtube.com/channel/UCcAmaqdRiS3nG9Zc-X_B4Kw")</f>
        <v>https://www.youtube.com/channel/UCcAmaqdRiS3nG9Zc-X_B4Kw</v>
      </c>
      <c r="AU419" s="80" t="str">
        <f>REPLACE(INDEX(GroupVertices[Group],MATCH(Vertices[[#This Row],[Vertex]],GroupVertices[Vertex],0)),1,1,"")</f>
        <v>19</v>
      </c>
      <c r="AV419" s="49">
        <v>0</v>
      </c>
      <c r="AW419" s="50">
        <v>0</v>
      </c>
      <c r="AX419" s="49">
        <v>0</v>
      </c>
      <c r="AY419" s="50">
        <v>0</v>
      </c>
      <c r="AZ419" s="49">
        <v>0</v>
      </c>
      <c r="BA419" s="50">
        <v>0</v>
      </c>
      <c r="BB419" s="49">
        <v>11</v>
      </c>
      <c r="BC419" s="50">
        <v>100</v>
      </c>
      <c r="BD419" s="49">
        <v>11</v>
      </c>
      <c r="BE419" s="49"/>
      <c r="BF419" s="49"/>
      <c r="BG419" s="49"/>
      <c r="BH419" s="49"/>
      <c r="BI419" s="49"/>
      <c r="BJ419" s="49"/>
      <c r="BK419" s="111" t="s">
        <v>3989</v>
      </c>
      <c r="BL419" s="111" t="s">
        <v>3989</v>
      </c>
      <c r="BM419" s="111" t="s">
        <v>4452</v>
      </c>
      <c r="BN419" s="111" t="s">
        <v>4452</v>
      </c>
      <c r="BO419" s="2"/>
      <c r="BP419" s="3"/>
      <c r="BQ419" s="3"/>
      <c r="BR419" s="3"/>
      <c r="BS419" s="3"/>
    </row>
    <row r="420" spans="1:71" ht="15">
      <c r="A420" s="65" t="s">
        <v>618</v>
      </c>
      <c r="B420" s="66"/>
      <c r="C420" s="66"/>
      <c r="D420" s="67">
        <v>150</v>
      </c>
      <c r="E420" s="69"/>
      <c r="F420" s="103" t="str">
        <f>HYPERLINK("https://yt3.ggpht.com/ytc/AAUvwnha0TtmrmR0kWEj5Pi_Gm9jCxbSKAa8c2EMycFl=s88-c-k-c0x00ffffff-no-rj")</f>
        <v>https://yt3.ggpht.com/ytc/AAUvwnha0TtmrmR0kWEj5Pi_Gm9jCxbSKAa8c2EMycFl=s88-c-k-c0x00ffffff-no-rj</v>
      </c>
      <c r="G420" s="66"/>
      <c r="H420" s="70" t="s">
        <v>1977</v>
      </c>
      <c r="I420" s="71"/>
      <c r="J420" s="71" t="s">
        <v>159</v>
      </c>
      <c r="K420" s="70" t="s">
        <v>1977</v>
      </c>
      <c r="L420" s="74">
        <v>1</v>
      </c>
      <c r="M420" s="75">
        <v>8746.4716796875</v>
      </c>
      <c r="N420" s="75">
        <v>2575.609375</v>
      </c>
      <c r="O420" s="76"/>
      <c r="P420" s="77"/>
      <c r="Q420" s="77"/>
      <c r="R420" s="89"/>
      <c r="S420" s="49">
        <v>0</v>
      </c>
      <c r="T420" s="49">
        <v>1</v>
      </c>
      <c r="U420" s="50">
        <v>0</v>
      </c>
      <c r="V420" s="50">
        <v>0.001984</v>
      </c>
      <c r="W420" s="50">
        <v>0.000785</v>
      </c>
      <c r="X420" s="50">
        <v>0.565141</v>
      </c>
      <c r="Y420" s="50">
        <v>0</v>
      </c>
      <c r="Z420" s="50">
        <v>0</v>
      </c>
      <c r="AA420" s="72">
        <v>420</v>
      </c>
      <c r="AB420" s="72"/>
      <c r="AC420" s="73"/>
      <c r="AD420" s="80" t="s">
        <v>1977</v>
      </c>
      <c r="AE420" s="80"/>
      <c r="AF420" s="80"/>
      <c r="AG420" s="80"/>
      <c r="AH420" s="80"/>
      <c r="AI420" s="80"/>
      <c r="AJ420" s="87">
        <v>43566.7046875</v>
      </c>
      <c r="AK420" s="85" t="str">
        <f>HYPERLINK("https://yt3.ggpht.com/ytc/AAUvwnha0TtmrmR0kWEj5Pi_Gm9jCxbSKAa8c2EMycFl=s88-c-k-c0x00ffffff-no-rj")</f>
        <v>https://yt3.ggpht.com/ytc/AAUvwnha0TtmrmR0kWEj5Pi_Gm9jCxbSKAa8c2EMycFl=s88-c-k-c0x00ffffff-no-rj</v>
      </c>
      <c r="AL420" s="80">
        <v>0</v>
      </c>
      <c r="AM420" s="80">
        <v>0</v>
      </c>
      <c r="AN420" s="80">
        <v>0</v>
      </c>
      <c r="AO420" s="80" t="b">
        <v>0</v>
      </c>
      <c r="AP420" s="80">
        <v>0</v>
      </c>
      <c r="AQ420" s="80"/>
      <c r="AR420" s="80"/>
      <c r="AS420" s="80" t="s">
        <v>2664</v>
      </c>
      <c r="AT420" s="85" t="str">
        <f>HYPERLINK("https://www.youtube.com/channel/UCpIxpKzjZTZrYdYQtIPLG1A")</f>
        <v>https://www.youtube.com/channel/UCpIxpKzjZTZrYdYQtIPLG1A</v>
      </c>
      <c r="AU420" s="80" t="str">
        <f>REPLACE(INDEX(GroupVertices[Group],MATCH(Vertices[[#This Row],[Vertex]],GroupVertices[Vertex],0)),1,1,"")</f>
        <v>19</v>
      </c>
      <c r="AV420" s="49">
        <v>0</v>
      </c>
      <c r="AW420" s="50">
        <v>0</v>
      </c>
      <c r="AX420" s="49">
        <v>0</v>
      </c>
      <c r="AY420" s="50">
        <v>0</v>
      </c>
      <c r="AZ420" s="49">
        <v>0</v>
      </c>
      <c r="BA420" s="50">
        <v>0</v>
      </c>
      <c r="BB420" s="49">
        <v>7</v>
      </c>
      <c r="BC420" s="50">
        <v>100</v>
      </c>
      <c r="BD420" s="49">
        <v>7</v>
      </c>
      <c r="BE420" s="49"/>
      <c r="BF420" s="49"/>
      <c r="BG420" s="49"/>
      <c r="BH420" s="49"/>
      <c r="BI420" s="49"/>
      <c r="BJ420" s="49"/>
      <c r="BK420" s="111" t="s">
        <v>3990</v>
      </c>
      <c r="BL420" s="111" t="s">
        <v>3990</v>
      </c>
      <c r="BM420" s="111" t="s">
        <v>4453</v>
      </c>
      <c r="BN420" s="111" t="s">
        <v>4453</v>
      </c>
      <c r="BO420" s="2"/>
      <c r="BP420" s="3"/>
      <c r="BQ420" s="3"/>
      <c r="BR420" s="3"/>
      <c r="BS420" s="3"/>
    </row>
    <row r="421" spans="1:71" ht="15">
      <c r="A421" s="65" t="s">
        <v>619</v>
      </c>
      <c r="B421" s="66"/>
      <c r="C421" s="66"/>
      <c r="D421" s="67">
        <v>150</v>
      </c>
      <c r="E421" s="69"/>
      <c r="F421" s="103" t="str">
        <f>HYPERLINK("https://yt3.ggpht.com/ytc/AAUvwnjcSR3jHFH_nvxhCkrC3cD2WhcdpLcJMLt7I9ylMA=s88-c-k-c0x00ffffff-no-rj")</f>
        <v>https://yt3.ggpht.com/ytc/AAUvwnjcSR3jHFH_nvxhCkrC3cD2WhcdpLcJMLt7I9ylMA=s88-c-k-c0x00ffffff-no-rj</v>
      </c>
      <c r="G421" s="66"/>
      <c r="H421" s="70" t="s">
        <v>1978</v>
      </c>
      <c r="I421" s="71"/>
      <c r="J421" s="71" t="s">
        <v>159</v>
      </c>
      <c r="K421" s="70" t="s">
        <v>1978</v>
      </c>
      <c r="L421" s="74">
        <v>1</v>
      </c>
      <c r="M421" s="75">
        <v>8746.4716796875</v>
      </c>
      <c r="N421" s="75">
        <v>2207.149169921875</v>
      </c>
      <c r="O421" s="76"/>
      <c r="P421" s="77"/>
      <c r="Q421" s="77"/>
      <c r="R421" s="89"/>
      <c r="S421" s="49">
        <v>0</v>
      </c>
      <c r="T421" s="49">
        <v>1</v>
      </c>
      <c r="U421" s="50">
        <v>0</v>
      </c>
      <c r="V421" s="50">
        <v>0.001984</v>
      </c>
      <c r="W421" s="50">
        <v>0.000785</v>
      </c>
      <c r="X421" s="50">
        <v>0.565141</v>
      </c>
      <c r="Y421" s="50">
        <v>0</v>
      </c>
      <c r="Z421" s="50">
        <v>0</v>
      </c>
      <c r="AA421" s="72">
        <v>421</v>
      </c>
      <c r="AB421" s="72"/>
      <c r="AC421" s="73"/>
      <c r="AD421" s="80" t="s">
        <v>1978</v>
      </c>
      <c r="AE421" s="80" t="s">
        <v>2554</v>
      </c>
      <c r="AF421" s="80"/>
      <c r="AG421" s="80"/>
      <c r="AH421" s="80"/>
      <c r="AI421" s="80"/>
      <c r="AJ421" s="87">
        <v>42568.74773148148</v>
      </c>
      <c r="AK421" s="85" t="str">
        <f>HYPERLINK("https://yt3.ggpht.com/ytc/AAUvwnjcSR3jHFH_nvxhCkrC3cD2WhcdpLcJMLt7I9ylMA=s88-c-k-c0x00ffffff-no-rj")</f>
        <v>https://yt3.ggpht.com/ytc/AAUvwnjcSR3jHFH_nvxhCkrC3cD2WhcdpLcJMLt7I9ylMA=s88-c-k-c0x00ffffff-no-rj</v>
      </c>
      <c r="AL421" s="80">
        <v>0</v>
      </c>
      <c r="AM421" s="80">
        <v>0</v>
      </c>
      <c r="AN421" s="80">
        <v>13</v>
      </c>
      <c r="AO421" s="80" t="b">
        <v>0</v>
      </c>
      <c r="AP421" s="80">
        <v>0</v>
      </c>
      <c r="AQ421" s="80"/>
      <c r="AR421" s="80"/>
      <c r="AS421" s="80" t="s">
        <v>2664</v>
      </c>
      <c r="AT421" s="85" t="str">
        <f>HYPERLINK("https://www.youtube.com/channel/UCAfKX5atbQk4nK1ELw2nkKQ")</f>
        <v>https://www.youtube.com/channel/UCAfKX5atbQk4nK1ELw2nkKQ</v>
      </c>
      <c r="AU421" s="80" t="str">
        <f>REPLACE(INDEX(GroupVertices[Group],MATCH(Vertices[[#This Row],[Vertex]],GroupVertices[Vertex],0)),1,1,"")</f>
        <v>19</v>
      </c>
      <c r="AV421" s="49">
        <v>0</v>
      </c>
      <c r="AW421" s="50">
        <v>0</v>
      </c>
      <c r="AX421" s="49">
        <v>0</v>
      </c>
      <c r="AY421" s="50">
        <v>0</v>
      </c>
      <c r="AZ421" s="49">
        <v>0</v>
      </c>
      <c r="BA421" s="50">
        <v>0</v>
      </c>
      <c r="BB421" s="49">
        <v>4</v>
      </c>
      <c r="BC421" s="50">
        <v>100</v>
      </c>
      <c r="BD421" s="49">
        <v>4</v>
      </c>
      <c r="BE421" s="49"/>
      <c r="BF421" s="49"/>
      <c r="BG421" s="49"/>
      <c r="BH421" s="49"/>
      <c r="BI421" s="49"/>
      <c r="BJ421" s="49"/>
      <c r="BK421" s="111" t="s">
        <v>2390</v>
      </c>
      <c r="BL421" s="111" t="s">
        <v>2390</v>
      </c>
      <c r="BM421" s="111" t="s">
        <v>2390</v>
      </c>
      <c r="BN421" s="111" t="s">
        <v>2390</v>
      </c>
      <c r="BO421" s="2"/>
      <c r="BP421" s="3"/>
      <c r="BQ421" s="3"/>
      <c r="BR421" s="3"/>
      <c r="BS421" s="3"/>
    </row>
    <row r="422" spans="1:71" ht="15">
      <c r="A422" s="65" t="s">
        <v>621</v>
      </c>
      <c r="B422" s="66"/>
      <c r="C422" s="66"/>
      <c r="D422" s="67">
        <v>150</v>
      </c>
      <c r="E422" s="69"/>
      <c r="F422" s="103" t="str">
        <f>HYPERLINK("https://yt3.ggpht.com/ytc/AAUvwni1l0Y00XrAvwaZwcPYel1fes3nuxX9uTZxSVvY=s88-c-k-c0x00ffffff-no-rj")</f>
        <v>https://yt3.ggpht.com/ytc/AAUvwni1l0Y00XrAvwaZwcPYel1fes3nuxX9uTZxSVvY=s88-c-k-c0x00ffffff-no-rj</v>
      </c>
      <c r="G422" s="66"/>
      <c r="H422" s="70" t="s">
        <v>1980</v>
      </c>
      <c r="I422" s="71"/>
      <c r="J422" s="71" t="s">
        <v>159</v>
      </c>
      <c r="K422" s="70" t="s">
        <v>1980</v>
      </c>
      <c r="L422" s="74">
        <v>1</v>
      </c>
      <c r="M422" s="75">
        <v>2174.677978515625</v>
      </c>
      <c r="N422" s="75">
        <v>7056.5224609375</v>
      </c>
      <c r="O422" s="76"/>
      <c r="P422" s="77"/>
      <c r="Q422" s="77"/>
      <c r="R422" s="89"/>
      <c r="S422" s="49">
        <v>0</v>
      </c>
      <c r="T422" s="49">
        <v>1</v>
      </c>
      <c r="U422" s="50">
        <v>0</v>
      </c>
      <c r="V422" s="50">
        <v>0.002801</v>
      </c>
      <c r="W422" s="50">
        <v>0.008244</v>
      </c>
      <c r="X422" s="50">
        <v>0.512495</v>
      </c>
      <c r="Y422" s="50">
        <v>0</v>
      </c>
      <c r="Z422" s="50">
        <v>0</v>
      </c>
      <c r="AA422" s="72">
        <v>422</v>
      </c>
      <c r="AB422" s="72"/>
      <c r="AC422" s="73"/>
      <c r="AD422" s="80" t="s">
        <v>1980</v>
      </c>
      <c r="AE422" s="80"/>
      <c r="AF422" s="80"/>
      <c r="AG422" s="80"/>
      <c r="AH422" s="80"/>
      <c r="AI422" s="80"/>
      <c r="AJ422" s="87">
        <v>40802.444027777776</v>
      </c>
      <c r="AK422" s="85" t="str">
        <f>HYPERLINK("https://yt3.ggpht.com/ytc/AAUvwni1l0Y00XrAvwaZwcPYel1fes3nuxX9uTZxSVvY=s88-c-k-c0x00ffffff-no-rj")</f>
        <v>https://yt3.ggpht.com/ytc/AAUvwni1l0Y00XrAvwaZwcPYel1fes3nuxX9uTZxSVvY=s88-c-k-c0x00ffffff-no-rj</v>
      </c>
      <c r="AL422" s="80">
        <v>0</v>
      </c>
      <c r="AM422" s="80">
        <v>0</v>
      </c>
      <c r="AN422" s="80">
        <v>0</v>
      </c>
      <c r="AO422" s="80" t="b">
        <v>0</v>
      </c>
      <c r="AP422" s="80">
        <v>0</v>
      </c>
      <c r="AQ422" s="80"/>
      <c r="AR422" s="80"/>
      <c r="AS422" s="80" t="s">
        <v>2664</v>
      </c>
      <c r="AT422" s="85" t="str">
        <f>HYPERLINK("https://www.youtube.com/channel/UCtCpsvqYYe32baaJLCRsbuA")</f>
        <v>https://www.youtube.com/channel/UCtCpsvqYYe32baaJLCRsbuA</v>
      </c>
      <c r="AU422" s="80" t="str">
        <f>REPLACE(INDEX(GroupVertices[Group],MATCH(Vertices[[#This Row],[Vertex]],GroupVertices[Vertex],0)),1,1,"")</f>
        <v>1</v>
      </c>
      <c r="AV422" s="49">
        <v>1</v>
      </c>
      <c r="AW422" s="50">
        <v>25</v>
      </c>
      <c r="AX422" s="49">
        <v>0</v>
      </c>
      <c r="AY422" s="50">
        <v>0</v>
      </c>
      <c r="AZ422" s="49">
        <v>0</v>
      </c>
      <c r="BA422" s="50">
        <v>0</v>
      </c>
      <c r="BB422" s="49">
        <v>3</v>
      </c>
      <c r="BC422" s="50">
        <v>75</v>
      </c>
      <c r="BD422" s="49">
        <v>4</v>
      </c>
      <c r="BE422" s="49"/>
      <c r="BF422" s="49"/>
      <c r="BG422" s="49"/>
      <c r="BH422" s="49"/>
      <c r="BI422" s="49"/>
      <c r="BJ422" s="49"/>
      <c r="BK422" s="111" t="s">
        <v>2390</v>
      </c>
      <c r="BL422" s="111" t="s">
        <v>2390</v>
      </c>
      <c r="BM422" s="111" t="s">
        <v>2390</v>
      </c>
      <c r="BN422" s="111" t="s">
        <v>2390</v>
      </c>
      <c r="BO422" s="2"/>
      <c r="BP422" s="3"/>
      <c r="BQ422" s="3"/>
      <c r="BR422" s="3"/>
      <c r="BS422" s="3"/>
    </row>
    <row r="423" spans="1:71" ht="15">
      <c r="A423" s="65" t="s">
        <v>622</v>
      </c>
      <c r="B423" s="66"/>
      <c r="C423" s="66"/>
      <c r="D423" s="67">
        <v>150</v>
      </c>
      <c r="E423" s="69"/>
      <c r="F423" s="103" t="str">
        <f>HYPERLINK("https://yt3.ggpht.com/ytc/AAUvwnj0LHbOt_92xZLheuNzD2zv8wmkFTBa8zFC9BQs4g=s88-c-k-c0x00ffffff-no-rj")</f>
        <v>https://yt3.ggpht.com/ytc/AAUvwnj0LHbOt_92xZLheuNzD2zv8wmkFTBa8zFC9BQs4g=s88-c-k-c0x00ffffff-no-rj</v>
      </c>
      <c r="G423" s="66"/>
      <c r="H423" s="70" t="s">
        <v>1981</v>
      </c>
      <c r="I423" s="71"/>
      <c r="J423" s="71" t="s">
        <v>159</v>
      </c>
      <c r="K423" s="70" t="s">
        <v>1981</v>
      </c>
      <c r="L423" s="74">
        <v>1</v>
      </c>
      <c r="M423" s="75">
        <v>1222.4830322265625</v>
      </c>
      <c r="N423" s="75">
        <v>6625.4521484375</v>
      </c>
      <c r="O423" s="76"/>
      <c r="P423" s="77"/>
      <c r="Q423" s="77"/>
      <c r="R423" s="89"/>
      <c r="S423" s="49">
        <v>0</v>
      </c>
      <c r="T423" s="49">
        <v>1</v>
      </c>
      <c r="U423" s="50">
        <v>0</v>
      </c>
      <c r="V423" s="50">
        <v>0.002801</v>
      </c>
      <c r="W423" s="50">
        <v>0.008244</v>
      </c>
      <c r="X423" s="50">
        <v>0.512495</v>
      </c>
      <c r="Y423" s="50">
        <v>0</v>
      </c>
      <c r="Z423" s="50">
        <v>0</v>
      </c>
      <c r="AA423" s="72">
        <v>423</v>
      </c>
      <c r="AB423" s="72"/>
      <c r="AC423" s="73"/>
      <c r="AD423" s="80" t="s">
        <v>1981</v>
      </c>
      <c r="AE423" s="80"/>
      <c r="AF423" s="80"/>
      <c r="AG423" s="80"/>
      <c r="AH423" s="80"/>
      <c r="AI423" s="80"/>
      <c r="AJ423" s="87">
        <v>41762.53938657408</v>
      </c>
      <c r="AK423" s="85" t="str">
        <f>HYPERLINK("https://yt3.ggpht.com/ytc/AAUvwnj0LHbOt_92xZLheuNzD2zv8wmkFTBa8zFC9BQs4g=s88-c-k-c0x00ffffff-no-rj")</f>
        <v>https://yt3.ggpht.com/ytc/AAUvwnj0LHbOt_92xZLheuNzD2zv8wmkFTBa8zFC9BQs4g=s88-c-k-c0x00ffffff-no-rj</v>
      </c>
      <c r="AL423" s="80">
        <v>0</v>
      </c>
      <c r="AM423" s="80">
        <v>0</v>
      </c>
      <c r="AN423" s="80">
        <v>1</v>
      </c>
      <c r="AO423" s="80" t="b">
        <v>0</v>
      </c>
      <c r="AP423" s="80">
        <v>0</v>
      </c>
      <c r="AQ423" s="80"/>
      <c r="AR423" s="80"/>
      <c r="AS423" s="80" t="s">
        <v>2664</v>
      </c>
      <c r="AT423" s="85" t="str">
        <f>HYPERLINK("https://www.youtube.com/channel/UC59Y1UyNh5yWSP7pJvOkevw")</f>
        <v>https://www.youtube.com/channel/UC59Y1UyNh5yWSP7pJvOkevw</v>
      </c>
      <c r="AU423" s="80" t="str">
        <f>REPLACE(INDEX(GroupVertices[Group],MATCH(Vertices[[#This Row],[Vertex]],GroupVertices[Vertex],0)),1,1,"")</f>
        <v>1</v>
      </c>
      <c r="AV423" s="49">
        <v>0</v>
      </c>
      <c r="AW423" s="50">
        <v>0</v>
      </c>
      <c r="AX423" s="49">
        <v>2</v>
      </c>
      <c r="AY423" s="50">
        <v>28.571428571428573</v>
      </c>
      <c r="AZ423" s="49">
        <v>0</v>
      </c>
      <c r="BA423" s="50">
        <v>0</v>
      </c>
      <c r="BB423" s="49">
        <v>5</v>
      </c>
      <c r="BC423" s="50">
        <v>71.42857142857143</v>
      </c>
      <c r="BD423" s="49">
        <v>7</v>
      </c>
      <c r="BE423" s="49"/>
      <c r="BF423" s="49"/>
      <c r="BG423" s="49"/>
      <c r="BH423" s="49"/>
      <c r="BI423" s="49"/>
      <c r="BJ423" s="49"/>
      <c r="BK423" s="111" t="s">
        <v>3991</v>
      </c>
      <c r="BL423" s="111" t="s">
        <v>3991</v>
      </c>
      <c r="BM423" s="111" t="s">
        <v>4454</v>
      </c>
      <c r="BN423" s="111" t="s">
        <v>4454</v>
      </c>
      <c r="BO423" s="2"/>
      <c r="BP423" s="3"/>
      <c r="BQ423" s="3"/>
      <c r="BR423" s="3"/>
      <c r="BS423" s="3"/>
    </row>
    <row r="424" spans="1:71" ht="15">
      <c r="A424" s="65" t="s">
        <v>623</v>
      </c>
      <c r="B424" s="66"/>
      <c r="C424" s="66"/>
      <c r="D424" s="67">
        <v>150</v>
      </c>
      <c r="E424" s="69"/>
      <c r="F424" s="103" t="str">
        <f>HYPERLINK("https://yt3.ggpht.com/ytc/AAUvwnjEwm35M7VhcDPIobfi3H9yHF83F5kw8PRLhuZNrg=s88-c-k-c0x00ffffff-no-rj")</f>
        <v>https://yt3.ggpht.com/ytc/AAUvwnjEwm35M7VhcDPIobfi3H9yHF83F5kw8PRLhuZNrg=s88-c-k-c0x00ffffff-no-rj</v>
      </c>
      <c r="G424" s="66"/>
      <c r="H424" s="70" t="s">
        <v>1982</v>
      </c>
      <c r="I424" s="71"/>
      <c r="J424" s="71" t="s">
        <v>159</v>
      </c>
      <c r="K424" s="70" t="s">
        <v>1982</v>
      </c>
      <c r="L424" s="74">
        <v>1</v>
      </c>
      <c r="M424" s="75">
        <v>1801.653076171875</v>
      </c>
      <c r="N424" s="75">
        <v>9854.505859375</v>
      </c>
      <c r="O424" s="76"/>
      <c r="P424" s="77"/>
      <c r="Q424" s="77"/>
      <c r="R424" s="89"/>
      <c r="S424" s="49">
        <v>0</v>
      </c>
      <c r="T424" s="49">
        <v>1</v>
      </c>
      <c r="U424" s="50">
        <v>0</v>
      </c>
      <c r="V424" s="50">
        <v>0.001969</v>
      </c>
      <c r="W424" s="50">
        <v>0.000851</v>
      </c>
      <c r="X424" s="50">
        <v>0.531082</v>
      </c>
      <c r="Y424" s="50">
        <v>0</v>
      </c>
      <c r="Z424" s="50">
        <v>0</v>
      </c>
      <c r="AA424" s="72">
        <v>424</v>
      </c>
      <c r="AB424" s="72"/>
      <c r="AC424" s="73"/>
      <c r="AD424" s="80" t="s">
        <v>1982</v>
      </c>
      <c r="AE424" s="80"/>
      <c r="AF424" s="80"/>
      <c r="AG424" s="80"/>
      <c r="AH424" s="80"/>
      <c r="AI424" s="80"/>
      <c r="AJ424" s="87">
        <v>42841.597905092596</v>
      </c>
      <c r="AK424" s="85" t="str">
        <f>HYPERLINK("https://yt3.ggpht.com/ytc/AAUvwnjEwm35M7VhcDPIobfi3H9yHF83F5kw8PRLhuZNrg=s88-c-k-c0x00ffffff-no-rj")</f>
        <v>https://yt3.ggpht.com/ytc/AAUvwnjEwm35M7VhcDPIobfi3H9yHF83F5kw8PRLhuZNrg=s88-c-k-c0x00ffffff-no-rj</v>
      </c>
      <c r="AL424" s="80">
        <v>0</v>
      </c>
      <c r="AM424" s="80">
        <v>0</v>
      </c>
      <c r="AN424" s="80">
        <v>1</v>
      </c>
      <c r="AO424" s="80" t="b">
        <v>0</v>
      </c>
      <c r="AP424" s="80">
        <v>0</v>
      </c>
      <c r="AQ424" s="80"/>
      <c r="AR424" s="80"/>
      <c r="AS424" s="80" t="s">
        <v>2664</v>
      </c>
      <c r="AT424" s="85" t="str">
        <f>HYPERLINK("https://www.youtube.com/channel/UCE72zxLGsm_AcyQtOqs84SQ")</f>
        <v>https://www.youtube.com/channel/UCE72zxLGsm_AcyQtOqs84SQ</v>
      </c>
      <c r="AU424" s="80" t="str">
        <f>REPLACE(INDEX(GroupVertices[Group],MATCH(Vertices[[#This Row],[Vertex]],GroupVertices[Vertex],0)),1,1,"")</f>
        <v>1</v>
      </c>
      <c r="AV424" s="49">
        <v>1</v>
      </c>
      <c r="AW424" s="50">
        <v>1.7857142857142858</v>
      </c>
      <c r="AX424" s="49">
        <v>2</v>
      </c>
      <c r="AY424" s="50">
        <v>3.5714285714285716</v>
      </c>
      <c r="AZ424" s="49">
        <v>0</v>
      </c>
      <c r="BA424" s="50">
        <v>0</v>
      </c>
      <c r="BB424" s="49">
        <v>53</v>
      </c>
      <c r="BC424" s="50">
        <v>94.64285714285714</v>
      </c>
      <c r="BD424" s="49">
        <v>56</v>
      </c>
      <c r="BE424" s="49"/>
      <c r="BF424" s="49"/>
      <c r="BG424" s="49"/>
      <c r="BH424" s="49"/>
      <c r="BI424" s="49"/>
      <c r="BJ424" s="49"/>
      <c r="BK424" s="111" t="s">
        <v>3992</v>
      </c>
      <c r="BL424" s="111" t="s">
        <v>3992</v>
      </c>
      <c r="BM424" s="111" t="s">
        <v>4455</v>
      </c>
      <c r="BN424" s="111" t="s">
        <v>4455</v>
      </c>
      <c r="BO424" s="2"/>
      <c r="BP424" s="3"/>
      <c r="BQ424" s="3"/>
      <c r="BR424" s="3"/>
      <c r="BS424" s="3"/>
    </row>
    <row r="425" spans="1:71" ht="15">
      <c r="A425" s="65" t="s">
        <v>624</v>
      </c>
      <c r="B425" s="66"/>
      <c r="C425" s="66"/>
      <c r="D425" s="67">
        <v>575</v>
      </c>
      <c r="E425" s="69"/>
      <c r="F425" s="103" t="str">
        <f>HYPERLINK("https://yt3.ggpht.com/ytc/AAUvwngL8-Z1ccxB3mKTpGymELoHTSqkHXthz7D6bYfYMQ=s88-c-k-c0x00ffffff-no-rj")</f>
        <v>https://yt3.ggpht.com/ytc/AAUvwngL8-Z1ccxB3mKTpGymELoHTSqkHXthz7D6bYfYMQ=s88-c-k-c0x00ffffff-no-rj</v>
      </c>
      <c r="G425" s="66"/>
      <c r="H425" s="70" t="s">
        <v>1983</v>
      </c>
      <c r="I425" s="71"/>
      <c r="J425" s="71" t="s">
        <v>75</v>
      </c>
      <c r="K425" s="70" t="s">
        <v>1983</v>
      </c>
      <c r="L425" s="74">
        <v>286.65714285714284</v>
      </c>
      <c r="M425" s="75">
        <v>1609.435302734375</v>
      </c>
      <c r="N425" s="75">
        <v>8503.2880859375</v>
      </c>
      <c r="O425" s="76"/>
      <c r="P425" s="77"/>
      <c r="Q425" s="77"/>
      <c r="R425" s="89"/>
      <c r="S425" s="49">
        <v>3</v>
      </c>
      <c r="T425" s="49">
        <v>2</v>
      </c>
      <c r="U425" s="50">
        <v>306</v>
      </c>
      <c r="V425" s="50">
        <v>0.002817</v>
      </c>
      <c r="W425" s="50">
        <v>0.009174</v>
      </c>
      <c r="X425" s="50">
        <v>1.344997</v>
      </c>
      <c r="Y425" s="50">
        <v>0</v>
      </c>
      <c r="Z425" s="50">
        <v>0.5</v>
      </c>
      <c r="AA425" s="72">
        <v>425</v>
      </c>
      <c r="AB425" s="72"/>
      <c r="AC425" s="73"/>
      <c r="AD425" s="80" t="s">
        <v>1983</v>
      </c>
      <c r="AE425" s="80" t="s">
        <v>2555</v>
      </c>
      <c r="AF425" s="80"/>
      <c r="AG425" s="80"/>
      <c r="AH425" s="80"/>
      <c r="AI425" s="80"/>
      <c r="AJ425" s="87">
        <v>43311.930127314816</v>
      </c>
      <c r="AK425" s="85" t="str">
        <f>HYPERLINK("https://yt3.ggpht.com/ytc/AAUvwngL8-Z1ccxB3mKTpGymELoHTSqkHXthz7D6bYfYMQ=s88-c-k-c0x00ffffff-no-rj")</f>
        <v>https://yt3.ggpht.com/ytc/AAUvwngL8-Z1ccxB3mKTpGymELoHTSqkHXthz7D6bYfYMQ=s88-c-k-c0x00ffffff-no-rj</v>
      </c>
      <c r="AL425" s="80">
        <v>0</v>
      </c>
      <c r="AM425" s="80">
        <v>0</v>
      </c>
      <c r="AN425" s="80">
        <v>5</v>
      </c>
      <c r="AO425" s="80" t="b">
        <v>0</v>
      </c>
      <c r="AP425" s="80">
        <v>0</v>
      </c>
      <c r="AQ425" s="80"/>
      <c r="AR425" s="80"/>
      <c r="AS425" s="80" t="s">
        <v>2664</v>
      </c>
      <c r="AT425" s="85" t="str">
        <f>HYPERLINK("https://www.youtube.com/channel/UCEbfrWiWbnQOM7KDxO_Evmg")</f>
        <v>https://www.youtube.com/channel/UCEbfrWiWbnQOM7KDxO_Evmg</v>
      </c>
      <c r="AU425" s="80" t="str">
        <f>REPLACE(INDEX(GroupVertices[Group],MATCH(Vertices[[#This Row],[Vertex]],GroupVertices[Vertex],0)),1,1,"")</f>
        <v>1</v>
      </c>
      <c r="AV425" s="49">
        <v>3</v>
      </c>
      <c r="AW425" s="50">
        <v>10.714285714285714</v>
      </c>
      <c r="AX425" s="49">
        <v>2</v>
      </c>
      <c r="AY425" s="50">
        <v>7.142857142857143</v>
      </c>
      <c r="AZ425" s="49">
        <v>0</v>
      </c>
      <c r="BA425" s="50">
        <v>0</v>
      </c>
      <c r="BB425" s="49">
        <v>23</v>
      </c>
      <c r="BC425" s="50">
        <v>82.14285714285714</v>
      </c>
      <c r="BD425" s="49">
        <v>28</v>
      </c>
      <c r="BE425" s="49"/>
      <c r="BF425" s="49"/>
      <c r="BG425" s="49"/>
      <c r="BH425" s="49"/>
      <c r="BI425" s="49"/>
      <c r="BJ425" s="49"/>
      <c r="BK425" s="111" t="s">
        <v>3993</v>
      </c>
      <c r="BL425" s="111" t="s">
        <v>3993</v>
      </c>
      <c r="BM425" s="111" t="s">
        <v>4456</v>
      </c>
      <c r="BN425" s="111" t="s">
        <v>4456</v>
      </c>
      <c r="BO425" s="2"/>
      <c r="BP425" s="3"/>
      <c r="BQ425" s="3"/>
      <c r="BR425" s="3"/>
      <c r="BS425" s="3"/>
    </row>
    <row r="426" spans="1:71" ht="15">
      <c r="A426" s="65" t="s">
        <v>625</v>
      </c>
      <c r="B426" s="66"/>
      <c r="C426" s="66"/>
      <c r="D426" s="67">
        <v>150</v>
      </c>
      <c r="E426" s="69"/>
      <c r="F426" s="103" t="str">
        <f>HYPERLINK("https://yt3.ggpht.com/ytc/AAUvwng_693IANtY7Lte2uxa41y3KbBu1LwRfVFut9_MIw=s88-c-k-c0x00ffffff-no-rj")</f>
        <v>https://yt3.ggpht.com/ytc/AAUvwng_693IANtY7Lte2uxa41y3KbBu1LwRfVFut9_MIw=s88-c-k-c0x00ffffff-no-rj</v>
      </c>
      <c r="G426" s="66"/>
      <c r="H426" s="70" t="s">
        <v>1984</v>
      </c>
      <c r="I426" s="71"/>
      <c r="J426" s="71" t="s">
        <v>159</v>
      </c>
      <c r="K426" s="70" t="s">
        <v>1984</v>
      </c>
      <c r="L426" s="74">
        <v>1</v>
      </c>
      <c r="M426" s="75">
        <v>1801.7425537109375</v>
      </c>
      <c r="N426" s="75">
        <v>7856.46044921875</v>
      </c>
      <c r="O426" s="76"/>
      <c r="P426" s="77"/>
      <c r="Q426" s="77"/>
      <c r="R426" s="89"/>
      <c r="S426" s="49">
        <v>0</v>
      </c>
      <c r="T426" s="49">
        <v>1</v>
      </c>
      <c r="U426" s="50">
        <v>0</v>
      </c>
      <c r="V426" s="50">
        <v>0.002801</v>
      </c>
      <c r="W426" s="50">
        <v>0.008244</v>
      </c>
      <c r="X426" s="50">
        <v>0.512495</v>
      </c>
      <c r="Y426" s="50">
        <v>0</v>
      </c>
      <c r="Z426" s="50">
        <v>0</v>
      </c>
      <c r="AA426" s="72">
        <v>426</v>
      </c>
      <c r="AB426" s="72"/>
      <c r="AC426" s="73"/>
      <c r="AD426" s="80" t="s">
        <v>1984</v>
      </c>
      <c r="AE426" s="85" t="str">
        <f>HYPERLINK("https://twitter.com/henixiwnl")</f>
        <v>https://twitter.com/henixiwnl</v>
      </c>
      <c r="AF426" s="80"/>
      <c r="AG426" s="80"/>
      <c r="AH426" s="80"/>
      <c r="AI426" s="80" t="s">
        <v>2649</v>
      </c>
      <c r="AJ426" s="87">
        <v>42326.912569444445</v>
      </c>
      <c r="AK426" s="85" t="str">
        <f>HYPERLINK("https://yt3.ggpht.com/ytc/AAUvwng_693IANtY7Lte2uxa41y3KbBu1LwRfVFut9_MIw=s88-c-k-c0x00ffffff-no-rj")</f>
        <v>https://yt3.ggpht.com/ytc/AAUvwng_693IANtY7Lte2uxa41y3KbBu1LwRfVFut9_MIw=s88-c-k-c0x00ffffff-no-rj</v>
      </c>
      <c r="AL426" s="80">
        <v>1674</v>
      </c>
      <c r="AM426" s="80">
        <v>0</v>
      </c>
      <c r="AN426" s="80">
        <v>137</v>
      </c>
      <c r="AO426" s="80" t="b">
        <v>0</v>
      </c>
      <c r="AP426" s="80">
        <v>4</v>
      </c>
      <c r="AQ426" s="80"/>
      <c r="AR426" s="80"/>
      <c r="AS426" s="80" t="s">
        <v>2664</v>
      </c>
      <c r="AT426" s="85" t="str">
        <f>HYPERLINK("https://www.youtube.com/channel/UCWEnrt2wJSyJ8UF9gGLxhgA")</f>
        <v>https://www.youtube.com/channel/UCWEnrt2wJSyJ8UF9gGLxhgA</v>
      </c>
      <c r="AU426" s="80" t="str">
        <f>REPLACE(INDEX(GroupVertices[Group],MATCH(Vertices[[#This Row],[Vertex]],GroupVertices[Vertex],0)),1,1,"")</f>
        <v>1</v>
      </c>
      <c r="AV426" s="49">
        <v>0</v>
      </c>
      <c r="AW426" s="50">
        <v>0</v>
      </c>
      <c r="AX426" s="49">
        <v>1</v>
      </c>
      <c r="AY426" s="50">
        <v>100</v>
      </c>
      <c r="AZ426" s="49">
        <v>0</v>
      </c>
      <c r="BA426" s="50">
        <v>0</v>
      </c>
      <c r="BB426" s="49">
        <v>0</v>
      </c>
      <c r="BC426" s="50">
        <v>0</v>
      </c>
      <c r="BD426" s="49">
        <v>1</v>
      </c>
      <c r="BE426" s="49"/>
      <c r="BF426" s="49"/>
      <c r="BG426" s="49"/>
      <c r="BH426" s="49"/>
      <c r="BI426" s="49"/>
      <c r="BJ426" s="49"/>
      <c r="BK426" s="111" t="s">
        <v>1343</v>
      </c>
      <c r="BL426" s="111" t="s">
        <v>1343</v>
      </c>
      <c r="BM426" s="111" t="s">
        <v>2390</v>
      </c>
      <c r="BN426" s="111" t="s">
        <v>2390</v>
      </c>
      <c r="BO426" s="2"/>
      <c r="BP426" s="3"/>
      <c r="BQ426" s="3"/>
      <c r="BR426" s="3"/>
      <c r="BS426" s="3"/>
    </row>
    <row r="427" spans="1:71" ht="15">
      <c r="A427" s="65" t="s">
        <v>626</v>
      </c>
      <c r="B427" s="66"/>
      <c r="C427" s="66"/>
      <c r="D427" s="67">
        <v>291.66666666666663</v>
      </c>
      <c r="E427" s="69"/>
      <c r="F427" s="103" t="str">
        <f>HYPERLINK("https://yt3.ggpht.com/ytc/AAUvwni_mB0NL855kkHucoWGRRpaUPEQLMyfIc_Img=s88-c-k-c0x00ffffff-no-rj")</f>
        <v>https://yt3.ggpht.com/ytc/AAUvwni_mB0NL855kkHucoWGRRpaUPEQLMyfIc_Img=s88-c-k-c0x00ffffff-no-rj</v>
      </c>
      <c r="G427" s="66"/>
      <c r="H427" s="70" t="s">
        <v>1985</v>
      </c>
      <c r="I427" s="71"/>
      <c r="J427" s="71" t="s">
        <v>159</v>
      </c>
      <c r="K427" s="70" t="s">
        <v>1985</v>
      </c>
      <c r="L427" s="74">
        <v>96.21904761904761</v>
      </c>
      <c r="M427" s="75">
        <v>1678.255615234375</v>
      </c>
      <c r="N427" s="75">
        <v>5749.8955078125</v>
      </c>
      <c r="O427" s="76"/>
      <c r="P427" s="77"/>
      <c r="Q427" s="77"/>
      <c r="R427" s="89"/>
      <c r="S427" s="49">
        <v>1</v>
      </c>
      <c r="T427" s="49">
        <v>1</v>
      </c>
      <c r="U427" s="50">
        <v>0</v>
      </c>
      <c r="V427" s="50">
        <v>0.002801</v>
      </c>
      <c r="W427" s="50">
        <v>0.008244</v>
      </c>
      <c r="X427" s="50">
        <v>0.512495</v>
      </c>
      <c r="Y427" s="50">
        <v>0</v>
      </c>
      <c r="Z427" s="50">
        <v>1</v>
      </c>
      <c r="AA427" s="72">
        <v>427</v>
      </c>
      <c r="AB427" s="72"/>
      <c r="AC427" s="73"/>
      <c r="AD427" s="80" t="s">
        <v>1985</v>
      </c>
      <c r="AE427" s="80"/>
      <c r="AF427" s="80"/>
      <c r="AG427" s="80"/>
      <c r="AH427" s="80"/>
      <c r="AI427" s="80"/>
      <c r="AJ427" s="87">
        <v>41871.76934027778</v>
      </c>
      <c r="AK427" s="85" t="str">
        <f>HYPERLINK("https://yt3.ggpht.com/ytc/AAUvwni_mB0NL855kkHucoWGRRpaUPEQLMyfIc_Img=s88-c-k-c0x00ffffff-no-rj")</f>
        <v>https://yt3.ggpht.com/ytc/AAUvwni_mB0NL855kkHucoWGRRpaUPEQLMyfIc_Img=s88-c-k-c0x00ffffff-no-rj</v>
      </c>
      <c r="AL427" s="80">
        <v>0</v>
      </c>
      <c r="AM427" s="80">
        <v>0</v>
      </c>
      <c r="AN427" s="80">
        <v>0</v>
      </c>
      <c r="AO427" s="80" t="b">
        <v>0</v>
      </c>
      <c r="AP427" s="80">
        <v>0</v>
      </c>
      <c r="AQ427" s="80"/>
      <c r="AR427" s="80"/>
      <c r="AS427" s="80" t="s">
        <v>2664</v>
      </c>
      <c r="AT427" s="85" t="str">
        <f>HYPERLINK("https://www.youtube.com/channel/UC9FjksoBHY_UxYRP6tvNnww")</f>
        <v>https://www.youtube.com/channel/UC9FjksoBHY_UxYRP6tvNnww</v>
      </c>
      <c r="AU427" s="80" t="str">
        <f>REPLACE(INDEX(GroupVertices[Group],MATCH(Vertices[[#This Row],[Vertex]],GroupVertices[Vertex],0)),1,1,"")</f>
        <v>1</v>
      </c>
      <c r="AV427" s="49">
        <v>0</v>
      </c>
      <c r="AW427" s="50">
        <v>0</v>
      </c>
      <c r="AX427" s="49">
        <v>0</v>
      </c>
      <c r="AY427" s="50">
        <v>0</v>
      </c>
      <c r="AZ427" s="49">
        <v>0</v>
      </c>
      <c r="BA427" s="50">
        <v>0</v>
      </c>
      <c r="BB427" s="49">
        <v>8</v>
      </c>
      <c r="BC427" s="50">
        <v>100</v>
      </c>
      <c r="BD427" s="49">
        <v>8</v>
      </c>
      <c r="BE427" s="49"/>
      <c r="BF427" s="49"/>
      <c r="BG427" s="49"/>
      <c r="BH427" s="49"/>
      <c r="BI427" s="49"/>
      <c r="BJ427" s="49"/>
      <c r="BK427" s="111" t="s">
        <v>3994</v>
      </c>
      <c r="BL427" s="111" t="s">
        <v>3994</v>
      </c>
      <c r="BM427" s="111" t="s">
        <v>4457</v>
      </c>
      <c r="BN427" s="111" t="s">
        <v>4457</v>
      </c>
      <c r="BO427" s="2"/>
      <c r="BP427" s="3"/>
      <c r="BQ427" s="3"/>
      <c r="BR427" s="3"/>
      <c r="BS427" s="3"/>
    </row>
    <row r="428" spans="1:71" ht="15">
      <c r="A428" s="65" t="s">
        <v>627</v>
      </c>
      <c r="B428" s="66"/>
      <c r="C428" s="66"/>
      <c r="D428" s="67">
        <v>150</v>
      </c>
      <c r="E428" s="69"/>
      <c r="F428" s="103" t="str">
        <f>HYPERLINK("https://yt3.ggpht.com/ytc/AAUvwnh6sjsvJoIaRhmXUm3baZduzb0WF3KLOkMJNzdZPQ=s88-c-k-c0x00ffffff-no-rj")</f>
        <v>https://yt3.ggpht.com/ytc/AAUvwnh6sjsvJoIaRhmXUm3baZduzb0WF3KLOkMJNzdZPQ=s88-c-k-c0x00ffffff-no-rj</v>
      </c>
      <c r="G428" s="66"/>
      <c r="H428" s="70" t="s">
        <v>1986</v>
      </c>
      <c r="I428" s="71"/>
      <c r="J428" s="71" t="s">
        <v>159</v>
      </c>
      <c r="K428" s="70" t="s">
        <v>1986</v>
      </c>
      <c r="L428" s="74">
        <v>1</v>
      </c>
      <c r="M428" s="75">
        <v>1438.1629638671875</v>
      </c>
      <c r="N428" s="75">
        <v>6305.52978515625</v>
      </c>
      <c r="O428" s="76"/>
      <c r="P428" s="77"/>
      <c r="Q428" s="77"/>
      <c r="R428" s="89"/>
      <c r="S428" s="49">
        <v>0</v>
      </c>
      <c r="T428" s="49">
        <v>1</v>
      </c>
      <c r="U428" s="50">
        <v>0</v>
      </c>
      <c r="V428" s="50">
        <v>0.002801</v>
      </c>
      <c r="W428" s="50">
        <v>0.008244</v>
      </c>
      <c r="X428" s="50">
        <v>0.512495</v>
      </c>
      <c r="Y428" s="50">
        <v>0</v>
      </c>
      <c r="Z428" s="50">
        <v>0</v>
      </c>
      <c r="AA428" s="72">
        <v>428</v>
      </c>
      <c r="AB428" s="72"/>
      <c r="AC428" s="73"/>
      <c r="AD428" s="80" t="s">
        <v>1986</v>
      </c>
      <c r="AE428" s="80" t="s">
        <v>2556</v>
      </c>
      <c r="AF428" s="80"/>
      <c r="AG428" s="80"/>
      <c r="AH428" s="80"/>
      <c r="AI428" s="80"/>
      <c r="AJ428" s="87">
        <v>43163.49787037037</v>
      </c>
      <c r="AK428" s="85" t="str">
        <f>HYPERLINK("https://yt3.ggpht.com/ytc/AAUvwnh6sjsvJoIaRhmXUm3baZduzb0WF3KLOkMJNzdZPQ=s88-c-k-c0x00ffffff-no-rj")</f>
        <v>https://yt3.ggpht.com/ytc/AAUvwnh6sjsvJoIaRhmXUm3baZduzb0WF3KLOkMJNzdZPQ=s88-c-k-c0x00ffffff-no-rj</v>
      </c>
      <c r="AL428" s="80">
        <v>308</v>
      </c>
      <c r="AM428" s="80">
        <v>0</v>
      </c>
      <c r="AN428" s="80">
        <v>5</v>
      </c>
      <c r="AO428" s="80" t="b">
        <v>0</v>
      </c>
      <c r="AP428" s="80">
        <v>3</v>
      </c>
      <c r="AQ428" s="80"/>
      <c r="AR428" s="80"/>
      <c r="AS428" s="80" t="s">
        <v>2664</v>
      </c>
      <c r="AT428" s="85" t="str">
        <f>HYPERLINK("https://www.youtube.com/channel/UC1g2nw6FsShjFX5ycvYjKrQ")</f>
        <v>https://www.youtube.com/channel/UC1g2nw6FsShjFX5ycvYjKrQ</v>
      </c>
      <c r="AU428" s="80" t="str">
        <f>REPLACE(INDEX(GroupVertices[Group],MATCH(Vertices[[#This Row],[Vertex]],GroupVertices[Vertex],0)),1,1,"")</f>
        <v>1</v>
      </c>
      <c r="AV428" s="49">
        <v>2</v>
      </c>
      <c r="AW428" s="50">
        <v>28.571428571428573</v>
      </c>
      <c r="AX428" s="49">
        <v>0</v>
      </c>
      <c r="AY428" s="50">
        <v>0</v>
      </c>
      <c r="AZ428" s="49">
        <v>0</v>
      </c>
      <c r="BA428" s="50">
        <v>0</v>
      </c>
      <c r="BB428" s="49">
        <v>5</v>
      </c>
      <c r="BC428" s="50">
        <v>71.42857142857143</v>
      </c>
      <c r="BD428" s="49">
        <v>7</v>
      </c>
      <c r="BE428" s="49"/>
      <c r="BF428" s="49"/>
      <c r="BG428" s="49"/>
      <c r="BH428" s="49"/>
      <c r="BI428" s="49"/>
      <c r="BJ428" s="49"/>
      <c r="BK428" s="111" t="s">
        <v>2792</v>
      </c>
      <c r="BL428" s="111" t="s">
        <v>2792</v>
      </c>
      <c r="BM428" s="111" t="s">
        <v>2390</v>
      </c>
      <c r="BN428" s="111" t="s">
        <v>2390</v>
      </c>
      <c r="BO428" s="2"/>
      <c r="BP428" s="3"/>
      <c r="BQ428" s="3"/>
      <c r="BR428" s="3"/>
      <c r="BS428" s="3"/>
    </row>
    <row r="429" spans="1:71" ht="15">
      <c r="A429" s="65" t="s">
        <v>628</v>
      </c>
      <c r="B429" s="66"/>
      <c r="C429" s="66"/>
      <c r="D429" s="67">
        <v>150</v>
      </c>
      <c r="E429" s="69"/>
      <c r="F429" s="103" t="str">
        <f>HYPERLINK("https://yt3.ggpht.com/ytc/AAUvwni4lCHlRycAhZUR6Hp_Zj66luqAVxPhaB3lvEU=s88-c-k-c0x00ffffff-no-rj")</f>
        <v>https://yt3.ggpht.com/ytc/AAUvwni4lCHlRycAhZUR6Hp_Zj66luqAVxPhaB3lvEU=s88-c-k-c0x00ffffff-no-rj</v>
      </c>
      <c r="G429" s="66"/>
      <c r="H429" s="70" t="s">
        <v>1987</v>
      </c>
      <c r="I429" s="71"/>
      <c r="J429" s="71" t="s">
        <v>159</v>
      </c>
      <c r="K429" s="70" t="s">
        <v>1987</v>
      </c>
      <c r="L429" s="74">
        <v>1</v>
      </c>
      <c r="M429" s="75">
        <v>2518.95703125</v>
      </c>
      <c r="N429" s="75">
        <v>7470.36767578125</v>
      </c>
      <c r="O429" s="76"/>
      <c r="P429" s="77"/>
      <c r="Q429" s="77"/>
      <c r="R429" s="89"/>
      <c r="S429" s="49">
        <v>0</v>
      </c>
      <c r="T429" s="49">
        <v>1</v>
      </c>
      <c r="U429" s="50">
        <v>0</v>
      </c>
      <c r="V429" s="50">
        <v>0.002801</v>
      </c>
      <c r="W429" s="50">
        <v>0.008244</v>
      </c>
      <c r="X429" s="50">
        <v>0.512495</v>
      </c>
      <c r="Y429" s="50">
        <v>0</v>
      </c>
      <c r="Z429" s="50">
        <v>0</v>
      </c>
      <c r="AA429" s="72">
        <v>429</v>
      </c>
      <c r="AB429" s="72"/>
      <c r="AC429" s="73"/>
      <c r="AD429" s="80" t="s">
        <v>1987</v>
      </c>
      <c r="AE429" s="80" t="s">
        <v>1987</v>
      </c>
      <c r="AF429" s="80"/>
      <c r="AG429" s="80"/>
      <c r="AH429" s="80"/>
      <c r="AI429" s="80"/>
      <c r="AJ429" s="87">
        <v>42836.12107638889</v>
      </c>
      <c r="AK429" s="85" t="str">
        <f>HYPERLINK("https://yt3.ggpht.com/ytc/AAUvwni4lCHlRycAhZUR6Hp_Zj66luqAVxPhaB3lvEU=s88-c-k-c0x00ffffff-no-rj")</f>
        <v>https://yt3.ggpht.com/ytc/AAUvwni4lCHlRycAhZUR6Hp_Zj66luqAVxPhaB3lvEU=s88-c-k-c0x00ffffff-no-rj</v>
      </c>
      <c r="AL429" s="80">
        <v>33</v>
      </c>
      <c r="AM429" s="80">
        <v>0</v>
      </c>
      <c r="AN429" s="80">
        <v>1</v>
      </c>
      <c r="AO429" s="80" t="b">
        <v>0</v>
      </c>
      <c r="AP429" s="80">
        <v>7</v>
      </c>
      <c r="AQ429" s="80"/>
      <c r="AR429" s="80"/>
      <c r="AS429" s="80" t="s">
        <v>2664</v>
      </c>
      <c r="AT429" s="85" t="str">
        <f>HYPERLINK("https://www.youtube.com/channel/UCiv0P8ZBx6PUV9CptXEkWKw")</f>
        <v>https://www.youtube.com/channel/UCiv0P8ZBx6PUV9CptXEkWKw</v>
      </c>
      <c r="AU429" s="80" t="str">
        <f>REPLACE(INDEX(GroupVertices[Group],MATCH(Vertices[[#This Row],[Vertex]],GroupVertices[Vertex],0)),1,1,"")</f>
        <v>1</v>
      </c>
      <c r="AV429" s="49">
        <v>3</v>
      </c>
      <c r="AW429" s="50">
        <v>33.333333333333336</v>
      </c>
      <c r="AX429" s="49">
        <v>0</v>
      </c>
      <c r="AY429" s="50">
        <v>0</v>
      </c>
      <c r="AZ429" s="49">
        <v>0</v>
      </c>
      <c r="BA429" s="50">
        <v>0</v>
      </c>
      <c r="BB429" s="49">
        <v>6</v>
      </c>
      <c r="BC429" s="50">
        <v>66.66666666666667</v>
      </c>
      <c r="BD429" s="49">
        <v>9</v>
      </c>
      <c r="BE429" s="49"/>
      <c r="BF429" s="49"/>
      <c r="BG429" s="49"/>
      <c r="BH429" s="49"/>
      <c r="BI429" s="49"/>
      <c r="BJ429" s="49"/>
      <c r="BK429" s="111" t="s">
        <v>3995</v>
      </c>
      <c r="BL429" s="111" t="s">
        <v>3995</v>
      </c>
      <c r="BM429" s="111" t="s">
        <v>4458</v>
      </c>
      <c r="BN429" s="111" t="s">
        <v>4458</v>
      </c>
      <c r="BO429" s="2"/>
      <c r="BP429" s="3"/>
      <c r="BQ429" s="3"/>
      <c r="BR429" s="3"/>
      <c r="BS429" s="3"/>
    </row>
    <row r="430" spans="1:71" ht="15">
      <c r="A430" s="65" t="s">
        <v>629</v>
      </c>
      <c r="B430" s="66"/>
      <c r="C430" s="66"/>
      <c r="D430" s="67">
        <v>150</v>
      </c>
      <c r="E430" s="69"/>
      <c r="F430" s="103" t="str">
        <f>HYPERLINK("https://yt3.ggpht.com/ytc/AAUvwng8CLKCpWS-_VGB6mMGCpsg4P5iG4NyvzR_roxosA=s88-c-k-c0x00ffffff-no-rj")</f>
        <v>https://yt3.ggpht.com/ytc/AAUvwng8CLKCpWS-_VGB6mMGCpsg4P5iG4NyvzR_roxosA=s88-c-k-c0x00ffffff-no-rj</v>
      </c>
      <c r="G430" s="66"/>
      <c r="H430" s="70" t="s">
        <v>1988</v>
      </c>
      <c r="I430" s="71"/>
      <c r="J430" s="71" t="s">
        <v>159</v>
      </c>
      <c r="K430" s="70" t="s">
        <v>1988</v>
      </c>
      <c r="L430" s="74">
        <v>1</v>
      </c>
      <c r="M430" s="75">
        <v>1028.810302734375</v>
      </c>
      <c r="N430" s="75">
        <v>6899.1630859375</v>
      </c>
      <c r="O430" s="76"/>
      <c r="P430" s="77"/>
      <c r="Q430" s="77"/>
      <c r="R430" s="89"/>
      <c r="S430" s="49">
        <v>0</v>
      </c>
      <c r="T430" s="49">
        <v>1</v>
      </c>
      <c r="U430" s="50">
        <v>0</v>
      </c>
      <c r="V430" s="50">
        <v>0.002801</v>
      </c>
      <c r="W430" s="50">
        <v>0.008244</v>
      </c>
      <c r="X430" s="50">
        <v>0.512495</v>
      </c>
      <c r="Y430" s="50">
        <v>0</v>
      </c>
      <c r="Z430" s="50">
        <v>0</v>
      </c>
      <c r="AA430" s="72">
        <v>430</v>
      </c>
      <c r="AB430" s="72"/>
      <c r="AC430" s="73"/>
      <c r="AD430" s="80" t="s">
        <v>1988</v>
      </c>
      <c r="AE430" s="80"/>
      <c r="AF430" s="80"/>
      <c r="AG430" s="80"/>
      <c r="AH430" s="80"/>
      <c r="AI430" s="80"/>
      <c r="AJ430" s="87">
        <v>42366.210381944446</v>
      </c>
      <c r="AK430" s="85" t="str">
        <f>HYPERLINK("https://yt3.ggpht.com/ytc/AAUvwng8CLKCpWS-_VGB6mMGCpsg4P5iG4NyvzR_roxosA=s88-c-k-c0x00ffffff-no-rj")</f>
        <v>https://yt3.ggpht.com/ytc/AAUvwng8CLKCpWS-_VGB6mMGCpsg4P5iG4NyvzR_roxosA=s88-c-k-c0x00ffffff-no-rj</v>
      </c>
      <c r="AL430" s="80">
        <v>19</v>
      </c>
      <c r="AM430" s="80">
        <v>0</v>
      </c>
      <c r="AN430" s="80">
        <v>1</v>
      </c>
      <c r="AO430" s="80" t="b">
        <v>0</v>
      </c>
      <c r="AP430" s="80">
        <v>1</v>
      </c>
      <c r="AQ430" s="80"/>
      <c r="AR430" s="80"/>
      <c r="AS430" s="80" t="s">
        <v>2664</v>
      </c>
      <c r="AT430" s="85" t="str">
        <f>HYPERLINK("https://www.youtube.com/channel/UClzQpgwaQA51uOv-8VooFlA")</f>
        <v>https://www.youtube.com/channel/UClzQpgwaQA51uOv-8VooFlA</v>
      </c>
      <c r="AU430" s="80" t="str">
        <f>REPLACE(INDEX(GroupVertices[Group],MATCH(Vertices[[#This Row],[Vertex]],GroupVertices[Vertex],0)),1,1,"")</f>
        <v>1</v>
      </c>
      <c r="AV430" s="49">
        <v>2</v>
      </c>
      <c r="AW430" s="50">
        <v>28.571428571428573</v>
      </c>
      <c r="AX430" s="49">
        <v>0</v>
      </c>
      <c r="AY430" s="50">
        <v>0</v>
      </c>
      <c r="AZ430" s="49">
        <v>0</v>
      </c>
      <c r="BA430" s="50">
        <v>0</v>
      </c>
      <c r="BB430" s="49">
        <v>5</v>
      </c>
      <c r="BC430" s="50">
        <v>71.42857142857143</v>
      </c>
      <c r="BD430" s="49">
        <v>7</v>
      </c>
      <c r="BE430" s="49"/>
      <c r="BF430" s="49"/>
      <c r="BG430" s="49"/>
      <c r="BH430" s="49"/>
      <c r="BI430" s="49"/>
      <c r="BJ430" s="49"/>
      <c r="BK430" s="111" t="s">
        <v>2792</v>
      </c>
      <c r="BL430" s="111" t="s">
        <v>2792</v>
      </c>
      <c r="BM430" s="111" t="s">
        <v>2390</v>
      </c>
      <c r="BN430" s="111" t="s">
        <v>2390</v>
      </c>
      <c r="BO430" s="2"/>
      <c r="BP430" s="3"/>
      <c r="BQ430" s="3"/>
      <c r="BR430" s="3"/>
      <c r="BS430" s="3"/>
    </row>
    <row r="431" spans="1:71" ht="15">
      <c r="A431" s="65" t="s">
        <v>630</v>
      </c>
      <c r="B431" s="66"/>
      <c r="C431" s="66"/>
      <c r="D431" s="67">
        <v>150</v>
      </c>
      <c r="E431" s="69"/>
      <c r="F431" s="103" t="str">
        <f>HYPERLINK("https://yt3.ggpht.com/ytc/AAUvwnjdHRbFRbx9p8eHJm9J48XgntYdYQqlKJQb8cETTA=s88-c-k-c0x00ffffff-no-rj")</f>
        <v>https://yt3.ggpht.com/ytc/AAUvwnjdHRbFRbx9p8eHJm9J48XgntYdYQqlKJQb8cETTA=s88-c-k-c0x00ffffff-no-rj</v>
      </c>
      <c r="G431" s="66"/>
      <c r="H431" s="70" t="s">
        <v>1989</v>
      </c>
      <c r="I431" s="71"/>
      <c r="J431" s="71" t="s">
        <v>159</v>
      </c>
      <c r="K431" s="70" t="s">
        <v>1989</v>
      </c>
      <c r="L431" s="74">
        <v>1</v>
      </c>
      <c r="M431" s="75">
        <v>1458.7265625</v>
      </c>
      <c r="N431" s="75">
        <v>9816.4619140625</v>
      </c>
      <c r="O431" s="76"/>
      <c r="P431" s="77"/>
      <c r="Q431" s="77"/>
      <c r="R431" s="89"/>
      <c r="S431" s="49">
        <v>0</v>
      </c>
      <c r="T431" s="49">
        <v>1</v>
      </c>
      <c r="U431" s="50">
        <v>0</v>
      </c>
      <c r="V431" s="50">
        <v>0.001969</v>
      </c>
      <c r="W431" s="50">
        <v>0.000851</v>
      </c>
      <c r="X431" s="50">
        <v>0.531082</v>
      </c>
      <c r="Y431" s="50">
        <v>0</v>
      </c>
      <c r="Z431" s="50">
        <v>0</v>
      </c>
      <c r="AA431" s="72">
        <v>431</v>
      </c>
      <c r="AB431" s="72"/>
      <c r="AC431" s="73"/>
      <c r="AD431" s="80" t="s">
        <v>1989</v>
      </c>
      <c r="AE431" s="80"/>
      <c r="AF431" s="80"/>
      <c r="AG431" s="80"/>
      <c r="AH431" s="80"/>
      <c r="AI431" s="80"/>
      <c r="AJ431" s="87">
        <v>43127.00892361111</v>
      </c>
      <c r="AK431" s="85" t="str">
        <f>HYPERLINK("https://yt3.ggpht.com/ytc/AAUvwnjdHRbFRbx9p8eHJm9J48XgntYdYQqlKJQb8cETTA=s88-c-k-c0x00ffffff-no-rj")</f>
        <v>https://yt3.ggpht.com/ytc/AAUvwnjdHRbFRbx9p8eHJm9J48XgntYdYQqlKJQb8cETTA=s88-c-k-c0x00ffffff-no-rj</v>
      </c>
      <c r="AL431" s="80">
        <v>0</v>
      </c>
      <c r="AM431" s="80">
        <v>0</v>
      </c>
      <c r="AN431" s="80">
        <v>0</v>
      </c>
      <c r="AO431" s="80" t="b">
        <v>0</v>
      </c>
      <c r="AP431" s="80">
        <v>0</v>
      </c>
      <c r="AQ431" s="80"/>
      <c r="AR431" s="80"/>
      <c r="AS431" s="80" t="s">
        <v>2664</v>
      </c>
      <c r="AT431" s="85" t="str">
        <f>HYPERLINK("https://www.youtube.com/channel/UC9sz15QtSp_Sr-fg48i3v6A")</f>
        <v>https://www.youtube.com/channel/UC9sz15QtSp_Sr-fg48i3v6A</v>
      </c>
      <c r="AU431" s="80" t="str">
        <f>REPLACE(INDEX(GroupVertices[Group],MATCH(Vertices[[#This Row],[Vertex]],GroupVertices[Vertex],0)),1,1,"")</f>
        <v>1</v>
      </c>
      <c r="AV431" s="49">
        <v>1</v>
      </c>
      <c r="AW431" s="50">
        <v>5.555555555555555</v>
      </c>
      <c r="AX431" s="49">
        <v>1</v>
      </c>
      <c r="AY431" s="50">
        <v>5.555555555555555</v>
      </c>
      <c r="AZ431" s="49">
        <v>0</v>
      </c>
      <c r="BA431" s="50">
        <v>0</v>
      </c>
      <c r="BB431" s="49">
        <v>16</v>
      </c>
      <c r="BC431" s="50">
        <v>88.88888888888889</v>
      </c>
      <c r="BD431" s="49">
        <v>18</v>
      </c>
      <c r="BE431" s="49"/>
      <c r="BF431" s="49"/>
      <c r="BG431" s="49"/>
      <c r="BH431" s="49"/>
      <c r="BI431" s="49"/>
      <c r="BJ431" s="49"/>
      <c r="BK431" s="111" t="s">
        <v>3996</v>
      </c>
      <c r="BL431" s="111" t="s">
        <v>3996</v>
      </c>
      <c r="BM431" s="111" t="s">
        <v>4459</v>
      </c>
      <c r="BN431" s="111" t="s">
        <v>4459</v>
      </c>
      <c r="BO431" s="2"/>
      <c r="BP431" s="3"/>
      <c r="BQ431" s="3"/>
      <c r="BR431" s="3"/>
      <c r="BS431" s="3"/>
    </row>
    <row r="432" spans="1:71" ht="15">
      <c r="A432" s="65" t="s">
        <v>631</v>
      </c>
      <c r="B432" s="66"/>
      <c r="C432" s="66"/>
      <c r="D432" s="67">
        <v>575</v>
      </c>
      <c r="E432" s="69"/>
      <c r="F432" s="103" t="str">
        <f>HYPERLINK("https://yt3.ggpht.com/ytc/AAUvwngfYpnKTjq6OdmPqhepi4US25EoKoRPYH4Rz76N7g=s88-c-k-c0x00ffffff-no-rj")</f>
        <v>https://yt3.ggpht.com/ytc/AAUvwngfYpnKTjq6OdmPqhepi4US25EoKoRPYH4Rz76N7g=s88-c-k-c0x00ffffff-no-rj</v>
      </c>
      <c r="G432" s="66"/>
      <c r="H432" s="70" t="s">
        <v>1990</v>
      </c>
      <c r="I432" s="71"/>
      <c r="J432" s="71" t="s">
        <v>75</v>
      </c>
      <c r="K432" s="70" t="s">
        <v>1990</v>
      </c>
      <c r="L432" s="74">
        <v>286.65714285714284</v>
      </c>
      <c r="M432" s="75">
        <v>1707.6939697265625</v>
      </c>
      <c r="N432" s="75">
        <v>8520.4287109375</v>
      </c>
      <c r="O432" s="76"/>
      <c r="P432" s="77"/>
      <c r="Q432" s="77"/>
      <c r="R432" s="89"/>
      <c r="S432" s="49">
        <v>3</v>
      </c>
      <c r="T432" s="49">
        <v>2</v>
      </c>
      <c r="U432" s="50">
        <v>306</v>
      </c>
      <c r="V432" s="50">
        <v>0.002817</v>
      </c>
      <c r="W432" s="50">
        <v>0.009174</v>
      </c>
      <c r="X432" s="50">
        <v>1.344997</v>
      </c>
      <c r="Y432" s="50">
        <v>0</v>
      </c>
      <c r="Z432" s="50">
        <v>0.5</v>
      </c>
      <c r="AA432" s="72">
        <v>432</v>
      </c>
      <c r="AB432" s="72"/>
      <c r="AC432" s="73"/>
      <c r="AD432" s="80" t="s">
        <v>1990</v>
      </c>
      <c r="AE432" s="80"/>
      <c r="AF432" s="80"/>
      <c r="AG432" s="80"/>
      <c r="AH432" s="80"/>
      <c r="AI432" s="80"/>
      <c r="AJ432" s="87">
        <v>43416.95202546296</v>
      </c>
      <c r="AK432" s="85" t="str">
        <f>HYPERLINK("https://yt3.ggpht.com/ytc/AAUvwngfYpnKTjq6OdmPqhepi4US25EoKoRPYH4Rz76N7g=s88-c-k-c0x00ffffff-no-rj")</f>
        <v>https://yt3.ggpht.com/ytc/AAUvwngfYpnKTjq6OdmPqhepi4US25EoKoRPYH4Rz76N7g=s88-c-k-c0x00ffffff-no-rj</v>
      </c>
      <c r="AL432" s="80">
        <v>45</v>
      </c>
      <c r="AM432" s="80">
        <v>0</v>
      </c>
      <c r="AN432" s="80">
        <v>0</v>
      </c>
      <c r="AO432" s="80" t="b">
        <v>1</v>
      </c>
      <c r="AP432" s="80">
        <v>9</v>
      </c>
      <c r="AQ432" s="80"/>
      <c r="AR432" s="80"/>
      <c r="AS432" s="80" t="s">
        <v>2664</v>
      </c>
      <c r="AT432" s="85" t="str">
        <f>HYPERLINK("https://www.youtube.com/channel/UCnwjwXdjfM_YgmDFTr0NChg")</f>
        <v>https://www.youtube.com/channel/UCnwjwXdjfM_YgmDFTr0NChg</v>
      </c>
      <c r="AU432" s="80" t="str">
        <f>REPLACE(INDEX(GroupVertices[Group],MATCH(Vertices[[#This Row],[Vertex]],GroupVertices[Vertex],0)),1,1,"")</f>
        <v>1</v>
      </c>
      <c r="AV432" s="49">
        <v>1</v>
      </c>
      <c r="AW432" s="50">
        <v>1.2658227848101267</v>
      </c>
      <c r="AX432" s="49">
        <v>1</v>
      </c>
      <c r="AY432" s="50">
        <v>1.2658227848101267</v>
      </c>
      <c r="AZ432" s="49">
        <v>0</v>
      </c>
      <c r="BA432" s="50">
        <v>0</v>
      </c>
      <c r="BB432" s="49">
        <v>77</v>
      </c>
      <c r="BC432" s="50">
        <v>97.46835443037975</v>
      </c>
      <c r="BD432" s="49">
        <v>79</v>
      </c>
      <c r="BE432" s="49"/>
      <c r="BF432" s="49"/>
      <c r="BG432" s="49"/>
      <c r="BH432" s="49"/>
      <c r="BI432" s="49"/>
      <c r="BJ432" s="49"/>
      <c r="BK432" s="111" t="s">
        <v>3997</v>
      </c>
      <c r="BL432" s="111" t="s">
        <v>4136</v>
      </c>
      <c r="BM432" s="111" t="s">
        <v>4460</v>
      </c>
      <c r="BN432" s="111" t="s">
        <v>4460</v>
      </c>
      <c r="BO432" s="2"/>
      <c r="BP432" s="3"/>
      <c r="BQ432" s="3"/>
      <c r="BR432" s="3"/>
      <c r="BS432" s="3"/>
    </row>
    <row r="433" spans="1:71" ht="15">
      <c r="A433" s="65" t="s">
        <v>632</v>
      </c>
      <c r="B433" s="66"/>
      <c r="C433" s="66"/>
      <c r="D433" s="67">
        <v>575</v>
      </c>
      <c r="E433" s="69"/>
      <c r="F433" s="103" t="str">
        <f>HYPERLINK("https://yt3.ggpht.com/ytc/AAUvwnhGdGVL01GLx2Il9XBCmDkDFizlTEN0zafRX_dvGA=s88-c-k-c0x00ffffff-no-rj")</f>
        <v>https://yt3.ggpht.com/ytc/AAUvwnhGdGVL01GLx2Il9XBCmDkDFizlTEN0zafRX_dvGA=s88-c-k-c0x00ffffff-no-rj</v>
      </c>
      <c r="G433" s="66"/>
      <c r="H433" s="70" t="s">
        <v>1991</v>
      </c>
      <c r="I433" s="71"/>
      <c r="J433" s="71" t="s">
        <v>75</v>
      </c>
      <c r="K433" s="70" t="s">
        <v>1991</v>
      </c>
      <c r="L433" s="74">
        <v>286.65714285714284</v>
      </c>
      <c r="M433" s="75">
        <v>2560.830078125</v>
      </c>
      <c r="N433" s="75">
        <v>6582.55615234375</v>
      </c>
      <c r="O433" s="76"/>
      <c r="P433" s="77"/>
      <c r="Q433" s="77"/>
      <c r="R433" s="89"/>
      <c r="S433" s="49">
        <v>3</v>
      </c>
      <c r="T433" s="49">
        <v>2</v>
      </c>
      <c r="U433" s="50">
        <v>151</v>
      </c>
      <c r="V433" s="50">
        <v>0.002817</v>
      </c>
      <c r="W433" s="50">
        <v>0.009255</v>
      </c>
      <c r="X433" s="50">
        <v>1.236012</v>
      </c>
      <c r="Y433" s="50">
        <v>0</v>
      </c>
      <c r="Z433" s="50">
        <v>0.5</v>
      </c>
      <c r="AA433" s="72">
        <v>433</v>
      </c>
      <c r="AB433" s="72"/>
      <c r="AC433" s="73"/>
      <c r="AD433" s="80" t="s">
        <v>1991</v>
      </c>
      <c r="AE433" s="80"/>
      <c r="AF433" s="80"/>
      <c r="AG433" s="80"/>
      <c r="AH433" s="80"/>
      <c r="AI433" s="80"/>
      <c r="AJ433" s="87">
        <v>41833.34065972222</v>
      </c>
      <c r="AK433" s="85" t="str">
        <f>HYPERLINK("https://yt3.ggpht.com/ytc/AAUvwnhGdGVL01GLx2Il9XBCmDkDFizlTEN0zafRX_dvGA=s88-c-k-c0x00ffffff-no-rj")</f>
        <v>https://yt3.ggpht.com/ytc/AAUvwnhGdGVL01GLx2Il9XBCmDkDFizlTEN0zafRX_dvGA=s88-c-k-c0x00ffffff-no-rj</v>
      </c>
      <c r="AL433" s="80">
        <v>0</v>
      </c>
      <c r="AM433" s="80">
        <v>0</v>
      </c>
      <c r="AN433" s="80">
        <v>1</v>
      </c>
      <c r="AO433" s="80" t="b">
        <v>0</v>
      </c>
      <c r="AP433" s="80">
        <v>0</v>
      </c>
      <c r="AQ433" s="80"/>
      <c r="AR433" s="80"/>
      <c r="AS433" s="80" t="s">
        <v>2664</v>
      </c>
      <c r="AT433" s="85" t="str">
        <f>HYPERLINK("https://www.youtube.com/channel/UCgC4gwzrL6yC0QKTzYqgdTQ")</f>
        <v>https://www.youtube.com/channel/UCgC4gwzrL6yC0QKTzYqgdTQ</v>
      </c>
      <c r="AU433" s="80" t="str">
        <f>REPLACE(INDEX(GroupVertices[Group],MATCH(Vertices[[#This Row],[Vertex]],GroupVertices[Vertex],0)),1,1,"")</f>
        <v>1</v>
      </c>
      <c r="AV433" s="49">
        <v>0</v>
      </c>
      <c r="AW433" s="50">
        <v>0</v>
      </c>
      <c r="AX433" s="49">
        <v>0</v>
      </c>
      <c r="AY433" s="50">
        <v>0</v>
      </c>
      <c r="AZ433" s="49">
        <v>0</v>
      </c>
      <c r="BA433" s="50">
        <v>0</v>
      </c>
      <c r="BB433" s="49">
        <v>65</v>
      </c>
      <c r="BC433" s="50">
        <v>100</v>
      </c>
      <c r="BD433" s="49">
        <v>65</v>
      </c>
      <c r="BE433" s="49"/>
      <c r="BF433" s="49"/>
      <c r="BG433" s="49"/>
      <c r="BH433" s="49"/>
      <c r="BI433" s="49"/>
      <c r="BJ433" s="49"/>
      <c r="BK433" s="111" t="s">
        <v>3998</v>
      </c>
      <c r="BL433" s="111" t="s">
        <v>4137</v>
      </c>
      <c r="BM433" s="111" t="s">
        <v>4461</v>
      </c>
      <c r="BN433" s="111" t="s">
        <v>4461</v>
      </c>
      <c r="BO433" s="2"/>
      <c r="BP433" s="3"/>
      <c r="BQ433" s="3"/>
      <c r="BR433" s="3"/>
      <c r="BS433" s="3"/>
    </row>
    <row r="434" spans="1:71" ht="15">
      <c r="A434" s="65" t="s">
        <v>633</v>
      </c>
      <c r="B434" s="66"/>
      <c r="C434" s="66"/>
      <c r="D434" s="67">
        <v>150</v>
      </c>
      <c r="E434" s="69"/>
      <c r="F434" s="103" t="str">
        <f>HYPERLINK("https://yt3.ggpht.com/ytc/AAUvwnimKegqodPnk2ZUaEYhP9xE-HSbq6dyQZoZb_C3=s88-c-k-c0x00ffffff-no-rj")</f>
        <v>https://yt3.ggpht.com/ytc/AAUvwnimKegqodPnk2ZUaEYhP9xE-HSbq6dyQZoZb_C3=s88-c-k-c0x00ffffff-no-rj</v>
      </c>
      <c r="G434" s="66"/>
      <c r="H434" s="70" t="s">
        <v>1992</v>
      </c>
      <c r="I434" s="71"/>
      <c r="J434" s="71" t="s">
        <v>159</v>
      </c>
      <c r="K434" s="70" t="s">
        <v>1992</v>
      </c>
      <c r="L434" s="74">
        <v>1</v>
      </c>
      <c r="M434" s="75">
        <v>2153.66259765625</v>
      </c>
      <c r="N434" s="75">
        <v>8195.6484375</v>
      </c>
      <c r="O434" s="76"/>
      <c r="P434" s="77"/>
      <c r="Q434" s="77"/>
      <c r="R434" s="89"/>
      <c r="S434" s="49">
        <v>0</v>
      </c>
      <c r="T434" s="49">
        <v>1</v>
      </c>
      <c r="U434" s="50">
        <v>0</v>
      </c>
      <c r="V434" s="50">
        <v>0.002801</v>
      </c>
      <c r="W434" s="50">
        <v>0.008244</v>
      </c>
      <c r="X434" s="50">
        <v>0.512495</v>
      </c>
      <c r="Y434" s="50">
        <v>0</v>
      </c>
      <c r="Z434" s="50">
        <v>0</v>
      </c>
      <c r="AA434" s="72">
        <v>434</v>
      </c>
      <c r="AB434" s="72"/>
      <c r="AC434" s="73"/>
      <c r="AD434" s="80" t="s">
        <v>1992</v>
      </c>
      <c r="AE434" s="80" t="s">
        <v>2557</v>
      </c>
      <c r="AF434" s="80"/>
      <c r="AG434" s="80"/>
      <c r="AH434" s="80"/>
      <c r="AI434" s="80"/>
      <c r="AJ434" s="87">
        <v>42974.02633101852</v>
      </c>
      <c r="AK434" s="85" t="str">
        <f>HYPERLINK("https://yt3.ggpht.com/ytc/AAUvwnimKegqodPnk2ZUaEYhP9xE-HSbq6dyQZoZb_C3=s88-c-k-c0x00ffffff-no-rj")</f>
        <v>https://yt3.ggpht.com/ytc/AAUvwnimKegqodPnk2ZUaEYhP9xE-HSbq6dyQZoZb_C3=s88-c-k-c0x00ffffff-no-rj</v>
      </c>
      <c r="AL434" s="80">
        <v>784</v>
      </c>
      <c r="AM434" s="80">
        <v>0</v>
      </c>
      <c r="AN434" s="80">
        <v>37</v>
      </c>
      <c r="AO434" s="80" t="b">
        <v>0</v>
      </c>
      <c r="AP434" s="80">
        <v>5</v>
      </c>
      <c r="AQ434" s="80"/>
      <c r="AR434" s="80"/>
      <c r="AS434" s="80" t="s">
        <v>2664</v>
      </c>
      <c r="AT434" s="85" t="str">
        <f>HYPERLINK("https://www.youtube.com/channel/UC21eh8XGrSD2-WounNAwuCw")</f>
        <v>https://www.youtube.com/channel/UC21eh8XGrSD2-WounNAwuCw</v>
      </c>
      <c r="AU434" s="80" t="str">
        <f>REPLACE(INDEX(GroupVertices[Group],MATCH(Vertices[[#This Row],[Vertex]],GroupVertices[Vertex],0)),1,1,"")</f>
        <v>1</v>
      </c>
      <c r="AV434" s="49">
        <v>2</v>
      </c>
      <c r="AW434" s="50">
        <v>28.571428571428573</v>
      </c>
      <c r="AX434" s="49">
        <v>0</v>
      </c>
      <c r="AY434" s="50">
        <v>0</v>
      </c>
      <c r="AZ434" s="49">
        <v>0</v>
      </c>
      <c r="BA434" s="50">
        <v>0</v>
      </c>
      <c r="BB434" s="49">
        <v>5</v>
      </c>
      <c r="BC434" s="50">
        <v>71.42857142857143</v>
      </c>
      <c r="BD434" s="49">
        <v>7</v>
      </c>
      <c r="BE434" s="49"/>
      <c r="BF434" s="49"/>
      <c r="BG434" s="49"/>
      <c r="BH434" s="49"/>
      <c r="BI434" s="49"/>
      <c r="BJ434" s="49"/>
      <c r="BK434" s="111" t="s">
        <v>2792</v>
      </c>
      <c r="BL434" s="111" t="s">
        <v>2792</v>
      </c>
      <c r="BM434" s="111" t="s">
        <v>2390</v>
      </c>
      <c r="BN434" s="111" t="s">
        <v>2390</v>
      </c>
      <c r="BO434" s="2"/>
      <c r="BP434" s="3"/>
      <c r="BQ434" s="3"/>
      <c r="BR434" s="3"/>
      <c r="BS434" s="3"/>
    </row>
    <row r="435" spans="1:71" ht="15">
      <c r="A435" s="65" t="s">
        <v>634</v>
      </c>
      <c r="B435" s="66"/>
      <c r="C435" s="66"/>
      <c r="D435" s="67">
        <v>150</v>
      </c>
      <c r="E435" s="69"/>
      <c r="F435" s="103" t="str">
        <f>HYPERLINK("https://yt3.ggpht.com/ytc/AAUvwnjnU6qPQ_9WvwznStsswL9bDci573KQbCj-DmY9=s88-c-k-c0x00ffffff-no-rj")</f>
        <v>https://yt3.ggpht.com/ytc/AAUvwnjnU6qPQ_9WvwznStsswL9bDci573KQbCj-DmY9=s88-c-k-c0x00ffffff-no-rj</v>
      </c>
      <c r="G435" s="66"/>
      <c r="H435" s="70" t="s">
        <v>1993</v>
      </c>
      <c r="I435" s="71"/>
      <c r="J435" s="71" t="s">
        <v>159</v>
      </c>
      <c r="K435" s="70" t="s">
        <v>1993</v>
      </c>
      <c r="L435" s="74">
        <v>1</v>
      </c>
      <c r="M435" s="75">
        <v>2318.01513671875</v>
      </c>
      <c r="N435" s="75">
        <v>6175.13427734375</v>
      </c>
      <c r="O435" s="76"/>
      <c r="P435" s="77"/>
      <c r="Q435" s="77"/>
      <c r="R435" s="89"/>
      <c r="S435" s="49">
        <v>0</v>
      </c>
      <c r="T435" s="49">
        <v>1</v>
      </c>
      <c r="U435" s="50">
        <v>0</v>
      </c>
      <c r="V435" s="50">
        <v>0.002801</v>
      </c>
      <c r="W435" s="50">
        <v>0.008244</v>
      </c>
      <c r="X435" s="50">
        <v>0.512495</v>
      </c>
      <c r="Y435" s="50">
        <v>0</v>
      </c>
      <c r="Z435" s="50">
        <v>0</v>
      </c>
      <c r="AA435" s="72">
        <v>435</v>
      </c>
      <c r="AB435" s="72"/>
      <c r="AC435" s="73"/>
      <c r="AD435" s="80" t="s">
        <v>1993</v>
      </c>
      <c r="AE435" s="80" t="s">
        <v>2558</v>
      </c>
      <c r="AF435" s="80"/>
      <c r="AG435" s="80"/>
      <c r="AH435" s="80"/>
      <c r="AI435" s="80"/>
      <c r="AJ435" s="87">
        <v>42658.47771990741</v>
      </c>
      <c r="AK435" s="85" t="str">
        <f>HYPERLINK("https://yt3.ggpht.com/ytc/AAUvwnjnU6qPQ_9WvwznStsswL9bDci573KQbCj-DmY9=s88-c-k-c0x00ffffff-no-rj")</f>
        <v>https://yt3.ggpht.com/ytc/AAUvwnjnU6qPQ_9WvwznStsswL9bDci573KQbCj-DmY9=s88-c-k-c0x00ffffff-no-rj</v>
      </c>
      <c r="AL435" s="80">
        <v>2614</v>
      </c>
      <c r="AM435" s="80">
        <v>0</v>
      </c>
      <c r="AN435" s="80">
        <v>63</v>
      </c>
      <c r="AO435" s="80" t="b">
        <v>0</v>
      </c>
      <c r="AP435" s="80">
        <v>18</v>
      </c>
      <c r="AQ435" s="80"/>
      <c r="AR435" s="80"/>
      <c r="AS435" s="80" t="s">
        <v>2664</v>
      </c>
      <c r="AT435" s="85" t="str">
        <f>HYPERLINK("https://www.youtube.com/channel/UC1n4O9YInmQOhlVddAdXJDQ")</f>
        <v>https://www.youtube.com/channel/UC1n4O9YInmQOhlVddAdXJDQ</v>
      </c>
      <c r="AU435" s="80" t="str">
        <f>REPLACE(INDEX(GroupVertices[Group],MATCH(Vertices[[#This Row],[Vertex]],GroupVertices[Vertex],0)),1,1,"")</f>
        <v>1</v>
      </c>
      <c r="AV435" s="49">
        <v>0</v>
      </c>
      <c r="AW435" s="50">
        <v>0</v>
      </c>
      <c r="AX435" s="49">
        <v>1</v>
      </c>
      <c r="AY435" s="50">
        <v>25</v>
      </c>
      <c r="AZ435" s="49">
        <v>0</v>
      </c>
      <c r="BA435" s="50">
        <v>0</v>
      </c>
      <c r="BB435" s="49">
        <v>3</v>
      </c>
      <c r="BC435" s="50">
        <v>75</v>
      </c>
      <c r="BD435" s="49">
        <v>4</v>
      </c>
      <c r="BE435" s="49"/>
      <c r="BF435" s="49"/>
      <c r="BG435" s="49"/>
      <c r="BH435" s="49"/>
      <c r="BI435" s="49"/>
      <c r="BJ435" s="49"/>
      <c r="BK435" s="111" t="s">
        <v>1358</v>
      </c>
      <c r="BL435" s="111" t="s">
        <v>1358</v>
      </c>
      <c r="BM435" s="111" t="s">
        <v>4462</v>
      </c>
      <c r="BN435" s="111" t="s">
        <v>4462</v>
      </c>
      <c r="BO435" s="2"/>
      <c r="BP435" s="3"/>
      <c r="BQ435" s="3"/>
      <c r="BR435" s="3"/>
      <c r="BS435" s="3"/>
    </row>
    <row r="436" spans="1:71" ht="15">
      <c r="A436" s="65" t="s">
        <v>635</v>
      </c>
      <c r="B436" s="66"/>
      <c r="C436" s="66"/>
      <c r="D436" s="67">
        <v>150</v>
      </c>
      <c r="E436" s="69"/>
      <c r="F436" s="103" t="str">
        <f>HYPERLINK("https://yt3.ggpht.com/ytc/AAUvwnithQZV8ced7IH87dUTBOAabwygTaSWCwAJ9A=s88-c-k-c0x00ffffff-no-rj")</f>
        <v>https://yt3.ggpht.com/ytc/AAUvwnithQZV8ced7IH87dUTBOAabwygTaSWCwAJ9A=s88-c-k-c0x00ffffff-no-rj</v>
      </c>
      <c r="G436" s="66"/>
      <c r="H436" s="70" t="s">
        <v>1994</v>
      </c>
      <c r="I436" s="71"/>
      <c r="J436" s="71" t="s">
        <v>159</v>
      </c>
      <c r="K436" s="70" t="s">
        <v>1994</v>
      </c>
      <c r="L436" s="74">
        <v>1</v>
      </c>
      <c r="M436" s="75">
        <v>106.14649963378906</v>
      </c>
      <c r="N436" s="75">
        <v>6767.091796875</v>
      </c>
      <c r="O436" s="76"/>
      <c r="P436" s="77"/>
      <c r="Q436" s="77"/>
      <c r="R436" s="89"/>
      <c r="S436" s="49">
        <v>0</v>
      </c>
      <c r="T436" s="49">
        <v>1</v>
      </c>
      <c r="U436" s="50">
        <v>0</v>
      </c>
      <c r="V436" s="50">
        <v>0.001969</v>
      </c>
      <c r="W436" s="50">
        <v>0.000772</v>
      </c>
      <c r="X436" s="50">
        <v>0.575828</v>
      </c>
      <c r="Y436" s="50">
        <v>0</v>
      </c>
      <c r="Z436" s="50">
        <v>0</v>
      </c>
      <c r="AA436" s="72">
        <v>436</v>
      </c>
      <c r="AB436" s="72"/>
      <c r="AC436" s="73"/>
      <c r="AD436" s="80" t="s">
        <v>1994</v>
      </c>
      <c r="AE436" s="80"/>
      <c r="AF436" s="80"/>
      <c r="AG436" s="80"/>
      <c r="AH436" s="80"/>
      <c r="AI436" s="80"/>
      <c r="AJ436" s="87">
        <v>42128.53944444445</v>
      </c>
      <c r="AK436" s="85" t="str">
        <f>HYPERLINK("https://yt3.ggpht.com/ytc/AAUvwnithQZV8ced7IH87dUTBOAabwygTaSWCwAJ9A=s88-c-k-c0x00ffffff-no-rj")</f>
        <v>https://yt3.ggpht.com/ytc/AAUvwnithQZV8ced7IH87dUTBOAabwygTaSWCwAJ9A=s88-c-k-c0x00ffffff-no-rj</v>
      </c>
      <c r="AL436" s="80">
        <v>0</v>
      </c>
      <c r="AM436" s="80">
        <v>0</v>
      </c>
      <c r="AN436" s="80">
        <v>0</v>
      </c>
      <c r="AO436" s="80" t="b">
        <v>0</v>
      </c>
      <c r="AP436" s="80">
        <v>0</v>
      </c>
      <c r="AQ436" s="80"/>
      <c r="AR436" s="80"/>
      <c r="AS436" s="80" t="s">
        <v>2664</v>
      </c>
      <c r="AT436" s="85" t="str">
        <f>HYPERLINK("https://www.youtube.com/channel/UCApCzBa-q9eEYCXJ8bJly4Q")</f>
        <v>https://www.youtube.com/channel/UCApCzBa-q9eEYCXJ8bJly4Q</v>
      </c>
      <c r="AU436" s="80" t="str">
        <f>REPLACE(INDEX(GroupVertices[Group],MATCH(Vertices[[#This Row],[Vertex]],GroupVertices[Vertex],0)),1,1,"")</f>
        <v>1</v>
      </c>
      <c r="AV436" s="49">
        <v>1</v>
      </c>
      <c r="AW436" s="50">
        <v>16.666666666666668</v>
      </c>
      <c r="AX436" s="49">
        <v>0</v>
      </c>
      <c r="AY436" s="50">
        <v>0</v>
      </c>
      <c r="AZ436" s="49">
        <v>0</v>
      </c>
      <c r="BA436" s="50">
        <v>0</v>
      </c>
      <c r="BB436" s="49">
        <v>5</v>
      </c>
      <c r="BC436" s="50">
        <v>83.33333333333333</v>
      </c>
      <c r="BD436" s="49">
        <v>6</v>
      </c>
      <c r="BE436" s="49"/>
      <c r="BF436" s="49"/>
      <c r="BG436" s="49"/>
      <c r="BH436" s="49"/>
      <c r="BI436" s="49"/>
      <c r="BJ436" s="49"/>
      <c r="BK436" s="111" t="s">
        <v>3999</v>
      </c>
      <c r="BL436" s="111" t="s">
        <v>3999</v>
      </c>
      <c r="BM436" s="111" t="s">
        <v>4463</v>
      </c>
      <c r="BN436" s="111" t="s">
        <v>4463</v>
      </c>
      <c r="BO436" s="2"/>
      <c r="BP436" s="3"/>
      <c r="BQ436" s="3"/>
      <c r="BR436" s="3"/>
      <c r="BS436" s="3"/>
    </row>
    <row r="437" spans="1:71" ht="15">
      <c r="A437" s="65" t="s">
        <v>636</v>
      </c>
      <c r="B437" s="66"/>
      <c r="C437" s="66"/>
      <c r="D437" s="67">
        <v>291.66666666666663</v>
      </c>
      <c r="E437" s="69"/>
      <c r="F437" s="103" t="str">
        <f>HYPERLINK("https://yt3.ggpht.com/ytc/AAUvwnikFl_xICeBs9FB0rCs7XgZ6V554_foam_C0vJb=s88-c-k-c0x00ffffff-no-rj")</f>
        <v>https://yt3.ggpht.com/ytc/AAUvwnikFl_xICeBs9FB0rCs7XgZ6V554_foam_C0vJb=s88-c-k-c0x00ffffff-no-rj</v>
      </c>
      <c r="G437" s="66"/>
      <c r="H437" s="70" t="s">
        <v>1995</v>
      </c>
      <c r="I437" s="71"/>
      <c r="J437" s="71" t="s">
        <v>159</v>
      </c>
      <c r="K437" s="70" t="s">
        <v>1995</v>
      </c>
      <c r="L437" s="74">
        <v>96.21904761904761</v>
      </c>
      <c r="M437" s="75">
        <v>907.1721801757812</v>
      </c>
      <c r="N437" s="75">
        <v>6644.9580078125</v>
      </c>
      <c r="O437" s="76"/>
      <c r="P437" s="77"/>
      <c r="Q437" s="77"/>
      <c r="R437" s="89"/>
      <c r="S437" s="49">
        <v>1</v>
      </c>
      <c r="T437" s="49">
        <v>1</v>
      </c>
      <c r="U437" s="50">
        <v>306</v>
      </c>
      <c r="V437" s="50">
        <v>0.002817</v>
      </c>
      <c r="W437" s="50">
        <v>0.008315</v>
      </c>
      <c r="X437" s="50">
        <v>1.001948</v>
      </c>
      <c r="Y437" s="50">
        <v>0</v>
      </c>
      <c r="Z437" s="50">
        <v>0</v>
      </c>
      <c r="AA437" s="72">
        <v>437</v>
      </c>
      <c r="AB437" s="72"/>
      <c r="AC437" s="73"/>
      <c r="AD437" s="80" t="s">
        <v>1995</v>
      </c>
      <c r="AE437" s="80"/>
      <c r="AF437" s="80"/>
      <c r="AG437" s="80"/>
      <c r="AH437" s="80"/>
      <c r="AI437" s="80"/>
      <c r="AJ437" s="87">
        <v>42288.55550925926</v>
      </c>
      <c r="AK437" s="85" t="str">
        <f>HYPERLINK("https://yt3.ggpht.com/ytc/AAUvwnikFl_xICeBs9FB0rCs7XgZ6V554_foam_C0vJb=s88-c-k-c0x00ffffff-no-rj")</f>
        <v>https://yt3.ggpht.com/ytc/AAUvwnikFl_xICeBs9FB0rCs7XgZ6V554_foam_C0vJb=s88-c-k-c0x00ffffff-no-rj</v>
      </c>
      <c r="AL437" s="80">
        <v>0</v>
      </c>
      <c r="AM437" s="80">
        <v>0</v>
      </c>
      <c r="AN437" s="80">
        <v>4</v>
      </c>
      <c r="AO437" s="80" t="b">
        <v>0</v>
      </c>
      <c r="AP437" s="80">
        <v>0</v>
      </c>
      <c r="AQ437" s="80"/>
      <c r="AR437" s="80"/>
      <c r="AS437" s="80" t="s">
        <v>2664</v>
      </c>
      <c r="AT437" s="85" t="str">
        <f>HYPERLINK("https://www.youtube.com/channel/UCKoD9Yq28XTm0LetSmQp7DQ")</f>
        <v>https://www.youtube.com/channel/UCKoD9Yq28XTm0LetSmQp7DQ</v>
      </c>
      <c r="AU437" s="80" t="str">
        <f>REPLACE(INDEX(GroupVertices[Group],MATCH(Vertices[[#This Row],[Vertex]],GroupVertices[Vertex],0)),1,1,"")</f>
        <v>1</v>
      </c>
      <c r="AV437" s="49">
        <v>0</v>
      </c>
      <c r="AW437" s="50">
        <v>0</v>
      </c>
      <c r="AX437" s="49">
        <v>1</v>
      </c>
      <c r="AY437" s="50">
        <v>20</v>
      </c>
      <c r="AZ437" s="49">
        <v>0</v>
      </c>
      <c r="BA437" s="50">
        <v>0</v>
      </c>
      <c r="BB437" s="49">
        <v>4</v>
      </c>
      <c r="BC437" s="50">
        <v>80</v>
      </c>
      <c r="BD437" s="49">
        <v>5</v>
      </c>
      <c r="BE437" s="49"/>
      <c r="BF437" s="49"/>
      <c r="BG437" s="49"/>
      <c r="BH437" s="49"/>
      <c r="BI437" s="49"/>
      <c r="BJ437" s="49"/>
      <c r="BK437" s="111" t="s">
        <v>4000</v>
      </c>
      <c r="BL437" s="111" t="s">
        <v>4000</v>
      </c>
      <c r="BM437" s="111" t="s">
        <v>4464</v>
      </c>
      <c r="BN437" s="111" t="s">
        <v>4464</v>
      </c>
      <c r="BO437" s="2"/>
      <c r="BP437" s="3"/>
      <c r="BQ437" s="3"/>
      <c r="BR437" s="3"/>
      <c r="BS437" s="3"/>
    </row>
    <row r="438" spans="1:71" ht="15">
      <c r="A438" s="65" t="s">
        <v>637</v>
      </c>
      <c r="B438" s="66"/>
      <c r="C438" s="66"/>
      <c r="D438" s="67">
        <v>150</v>
      </c>
      <c r="E438" s="69"/>
      <c r="F438" s="103" t="str">
        <f>HYPERLINK("https://yt3.ggpht.com/ytc/AAUvwni5RIN_GG_C1GE2M_nx02vymY0Xt8CkdWK3VGjE3w=s88-c-k-c0x00ffffff-no-rj")</f>
        <v>https://yt3.ggpht.com/ytc/AAUvwni5RIN_GG_C1GE2M_nx02vymY0Xt8CkdWK3VGjE3w=s88-c-k-c0x00ffffff-no-rj</v>
      </c>
      <c r="G438" s="66"/>
      <c r="H438" s="70" t="s">
        <v>1996</v>
      </c>
      <c r="I438" s="71"/>
      <c r="J438" s="71" t="s">
        <v>159</v>
      </c>
      <c r="K438" s="70" t="s">
        <v>1996</v>
      </c>
      <c r="L438" s="74">
        <v>1</v>
      </c>
      <c r="M438" s="75">
        <v>1185.1748046875</v>
      </c>
      <c r="N438" s="75">
        <v>7326.67578125</v>
      </c>
      <c r="O438" s="76"/>
      <c r="P438" s="77"/>
      <c r="Q438" s="77"/>
      <c r="R438" s="89"/>
      <c r="S438" s="49">
        <v>0</v>
      </c>
      <c r="T438" s="49">
        <v>1</v>
      </c>
      <c r="U438" s="50">
        <v>0</v>
      </c>
      <c r="V438" s="50">
        <v>0.002801</v>
      </c>
      <c r="W438" s="50">
        <v>0.008244</v>
      </c>
      <c r="X438" s="50">
        <v>0.512495</v>
      </c>
      <c r="Y438" s="50">
        <v>0</v>
      </c>
      <c r="Z438" s="50">
        <v>0</v>
      </c>
      <c r="AA438" s="72">
        <v>438</v>
      </c>
      <c r="AB438" s="72"/>
      <c r="AC438" s="73"/>
      <c r="AD438" s="80" t="s">
        <v>1996</v>
      </c>
      <c r="AE438" s="80"/>
      <c r="AF438" s="80"/>
      <c r="AG438" s="80"/>
      <c r="AH438" s="80"/>
      <c r="AI438" s="80"/>
      <c r="AJ438" s="87">
        <v>43151.91081018518</v>
      </c>
      <c r="AK438" s="85" t="str">
        <f>HYPERLINK("https://yt3.ggpht.com/ytc/AAUvwni5RIN_GG_C1GE2M_nx02vymY0Xt8CkdWK3VGjE3w=s88-c-k-c0x00ffffff-no-rj")</f>
        <v>https://yt3.ggpht.com/ytc/AAUvwni5RIN_GG_C1GE2M_nx02vymY0Xt8CkdWK3VGjE3w=s88-c-k-c0x00ffffff-no-rj</v>
      </c>
      <c r="AL438" s="80">
        <v>0</v>
      </c>
      <c r="AM438" s="80">
        <v>0</v>
      </c>
      <c r="AN438" s="80">
        <v>0</v>
      </c>
      <c r="AO438" s="80" t="b">
        <v>0</v>
      </c>
      <c r="AP438" s="80">
        <v>0</v>
      </c>
      <c r="AQ438" s="80"/>
      <c r="AR438" s="80"/>
      <c r="AS438" s="80" t="s">
        <v>2664</v>
      </c>
      <c r="AT438" s="85" t="str">
        <f>HYPERLINK("https://www.youtube.com/channel/UCzAQ3XpcrDTCTfpcUCGc2lg")</f>
        <v>https://www.youtube.com/channel/UCzAQ3XpcrDTCTfpcUCGc2lg</v>
      </c>
      <c r="AU438" s="80" t="str">
        <f>REPLACE(INDEX(GroupVertices[Group],MATCH(Vertices[[#This Row],[Vertex]],GroupVertices[Vertex],0)),1,1,"")</f>
        <v>1</v>
      </c>
      <c r="AV438" s="49">
        <v>2</v>
      </c>
      <c r="AW438" s="50">
        <v>50</v>
      </c>
      <c r="AX438" s="49">
        <v>0</v>
      </c>
      <c r="AY438" s="50">
        <v>0</v>
      </c>
      <c r="AZ438" s="49">
        <v>0</v>
      </c>
      <c r="BA438" s="50">
        <v>0</v>
      </c>
      <c r="BB438" s="49">
        <v>2</v>
      </c>
      <c r="BC438" s="50">
        <v>50</v>
      </c>
      <c r="BD438" s="49">
        <v>4</v>
      </c>
      <c r="BE438" s="49"/>
      <c r="BF438" s="49"/>
      <c r="BG438" s="49"/>
      <c r="BH438" s="49"/>
      <c r="BI438" s="49"/>
      <c r="BJ438" s="49"/>
      <c r="BK438" s="111" t="s">
        <v>4001</v>
      </c>
      <c r="BL438" s="111" t="s">
        <v>4001</v>
      </c>
      <c r="BM438" s="111" t="s">
        <v>4465</v>
      </c>
      <c r="BN438" s="111" t="s">
        <v>4465</v>
      </c>
      <c r="BO438" s="2"/>
      <c r="BP438" s="3"/>
      <c r="BQ438" s="3"/>
      <c r="BR438" s="3"/>
      <c r="BS438" s="3"/>
    </row>
    <row r="439" spans="1:71" ht="15">
      <c r="A439" s="65" t="s">
        <v>638</v>
      </c>
      <c r="B439" s="66"/>
      <c r="C439" s="66"/>
      <c r="D439" s="67">
        <v>150</v>
      </c>
      <c r="E439" s="69"/>
      <c r="F439" s="103" t="str">
        <f>HYPERLINK("https://yt3.ggpht.com/ytc/AAUvwnhZroL4oX59S-z3i7o6enxheEYhUx6lTuYI9w=s88-c-k-c0x00ffffff-no-rj")</f>
        <v>https://yt3.ggpht.com/ytc/AAUvwnhZroL4oX59S-z3i7o6enxheEYhUx6lTuYI9w=s88-c-k-c0x00ffffff-no-rj</v>
      </c>
      <c r="G439" s="66"/>
      <c r="H439" s="70" t="s">
        <v>1997</v>
      </c>
      <c r="I439" s="71"/>
      <c r="J439" s="71" t="s">
        <v>159</v>
      </c>
      <c r="K439" s="70" t="s">
        <v>1997</v>
      </c>
      <c r="L439" s="74">
        <v>1</v>
      </c>
      <c r="M439" s="75">
        <v>9011.837890625</v>
      </c>
      <c r="N439" s="75">
        <v>740.5328979492188</v>
      </c>
      <c r="O439" s="76"/>
      <c r="P439" s="77"/>
      <c r="Q439" s="77"/>
      <c r="R439" s="89"/>
      <c r="S439" s="49">
        <v>0</v>
      </c>
      <c r="T439" s="49">
        <v>1</v>
      </c>
      <c r="U439" s="50">
        <v>0</v>
      </c>
      <c r="V439" s="50">
        <v>0.001984</v>
      </c>
      <c r="W439" s="50">
        <v>0.000785</v>
      </c>
      <c r="X439" s="50">
        <v>0.565141</v>
      </c>
      <c r="Y439" s="50">
        <v>0</v>
      </c>
      <c r="Z439" s="50">
        <v>0</v>
      </c>
      <c r="AA439" s="72">
        <v>439</v>
      </c>
      <c r="AB439" s="72"/>
      <c r="AC439" s="73"/>
      <c r="AD439" s="80" t="s">
        <v>1997</v>
      </c>
      <c r="AE439" s="80"/>
      <c r="AF439" s="80"/>
      <c r="AG439" s="80"/>
      <c r="AH439" s="80"/>
      <c r="AI439" s="80"/>
      <c r="AJ439" s="87">
        <v>42532.92474537037</v>
      </c>
      <c r="AK439" s="85" t="str">
        <f>HYPERLINK("https://yt3.ggpht.com/ytc/AAUvwnhZroL4oX59S-z3i7o6enxheEYhUx6lTuYI9w=s88-c-k-c0x00ffffff-no-rj")</f>
        <v>https://yt3.ggpht.com/ytc/AAUvwnhZroL4oX59S-z3i7o6enxheEYhUx6lTuYI9w=s88-c-k-c0x00ffffff-no-rj</v>
      </c>
      <c r="AL439" s="80">
        <v>0</v>
      </c>
      <c r="AM439" s="80">
        <v>0</v>
      </c>
      <c r="AN439" s="80">
        <v>3</v>
      </c>
      <c r="AO439" s="80" t="b">
        <v>0</v>
      </c>
      <c r="AP439" s="80">
        <v>0</v>
      </c>
      <c r="AQ439" s="80"/>
      <c r="AR439" s="80"/>
      <c r="AS439" s="80" t="s">
        <v>2664</v>
      </c>
      <c r="AT439" s="85" t="str">
        <f>HYPERLINK("https://www.youtube.com/channel/UC9sHHj-4pWZqH11x8rEVxUw")</f>
        <v>https://www.youtube.com/channel/UC9sHHj-4pWZqH11x8rEVxUw</v>
      </c>
      <c r="AU439" s="80" t="str">
        <f>REPLACE(INDEX(GroupVertices[Group],MATCH(Vertices[[#This Row],[Vertex]],GroupVertices[Vertex],0)),1,1,"")</f>
        <v>18</v>
      </c>
      <c r="AV439" s="49">
        <v>0</v>
      </c>
      <c r="AW439" s="50">
        <v>0</v>
      </c>
      <c r="AX439" s="49">
        <v>0</v>
      </c>
      <c r="AY439" s="50">
        <v>0</v>
      </c>
      <c r="AZ439" s="49">
        <v>0</v>
      </c>
      <c r="BA439" s="50">
        <v>0</v>
      </c>
      <c r="BB439" s="49">
        <v>4</v>
      </c>
      <c r="BC439" s="50">
        <v>100</v>
      </c>
      <c r="BD439" s="49">
        <v>4</v>
      </c>
      <c r="BE439" s="49"/>
      <c r="BF439" s="49"/>
      <c r="BG439" s="49"/>
      <c r="BH439" s="49"/>
      <c r="BI439" s="49"/>
      <c r="BJ439" s="49"/>
      <c r="BK439" s="111" t="s">
        <v>2390</v>
      </c>
      <c r="BL439" s="111" t="s">
        <v>2390</v>
      </c>
      <c r="BM439" s="111" t="s">
        <v>2390</v>
      </c>
      <c r="BN439" s="111" t="s">
        <v>2390</v>
      </c>
      <c r="BO439" s="2"/>
      <c r="BP439" s="3"/>
      <c r="BQ439" s="3"/>
      <c r="BR439" s="3"/>
      <c r="BS439" s="3"/>
    </row>
    <row r="440" spans="1:71" ht="15">
      <c r="A440" s="65" t="s">
        <v>641</v>
      </c>
      <c r="B440" s="66"/>
      <c r="C440" s="66"/>
      <c r="D440" s="67">
        <v>575</v>
      </c>
      <c r="E440" s="69"/>
      <c r="F440" s="103" t="str">
        <f>HYPERLINK("https://yt3.ggpht.com/ytc/AAUvwngt6jVXhca6xiueADruttdfCn_W16Efouzv0g=s88-c-k-c0x00ffffff-no-rj")</f>
        <v>https://yt3.ggpht.com/ytc/AAUvwngt6jVXhca6xiueADruttdfCn_W16Efouzv0g=s88-c-k-c0x00ffffff-no-rj</v>
      </c>
      <c r="G440" s="66"/>
      <c r="H440" s="70" t="s">
        <v>2000</v>
      </c>
      <c r="I440" s="71"/>
      <c r="J440" s="71" t="s">
        <v>75</v>
      </c>
      <c r="K440" s="70" t="s">
        <v>2000</v>
      </c>
      <c r="L440" s="74">
        <v>286.65714285714284</v>
      </c>
      <c r="M440" s="75">
        <v>9011.837890625</v>
      </c>
      <c r="N440" s="75">
        <v>343.17376708984375</v>
      </c>
      <c r="O440" s="76"/>
      <c r="P440" s="77"/>
      <c r="Q440" s="77"/>
      <c r="R440" s="89"/>
      <c r="S440" s="49">
        <v>3</v>
      </c>
      <c r="T440" s="49">
        <v>1</v>
      </c>
      <c r="U440" s="50">
        <v>912</v>
      </c>
      <c r="V440" s="50">
        <v>0.002849</v>
      </c>
      <c r="W440" s="50">
        <v>0.008462</v>
      </c>
      <c r="X440" s="50">
        <v>1.953603</v>
      </c>
      <c r="Y440" s="50">
        <v>0</v>
      </c>
      <c r="Z440" s="50">
        <v>0</v>
      </c>
      <c r="AA440" s="72">
        <v>440</v>
      </c>
      <c r="AB440" s="72"/>
      <c r="AC440" s="73"/>
      <c r="AD440" s="80" t="s">
        <v>2000</v>
      </c>
      <c r="AE440" s="80"/>
      <c r="AF440" s="80"/>
      <c r="AG440" s="80"/>
      <c r="AH440" s="80"/>
      <c r="AI440" s="80"/>
      <c r="AJ440" s="87">
        <v>42283.913831018515</v>
      </c>
      <c r="AK440" s="85" t="str">
        <f>HYPERLINK("https://yt3.ggpht.com/ytc/AAUvwngt6jVXhca6xiueADruttdfCn_W16Efouzv0g=s88-c-k-c0x00ffffff-no-rj")</f>
        <v>https://yt3.ggpht.com/ytc/AAUvwngt6jVXhca6xiueADruttdfCn_W16Efouzv0g=s88-c-k-c0x00ffffff-no-rj</v>
      </c>
      <c r="AL440" s="80">
        <v>11</v>
      </c>
      <c r="AM440" s="80">
        <v>0</v>
      </c>
      <c r="AN440" s="80">
        <v>0</v>
      </c>
      <c r="AO440" s="80" t="b">
        <v>0</v>
      </c>
      <c r="AP440" s="80">
        <v>1</v>
      </c>
      <c r="AQ440" s="80"/>
      <c r="AR440" s="80"/>
      <c r="AS440" s="80" t="s">
        <v>2664</v>
      </c>
      <c r="AT440" s="85" t="str">
        <f>HYPERLINK("https://www.youtube.com/channel/UCf84n15qrTY7cWJ-a4mgasQ")</f>
        <v>https://www.youtube.com/channel/UCf84n15qrTY7cWJ-a4mgasQ</v>
      </c>
      <c r="AU440" s="80" t="str">
        <f>REPLACE(INDEX(GroupVertices[Group],MATCH(Vertices[[#This Row],[Vertex]],GroupVertices[Vertex],0)),1,1,"")</f>
        <v>18</v>
      </c>
      <c r="AV440" s="49">
        <v>0</v>
      </c>
      <c r="AW440" s="50">
        <v>0</v>
      </c>
      <c r="AX440" s="49">
        <v>0</v>
      </c>
      <c r="AY440" s="50">
        <v>0</v>
      </c>
      <c r="AZ440" s="49">
        <v>0</v>
      </c>
      <c r="BA440" s="50">
        <v>0</v>
      </c>
      <c r="BB440" s="49">
        <v>5</v>
      </c>
      <c r="BC440" s="50">
        <v>100</v>
      </c>
      <c r="BD440" s="49">
        <v>5</v>
      </c>
      <c r="BE440" s="49"/>
      <c r="BF440" s="49"/>
      <c r="BG440" s="49"/>
      <c r="BH440" s="49"/>
      <c r="BI440" s="49"/>
      <c r="BJ440" s="49"/>
      <c r="BK440" s="111" t="s">
        <v>4002</v>
      </c>
      <c r="BL440" s="111" t="s">
        <v>4002</v>
      </c>
      <c r="BM440" s="111" t="s">
        <v>4466</v>
      </c>
      <c r="BN440" s="111" t="s">
        <v>4466</v>
      </c>
      <c r="BO440" s="2"/>
      <c r="BP440" s="3"/>
      <c r="BQ440" s="3"/>
      <c r="BR440" s="3"/>
      <c r="BS440" s="3"/>
    </row>
    <row r="441" spans="1:71" ht="15">
      <c r="A441" s="65" t="s">
        <v>639</v>
      </c>
      <c r="B441" s="66"/>
      <c r="C441" s="66"/>
      <c r="D441" s="67">
        <v>150</v>
      </c>
      <c r="E441" s="69"/>
      <c r="F441" s="103" t="str">
        <f>HYPERLINK("https://yt3.ggpht.com/ytc/AAUvwni1H2pMQevt1i2aiwHrjolFjgS8O-PMEjSpxmtMwQ=s88-c-k-c0x00ffffff-no-rj")</f>
        <v>https://yt3.ggpht.com/ytc/AAUvwni1H2pMQevt1i2aiwHrjolFjgS8O-PMEjSpxmtMwQ=s88-c-k-c0x00ffffff-no-rj</v>
      </c>
      <c r="G441" s="66"/>
      <c r="H441" s="70" t="s">
        <v>1998</v>
      </c>
      <c r="I441" s="71"/>
      <c r="J441" s="71" t="s">
        <v>159</v>
      </c>
      <c r="K441" s="70" t="s">
        <v>1998</v>
      </c>
      <c r="L441" s="74">
        <v>1</v>
      </c>
      <c r="M441" s="75">
        <v>8735.8564453125</v>
      </c>
      <c r="N441" s="75">
        <v>740.5328979492188</v>
      </c>
      <c r="O441" s="76"/>
      <c r="P441" s="77"/>
      <c r="Q441" s="77"/>
      <c r="R441" s="89"/>
      <c r="S441" s="49">
        <v>0</v>
      </c>
      <c r="T441" s="49">
        <v>1</v>
      </c>
      <c r="U441" s="50">
        <v>0</v>
      </c>
      <c r="V441" s="50">
        <v>0.001984</v>
      </c>
      <c r="W441" s="50">
        <v>0.000785</v>
      </c>
      <c r="X441" s="50">
        <v>0.565141</v>
      </c>
      <c r="Y441" s="50">
        <v>0</v>
      </c>
      <c r="Z441" s="50">
        <v>0</v>
      </c>
      <c r="AA441" s="72">
        <v>441</v>
      </c>
      <c r="AB441" s="72"/>
      <c r="AC441" s="73"/>
      <c r="AD441" s="80" t="s">
        <v>1998</v>
      </c>
      <c r="AE441" s="80" t="s">
        <v>2559</v>
      </c>
      <c r="AF441" s="80"/>
      <c r="AG441" s="80"/>
      <c r="AH441" s="80"/>
      <c r="AI441" s="80"/>
      <c r="AJ441" s="87">
        <v>43401.727106481485</v>
      </c>
      <c r="AK441" s="85" t="str">
        <f>HYPERLINK("https://yt3.ggpht.com/ytc/AAUvwni1H2pMQevt1i2aiwHrjolFjgS8O-PMEjSpxmtMwQ=s88-c-k-c0x00ffffff-no-rj")</f>
        <v>https://yt3.ggpht.com/ytc/AAUvwni1H2pMQevt1i2aiwHrjolFjgS8O-PMEjSpxmtMwQ=s88-c-k-c0x00ffffff-no-rj</v>
      </c>
      <c r="AL441" s="80">
        <v>0</v>
      </c>
      <c r="AM441" s="80">
        <v>0</v>
      </c>
      <c r="AN441" s="80">
        <v>2</v>
      </c>
      <c r="AO441" s="80" t="b">
        <v>0</v>
      </c>
      <c r="AP441" s="80">
        <v>0</v>
      </c>
      <c r="AQ441" s="80"/>
      <c r="AR441" s="80"/>
      <c r="AS441" s="80" t="s">
        <v>2664</v>
      </c>
      <c r="AT441" s="85" t="str">
        <f>HYPERLINK("https://www.youtube.com/channel/UCp9NDK19lWNs_VDxclnH6Bg")</f>
        <v>https://www.youtube.com/channel/UCp9NDK19lWNs_VDxclnH6Bg</v>
      </c>
      <c r="AU441" s="80" t="str">
        <f>REPLACE(INDEX(GroupVertices[Group],MATCH(Vertices[[#This Row],[Vertex]],GroupVertices[Vertex],0)),1,1,"")</f>
        <v>18</v>
      </c>
      <c r="AV441" s="49">
        <v>0</v>
      </c>
      <c r="AW441" s="50">
        <v>0</v>
      </c>
      <c r="AX441" s="49">
        <v>0</v>
      </c>
      <c r="AY441" s="50">
        <v>0</v>
      </c>
      <c r="AZ441" s="49">
        <v>0</v>
      </c>
      <c r="BA441" s="50">
        <v>0</v>
      </c>
      <c r="BB441" s="49">
        <v>6</v>
      </c>
      <c r="BC441" s="50">
        <v>100</v>
      </c>
      <c r="BD441" s="49">
        <v>6</v>
      </c>
      <c r="BE441" s="49"/>
      <c r="BF441" s="49"/>
      <c r="BG441" s="49"/>
      <c r="BH441" s="49"/>
      <c r="BI441" s="49"/>
      <c r="BJ441" s="49"/>
      <c r="BK441" s="111" t="s">
        <v>4003</v>
      </c>
      <c r="BL441" s="111" t="s">
        <v>4003</v>
      </c>
      <c r="BM441" s="111" t="s">
        <v>4467</v>
      </c>
      <c r="BN441" s="111" t="s">
        <v>4467</v>
      </c>
      <c r="BO441" s="2"/>
      <c r="BP441" s="3"/>
      <c r="BQ441" s="3"/>
      <c r="BR441" s="3"/>
      <c r="BS441" s="3"/>
    </row>
    <row r="442" spans="1:71" ht="15">
      <c r="A442" s="65" t="s">
        <v>640</v>
      </c>
      <c r="B442" s="66"/>
      <c r="C442" s="66"/>
      <c r="D442" s="67">
        <v>150</v>
      </c>
      <c r="E442" s="69"/>
      <c r="F442" s="103" t="str">
        <f>HYPERLINK("https://yt3.ggpht.com/ytc/AAUvwnj8KUFoIkMPsuZ6IcHrLaUfeqcNCk7-AToE8Xpn=s88-c-k-c0x00ffffff-no-rj")</f>
        <v>https://yt3.ggpht.com/ytc/AAUvwnj8KUFoIkMPsuZ6IcHrLaUfeqcNCk7-AToE8Xpn=s88-c-k-c0x00ffffff-no-rj</v>
      </c>
      <c r="G442" s="66"/>
      <c r="H442" s="70" t="s">
        <v>1999</v>
      </c>
      <c r="I442" s="71"/>
      <c r="J442" s="71" t="s">
        <v>159</v>
      </c>
      <c r="K442" s="70" t="s">
        <v>1999</v>
      </c>
      <c r="L442" s="74">
        <v>1</v>
      </c>
      <c r="M442" s="75">
        <v>8735.8564453125</v>
      </c>
      <c r="N442" s="75">
        <v>343.17376708984375</v>
      </c>
      <c r="O442" s="76"/>
      <c r="P442" s="77"/>
      <c r="Q442" s="77"/>
      <c r="R442" s="89"/>
      <c r="S442" s="49">
        <v>0</v>
      </c>
      <c r="T442" s="49">
        <v>1</v>
      </c>
      <c r="U442" s="50">
        <v>0</v>
      </c>
      <c r="V442" s="50">
        <v>0.001984</v>
      </c>
      <c r="W442" s="50">
        <v>0.000785</v>
      </c>
      <c r="X442" s="50">
        <v>0.565141</v>
      </c>
      <c r="Y442" s="50">
        <v>0</v>
      </c>
      <c r="Z442" s="50">
        <v>0</v>
      </c>
      <c r="AA442" s="72">
        <v>442</v>
      </c>
      <c r="AB442" s="72"/>
      <c r="AC442" s="73"/>
      <c r="AD442" s="80" t="s">
        <v>1999</v>
      </c>
      <c r="AE442" s="80" t="s">
        <v>2560</v>
      </c>
      <c r="AF442" s="80"/>
      <c r="AG442" s="80"/>
      <c r="AH442" s="80"/>
      <c r="AI442" s="80"/>
      <c r="AJ442" s="87">
        <v>43677.40887731482</v>
      </c>
      <c r="AK442" s="85" t="str">
        <f>HYPERLINK("https://yt3.ggpht.com/ytc/AAUvwnj8KUFoIkMPsuZ6IcHrLaUfeqcNCk7-AToE8Xpn=s88-c-k-c0x00ffffff-no-rj")</f>
        <v>https://yt3.ggpht.com/ytc/AAUvwnj8KUFoIkMPsuZ6IcHrLaUfeqcNCk7-AToE8Xpn=s88-c-k-c0x00ffffff-no-rj</v>
      </c>
      <c r="AL442" s="80">
        <v>0</v>
      </c>
      <c r="AM442" s="80">
        <v>0</v>
      </c>
      <c r="AN442" s="80">
        <v>2</v>
      </c>
      <c r="AO442" s="80" t="b">
        <v>0</v>
      </c>
      <c r="AP442" s="80">
        <v>0</v>
      </c>
      <c r="AQ442" s="80"/>
      <c r="AR442" s="80"/>
      <c r="AS442" s="80" t="s">
        <v>2664</v>
      </c>
      <c r="AT442" s="85" t="str">
        <f>HYPERLINK("https://www.youtube.com/channel/UCeaFuHORWFXIM18TEF7sZKA")</f>
        <v>https://www.youtube.com/channel/UCeaFuHORWFXIM18TEF7sZKA</v>
      </c>
      <c r="AU442" s="80" t="str">
        <f>REPLACE(INDEX(GroupVertices[Group],MATCH(Vertices[[#This Row],[Vertex]],GroupVertices[Vertex],0)),1,1,"")</f>
        <v>18</v>
      </c>
      <c r="AV442" s="49">
        <v>1</v>
      </c>
      <c r="AW442" s="50">
        <v>25</v>
      </c>
      <c r="AX442" s="49">
        <v>0</v>
      </c>
      <c r="AY442" s="50">
        <v>0</v>
      </c>
      <c r="AZ442" s="49">
        <v>0</v>
      </c>
      <c r="BA442" s="50">
        <v>0</v>
      </c>
      <c r="BB442" s="49">
        <v>3</v>
      </c>
      <c r="BC442" s="50">
        <v>75</v>
      </c>
      <c r="BD442" s="49">
        <v>4</v>
      </c>
      <c r="BE442" s="49"/>
      <c r="BF442" s="49"/>
      <c r="BG442" s="49"/>
      <c r="BH442" s="49"/>
      <c r="BI442" s="49"/>
      <c r="BJ442" s="49"/>
      <c r="BK442" s="111" t="s">
        <v>4004</v>
      </c>
      <c r="BL442" s="111" t="s">
        <v>4004</v>
      </c>
      <c r="BM442" s="111" t="s">
        <v>4468</v>
      </c>
      <c r="BN442" s="111" t="s">
        <v>4468</v>
      </c>
      <c r="BO442" s="2"/>
      <c r="BP442" s="3"/>
      <c r="BQ442" s="3"/>
      <c r="BR442" s="3"/>
      <c r="BS442" s="3"/>
    </row>
    <row r="443" spans="1:71" ht="15">
      <c r="A443" s="65" t="s">
        <v>642</v>
      </c>
      <c r="B443" s="66"/>
      <c r="C443" s="66"/>
      <c r="D443" s="67">
        <v>150</v>
      </c>
      <c r="E443" s="69"/>
      <c r="F443" s="103" t="str">
        <f>HYPERLINK("https://yt3.ggpht.com/ytc/AAUvwni0qBovYLql0niEAAKiD9sjchhKG82lEaIe2sR1kg=s88-c-k-c0x00ffffff-no-rj")</f>
        <v>https://yt3.ggpht.com/ytc/AAUvwni0qBovYLql0niEAAKiD9sjchhKG82lEaIe2sR1kg=s88-c-k-c0x00ffffff-no-rj</v>
      </c>
      <c r="G443" s="66"/>
      <c r="H443" s="70" t="s">
        <v>2001</v>
      </c>
      <c r="I443" s="71"/>
      <c r="J443" s="71" t="s">
        <v>159</v>
      </c>
      <c r="K443" s="70" t="s">
        <v>2001</v>
      </c>
      <c r="L443" s="74">
        <v>1</v>
      </c>
      <c r="M443" s="75">
        <v>2080.464599609375</v>
      </c>
      <c r="N443" s="75">
        <v>8323.5576171875</v>
      </c>
      <c r="O443" s="76"/>
      <c r="P443" s="77"/>
      <c r="Q443" s="77"/>
      <c r="R443" s="89"/>
      <c r="S443" s="49">
        <v>0</v>
      </c>
      <c r="T443" s="49">
        <v>1</v>
      </c>
      <c r="U443" s="50">
        <v>0</v>
      </c>
      <c r="V443" s="50">
        <v>0.002801</v>
      </c>
      <c r="W443" s="50">
        <v>0.008244</v>
      </c>
      <c r="X443" s="50">
        <v>0.512495</v>
      </c>
      <c r="Y443" s="50">
        <v>0</v>
      </c>
      <c r="Z443" s="50">
        <v>0</v>
      </c>
      <c r="AA443" s="72">
        <v>443</v>
      </c>
      <c r="AB443" s="72"/>
      <c r="AC443" s="73"/>
      <c r="AD443" s="80" t="s">
        <v>2001</v>
      </c>
      <c r="AE443" s="80"/>
      <c r="AF443" s="80"/>
      <c r="AG443" s="80"/>
      <c r="AH443" s="80"/>
      <c r="AI443" s="80"/>
      <c r="AJ443" s="87">
        <v>41922.893275462964</v>
      </c>
      <c r="AK443" s="85" t="str">
        <f>HYPERLINK("https://yt3.ggpht.com/ytc/AAUvwni0qBovYLql0niEAAKiD9sjchhKG82lEaIe2sR1kg=s88-c-k-c0x00ffffff-no-rj")</f>
        <v>https://yt3.ggpht.com/ytc/AAUvwni0qBovYLql0niEAAKiD9sjchhKG82lEaIe2sR1kg=s88-c-k-c0x00ffffff-no-rj</v>
      </c>
      <c r="AL443" s="80">
        <v>0</v>
      </c>
      <c r="AM443" s="80">
        <v>0</v>
      </c>
      <c r="AN443" s="80">
        <v>34</v>
      </c>
      <c r="AO443" s="80" t="b">
        <v>0</v>
      </c>
      <c r="AP443" s="80">
        <v>0</v>
      </c>
      <c r="AQ443" s="80"/>
      <c r="AR443" s="80"/>
      <c r="AS443" s="80" t="s">
        <v>2664</v>
      </c>
      <c r="AT443" s="85" t="str">
        <f>HYPERLINK("https://www.youtube.com/channel/UCWsgRwPyheJrA0I7r78zcJw")</f>
        <v>https://www.youtube.com/channel/UCWsgRwPyheJrA0I7r78zcJw</v>
      </c>
      <c r="AU443" s="80" t="str">
        <f>REPLACE(INDEX(GroupVertices[Group],MATCH(Vertices[[#This Row],[Vertex]],GroupVertices[Vertex],0)),1,1,"")</f>
        <v>1</v>
      </c>
      <c r="AV443" s="49">
        <v>0</v>
      </c>
      <c r="AW443" s="50">
        <v>0</v>
      </c>
      <c r="AX443" s="49">
        <v>0</v>
      </c>
      <c r="AY443" s="50">
        <v>0</v>
      </c>
      <c r="AZ443" s="49">
        <v>0</v>
      </c>
      <c r="BA443" s="50">
        <v>0</v>
      </c>
      <c r="BB443" s="49">
        <v>4</v>
      </c>
      <c r="BC443" s="50">
        <v>100</v>
      </c>
      <c r="BD443" s="49">
        <v>4</v>
      </c>
      <c r="BE443" s="49"/>
      <c r="BF443" s="49"/>
      <c r="BG443" s="49"/>
      <c r="BH443" s="49"/>
      <c r="BI443" s="49"/>
      <c r="BJ443" s="49"/>
      <c r="BK443" s="111" t="s">
        <v>4005</v>
      </c>
      <c r="BL443" s="111" t="s">
        <v>4005</v>
      </c>
      <c r="BM443" s="111" t="s">
        <v>4469</v>
      </c>
      <c r="BN443" s="111" t="s">
        <v>4469</v>
      </c>
      <c r="BO443" s="2"/>
      <c r="BP443" s="3"/>
      <c r="BQ443" s="3"/>
      <c r="BR443" s="3"/>
      <c r="BS443" s="3"/>
    </row>
    <row r="444" spans="1:71" ht="15">
      <c r="A444" s="65" t="s">
        <v>643</v>
      </c>
      <c r="B444" s="66"/>
      <c r="C444" s="66"/>
      <c r="D444" s="67">
        <v>150</v>
      </c>
      <c r="E444" s="69"/>
      <c r="F444" s="103" t="str">
        <f>HYPERLINK("https://yt3.ggpht.com/ytc/AAUvwnhvqVgdWeqrLT89Ws-6si-23X3GbGDbBmkoPQ=s88-c-k-c0x00ffffff-no-rj")</f>
        <v>https://yt3.ggpht.com/ytc/AAUvwnhvqVgdWeqrLT89Ws-6si-23X3GbGDbBmkoPQ=s88-c-k-c0x00ffffff-no-rj</v>
      </c>
      <c r="G444" s="66"/>
      <c r="H444" s="70" t="s">
        <v>2002</v>
      </c>
      <c r="I444" s="71"/>
      <c r="J444" s="71" t="s">
        <v>159</v>
      </c>
      <c r="K444" s="70" t="s">
        <v>2002</v>
      </c>
      <c r="L444" s="74">
        <v>1</v>
      </c>
      <c r="M444" s="75">
        <v>978.7760009765625</v>
      </c>
      <c r="N444" s="75">
        <v>9534.1904296875</v>
      </c>
      <c r="O444" s="76"/>
      <c r="P444" s="77"/>
      <c r="Q444" s="77"/>
      <c r="R444" s="89"/>
      <c r="S444" s="49">
        <v>0</v>
      </c>
      <c r="T444" s="49">
        <v>1</v>
      </c>
      <c r="U444" s="50">
        <v>0</v>
      </c>
      <c r="V444" s="50">
        <v>0.001976</v>
      </c>
      <c r="W444" s="50">
        <v>0.000779</v>
      </c>
      <c r="X444" s="50">
        <v>0.569531</v>
      </c>
      <c r="Y444" s="50">
        <v>0</v>
      </c>
      <c r="Z444" s="50">
        <v>0</v>
      </c>
      <c r="AA444" s="72">
        <v>444</v>
      </c>
      <c r="AB444" s="72"/>
      <c r="AC444" s="73"/>
      <c r="AD444" s="80" t="s">
        <v>2002</v>
      </c>
      <c r="AE444" s="80" t="s">
        <v>2561</v>
      </c>
      <c r="AF444" s="80"/>
      <c r="AG444" s="80"/>
      <c r="AH444" s="80"/>
      <c r="AI444" s="80"/>
      <c r="AJ444" s="87">
        <v>43484.76106481482</v>
      </c>
      <c r="AK444" s="85" t="str">
        <f>HYPERLINK("https://yt3.ggpht.com/ytc/AAUvwnhvqVgdWeqrLT89Ws-6si-23X3GbGDbBmkoPQ=s88-c-k-c0x00ffffff-no-rj")</f>
        <v>https://yt3.ggpht.com/ytc/AAUvwnhvqVgdWeqrLT89Ws-6si-23X3GbGDbBmkoPQ=s88-c-k-c0x00ffffff-no-rj</v>
      </c>
      <c r="AL444" s="80">
        <v>0</v>
      </c>
      <c r="AM444" s="80">
        <v>0</v>
      </c>
      <c r="AN444" s="80">
        <v>1</v>
      </c>
      <c r="AO444" s="80" t="b">
        <v>0</v>
      </c>
      <c r="AP444" s="80">
        <v>0</v>
      </c>
      <c r="AQ444" s="80"/>
      <c r="AR444" s="80"/>
      <c r="AS444" s="80" t="s">
        <v>2664</v>
      </c>
      <c r="AT444" s="85" t="str">
        <f>HYPERLINK("https://www.youtube.com/channel/UCHD8xkFhaVaTqgpwoX7Luyg")</f>
        <v>https://www.youtube.com/channel/UCHD8xkFhaVaTqgpwoX7Luyg</v>
      </c>
      <c r="AU444" s="80" t="str">
        <f>REPLACE(INDEX(GroupVertices[Group],MATCH(Vertices[[#This Row],[Vertex]],GroupVertices[Vertex],0)),1,1,"")</f>
        <v>1</v>
      </c>
      <c r="AV444" s="49">
        <v>0</v>
      </c>
      <c r="AW444" s="50">
        <v>0</v>
      </c>
      <c r="AX444" s="49">
        <v>0</v>
      </c>
      <c r="AY444" s="50">
        <v>0</v>
      </c>
      <c r="AZ444" s="49">
        <v>0</v>
      </c>
      <c r="BA444" s="50">
        <v>0</v>
      </c>
      <c r="BB444" s="49">
        <v>4</v>
      </c>
      <c r="BC444" s="50">
        <v>100</v>
      </c>
      <c r="BD444" s="49">
        <v>4</v>
      </c>
      <c r="BE444" s="49"/>
      <c r="BF444" s="49"/>
      <c r="BG444" s="49"/>
      <c r="BH444" s="49"/>
      <c r="BI444" s="49"/>
      <c r="BJ444" s="49"/>
      <c r="BK444" s="111" t="s">
        <v>2390</v>
      </c>
      <c r="BL444" s="111" t="s">
        <v>2390</v>
      </c>
      <c r="BM444" s="111" t="s">
        <v>2390</v>
      </c>
      <c r="BN444" s="111" t="s">
        <v>2390</v>
      </c>
      <c r="BO444" s="2"/>
      <c r="BP444" s="3"/>
      <c r="BQ444" s="3"/>
      <c r="BR444" s="3"/>
      <c r="BS444" s="3"/>
    </row>
    <row r="445" spans="1:71" ht="15">
      <c r="A445" s="65" t="s">
        <v>645</v>
      </c>
      <c r="B445" s="66"/>
      <c r="C445" s="66"/>
      <c r="D445" s="67">
        <v>433.3333333333333</v>
      </c>
      <c r="E445" s="69"/>
      <c r="F445" s="103" t="str">
        <f>HYPERLINK("https://yt3.ggpht.com/ytc/AAUvwnhuOetSwLHrbUj7xufSfnNpLQnfkGwi213FFA=s88-c-k-c0x00ffffff-no-rj")</f>
        <v>https://yt3.ggpht.com/ytc/AAUvwnhuOetSwLHrbUj7xufSfnNpLQnfkGwi213FFA=s88-c-k-c0x00ffffff-no-rj</v>
      </c>
      <c r="G445" s="66"/>
      <c r="H445" s="70" t="s">
        <v>2004</v>
      </c>
      <c r="I445" s="71"/>
      <c r="J445" s="71" t="s">
        <v>75</v>
      </c>
      <c r="K445" s="70" t="s">
        <v>2004</v>
      </c>
      <c r="L445" s="74">
        <v>191.43809523809523</v>
      </c>
      <c r="M445" s="75">
        <v>1207.382568359375</v>
      </c>
      <c r="N445" s="75">
        <v>8266.45703125</v>
      </c>
      <c r="O445" s="76"/>
      <c r="P445" s="77"/>
      <c r="Q445" s="77"/>
      <c r="R445" s="89"/>
      <c r="S445" s="49">
        <v>2</v>
      </c>
      <c r="T445" s="49">
        <v>1</v>
      </c>
      <c r="U445" s="50">
        <v>610</v>
      </c>
      <c r="V445" s="50">
        <v>0.002833</v>
      </c>
      <c r="W445" s="50">
        <v>0.008388</v>
      </c>
      <c r="X445" s="50">
        <v>1.480697</v>
      </c>
      <c r="Y445" s="50">
        <v>0</v>
      </c>
      <c r="Z445" s="50">
        <v>0</v>
      </c>
      <c r="AA445" s="72">
        <v>445</v>
      </c>
      <c r="AB445" s="72"/>
      <c r="AC445" s="73"/>
      <c r="AD445" s="80" t="s">
        <v>2004</v>
      </c>
      <c r="AE445" s="80"/>
      <c r="AF445" s="80"/>
      <c r="AG445" s="80"/>
      <c r="AH445" s="80"/>
      <c r="AI445" s="80"/>
      <c r="AJ445" s="87">
        <v>41414.899363425924</v>
      </c>
      <c r="AK445" s="85" t="str">
        <f>HYPERLINK("https://yt3.ggpht.com/ytc/AAUvwnhuOetSwLHrbUj7xufSfnNpLQnfkGwi213FFA=s88-c-k-c0x00ffffff-no-rj")</f>
        <v>https://yt3.ggpht.com/ytc/AAUvwnhuOetSwLHrbUj7xufSfnNpLQnfkGwi213FFA=s88-c-k-c0x00ffffff-no-rj</v>
      </c>
      <c r="AL445" s="80">
        <v>0</v>
      </c>
      <c r="AM445" s="80">
        <v>0</v>
      </c>
      <c r="AN445" s="80">
        <v>0</v>
      </c>
      <c r="AO445" s="80" t="b">
        <v>0</v>
      </c>
      <c r="AP445" s="80">
        <v>0</v>
      </c>
      <c r="AQ445" s="80"/>
      <c r="AR445" s="80"/>
      <c r="AS445" s="80" t="s">
        <v>2664</v>
      </c>
      <c r="AT445" s="85" t="str">
        <f>HYPERLINK("https://www.youtube.com/channel/UCMKzekcw_tX5Ne1WY4btIaw")</f>
        <v>https://www.youtube.com/channel/UCMKzekcw_tX5Ne1WY4btIaw</v>
      </c>
      <c r="AU445" s="80" t="str">
        <f>REPLACE(INDEX(GroupVertices[Group],MATCH(Vertices[[#This Row],[Vertex]],GroupVertices[Vertex],0)),1,1,"")</f>
        <v>1</v>
      </c>
      <c r="AV445" s="49">
        <v>1</v>
      </c>
      <c r="AW445" s="50">
        <v>5.555555555555555</v>
      </c>
      <c r="AX445" s="49">
        <v>0</v>
      </c>
      <c r="AY445" s="50">
        <v>0</v>
      </c>
      <c r="AZ445" s="49">
        <v>0</v>
      </c>
      <c r="BA445" s="50">
        <v>0</v>
      </c>
      <c r="BB445" s="49">
        <v>17</v>
      </c>
      <c r="BC445" s="50">
        <v>94.44444444444444</v>
      </c>
      <c r="BD445" s="49">
        <v>18</v>
      </c>
      <c r="BE445" s="49"/>
      <c r="BF445" s="49"/>
      <c r="BG445" s="49"/>
      <c r="BH445" s="49"/>
      <c r="BI445" s="49"/>
      <c r="BJ445" s="49"/>
      <c r="BK445" s="111" t="s">
        <v>4006</v>
      </c>
      <c r="BL445" s="111" t="s">
        <v>4006</v>
      </c>
      <c r="BM445" s="111" t="s">
        <v>4470</v>
      </c>
      <c r="BN445" s="111" t="s">
        <v>4470</v>
      </c>
      <c r="BO445" s="2"/>
      <c r="BP445" s="3"/>
      <c r="BQ445" s="3"/>
      <c r="BR445" s="3"/>
      <c r="BS445" s="3"/>
    </row>
    <row r="446" spans="1:71" ht="15">
      <c r="A446" s="65" t="s">
        <v>644</v>
      </c>
      <c r="B446" s="66"/>
      <c r="C446" s="66"/>
      <c r="D446" s="67">
        <v>150</v>
      </c>
      <c r="E446" s="69"/>
      <c r="F446" s="103" t="str">
        <f>HYPERLINK("https://yt3.ggpht.com/ytc/AAUvwnhKqbKaEWxStJ53f2sr8etYpQxZvEDBHKFnb1Ev2Q=s88-c-k-c0x00ffffff-no-rj")</f>
        <v>https://yt3.ggpht.com/ytc/AAUvwnhKqbKaEWxStJ53f2sr8etYpQxZvEDBHKFnb1Ev2Q=s88-c-k-c0x00ffffff-no-rj</v>
      </c>
      <c r="G446" s="66"/>
      <c r="H446" s="70" t="s">
        <v>2003</v>
      </c>
      <c r="I446" s="71"/>
      <c r="J446" s="71" t="s">
        <v>159</v>
      </c>
      <c r="K446" s="70" t="s">
        <v>2003</v>
      </c>
      <c r="L446" s="74">
        <v>1</v>
      </c>
      <c r="M446" s="75">
        <v>496.3343811035156</v>
      </c>
      <c r="N446" s="75">
        <v>8873.802734375</v>
      </c>
      <c r="O446" s="76"/>
      <c r="P446" s="77"/>
      <c r="Q446" s="77"/>
      <c r="R446" s="89"/>
      <c r="S446" s="49">
        <v>0</v>
      </c>
      <c r="T446" s="49">
        <v>1</v>
      </c>
      <c r="U446" s="50">
        <v>0</v>
      </c>
      <c r="V446" s="50">
        <v>0.001976</v>
      </c>
      <c r="W446" s="50">
        <v>0.000779</v>
      </c>
      <c r="X446" s="50">
        <v>0.569531</v>
      </c>
      <c r="Y446" s="50">
        <v>0</v>
      </c>
      <c r="Z446" s="50">
        <v>0</v>
      </c>
      <c r="AA446" s="72">
        <v>446</v>
      </c>
      <c r="AB446" s="72"/>
      <c r="AC446" s="73"/>
      <c r="AD446" s="80" t="s">
        <v>2003</v>
      </c>
      <c r="AE446" s="80"/>
      <c r="AF446" s="80"/>
      <c r="AG446" s="80"/>
      <c r="AH446" s="80"/>
      <c r="AI446" s="80"/>
      <c r="AJ446" s="87">
        <v>43884.89179398148</v>
      </c>
      <c r="AK446" s="85" t="str">
        <f>HYPERLINK("https://yt3.ggpht.com/ytc/AAUvwnhKqbKaEWxStJ53f2sr8etYpQxZvEDBHKFnb1Ev2Q=s88-c-k-c0x00ffffff-no-rj")</f>
        <v>https://yt3.ggpht.com/ytc/AAUvwnhKqbKaEWxStJ53f2sr8etYpQxZvEDBHKFnb1Ev2Q=s88-c-k-c0x00ffffff-no-rj</v>
      </c>
      <c r="AL446" s="80">
        <v>0</v>
      </c>
      <c r="AM446" s="80">
        <v>0</v>
      </c>
      <c r="AN446" s="80">
        <v>11</v>
      </c>
      <c r="AO446" s="80" t="b">
        <v>0</v>
      </c>
      <c r="AP446" s="80">
        <v>0</v>
      </c>
      <c r="AQ446" s="80"/>
      <c r="AR446" s="80"/>
      <c r="AS446" s="80" t="s">
        <v>2664</v>
      </c>
      <c r="AT446" s="85" t="str">
        <f>HYPERLINK("https://www.youtube.com/channel/UCTXz4iyQyRwhY_dIYOXsqTQ")</f>
        <v>https://www.youtube.com/channel/UCTXz4iyQyRwhY_dIYOXsqTQ</v>
      </c>
      <c r="AU446" s="80" t="str">
        <f>REPLACE(INDEX(GroupVertices[Group],MATCH(Vertices[[#This Row],[Vertex]],GroupVertices[Vertex],0)),1,1,"")</f>
        <v>1</v>
      </c>
      <c r="AV446" s="49">
        <v>2</v>
      </c>
      <c r="AW446" s="50">
        <v>33.333333333333336</v>
      </c>
      <c r="AX446" s="49">
        <v>0</v>
      </c>
      <c r="AY446" s="50">
        <v>0</v>
      </c>
      <c r="AZ446" s="49">
        <v>0</v>
      </c>
      <c r="BA446" s="50">
        <v>0</v>
      </c>
      <c r="BB446" s="49">
        <v>4</v>
      </c>
      <c r="BC446" s="50">
        <v>66.66666666666667</v>
      </c>
      <c r="BD446" s="49">
        <v>6</v>
      </c>
      <c r="BE446" s="49"/>
      <c r="BF446" s="49"/>
      <c r="BG446" s="49"/>
      <c r="BH446" s="49"/>
      <c r="BI446" s="49"/>
      <c r="BJ446" s="49"/>
      <c r="BK446" s="111" t="s">
        <v>4007</v>
      </c>
      <c r="BL446" s="111" t="s">
        <v>4007</v>
      </c>
      <c r="BM446" s="111" t="s">
        <v>3551</v>
      </c>
      <c r="BN446" s="111" t="s">
        <v>3551</v>
      </c>
      <c r="BO446" s="2"/>
      <c r="BP446" s="3"/>
      <c r="BQ446" s="3"/>
      <c r="BR446" s="3"/>
      <c r="BS446" s="3"/>
    </row>
    <row r="447" spans="1:71" ht="15">
      <c r="A447" s="65" t="s">
        <v>646</v>
      </c>
      <c r="B447" s="66"/>
      <c r="C447" s="66"/>
      <c r="D447" s="67">
        <v>150</v>
      </c>
      <c r="E447" s="69"/>
      <c r="F447" s="103" t="str">
        <f>HYPERLINK("https://yt3.ggpht.com/ytc/AAUvwngPCLJCYZUBQD7DRTRKUCc4kVKTsdfPo5rMeXZNQA=s88-c-k-c0x00ffffff-no-rj")</f>
        <v>https://yt3.ggpht.com/ytc/AAUvwngPCLJCYZUBQD7DRTRKUCc4kVKTsdfPo5rMeXZNQA=s88-c-k-c0x00ffffff-no-rj</v>
      </c>
      <c r="G447" s="66"/>
      <c r="H447" s="70" t="s">
        <v>2005</v>
      </c>
      <c r="I447" s="71"/>
      <c r="J447" s="71" t="s">
        <v>159</v>
      </c>
      <c r="K447" s="70" t="s">
        <v>2005</v>
      </c>
      <c r="L447" s="74">
        <v>1</v>
      </c>
      <c r="M447" s="75">
        <v>2064.8330078125</v>
      </c>
      <c r="N447" s="75">
        <v>7582.28125</v>
      </c>
      <c r="O447" s="76"/>
      <c r="P447" s="77"/>
      <c r="Q447" s="77"/>
      <c r="R447" s="89"/>
      <c r="S447" s="49">
        <v>0</v>
      </c>
      <c r="T447" s="49">
        <v>1</v>
      </c>
      <c r="U447" s="50">
        <v>0</v>
      </c>
      <c r="V447" s="50">
        <v>0.002801</v>
      </c>
      <c r="W447" s="50">
        <v>0.008244</v>
      </c>
      <c r="X447" s="50">
        <v>0.512495</v>
      </c>
      <c r="Y447" s="50">
        <v>0</v>
      </c>
      <c r="Z447" s="50">
        <v>0</v>
      </c>
      <c r="AA447" s="72">
        <v>447</v>
      </c>
      <c r="AB447" s="72"/>
      <c r="AC447" s="73"/>
      <c r="AD447" s="80" t="s">
        <v>2005</v>
      </c>
      <c r="AE447" s="80" t="s">
        <v>2562</v>
      </c>
      <c r="AF447" s="80"/>
      <c r="AG447" s="80"/>
      <c r="AH447" s="80"/>
      <c r="AI447" s="80"/>
      <c r="AJ447" s="87">
        <v>43518.586331018516</v>
      </c>
      <c r="AK447" s="85" t="str">
        <f>HYPERLINK("https://yt3.ggpht.com/ytc/AAUvwngPCLJCYZUBQD7DRTRKUCc4kVKTsdfPo5rMeXZNQA=s88-c-k-c0x00ffffff-no-rj")</f>
        <v>https://yt3.ggpht.com/ytc/AAUvwngPCLJCYZUBQD7DRTRKUCc4kVKTsdfPo5rMeXZNQA=s88-c-k-c0x00ffffff-no-rj</v>
      </c>
      <c r="AL447" s="80">
        <v>0</v>
      </c>
      <c r="AM447" s="80">
        <v>0</v>
      </c>
      <c r="AN447" s="80">
        <v>0</v>
      </c>
      <c r="AO447" s="80" t="b">
        <v>0</v>
      </c>
      <c r="AP447" s="80">
        <v>0</v>
      </c>
      <c r="AQ447" s="80"/>
      <c r="AR447" s="80"/>
      <c r="AS447" s="80" t="s">
        <v>2664</v>
      </c>
      <c r="AT447" s="85" t="str">
        <f>HYPERLINK("https://www.youtube.com/channel/UCIw-SUOHuMMyUvWcWmDBPVA")</f>
        <v>https://www.youtube.com/channel/UCIw-SUOHuMMyUvWcWmDBPVA</v>
      </c>
      <c r="AU447" s="80" t="str">
        <f>REPLACE(INDEX(GroupVertices[Group],MATCH(Vertices[[#This Row],[Vertex]],GroupVertices[Vertex],0)),1,1,"")</f>
        <v>1</v>
      </c>
      <c r="AV447" s="49">
        <v>0</v>
      </c>
      <c r="AW447" s="50">
        <v>0</v>
      </c>
      <c r="AX447" s="49">
        <v>0</v>
      </c>
      <c r="AY447" s="50">
        <v>0</v>
      </c>
      <c r="AZ447" s="49">
        <v>0</v>
      </c>
      <c r="BA447" s="50">
        <v>0</v>
      </c>
      <c r="BB447" s="49">
        <v>7</v>
      </c>
      <c r="BC447" s="50">
        <v>100</v>
      </c>
      <c r="BD447" s="49">
        <v>7</v>
      </c>
      <c r="BE447" s="49"/>
      <c r="BF447" s="49"/>
      <c r="BG447" s="49"/>
      <c r="BH447" s="49"/>
      <c r="BI447" s="49"/>
      <c r="BJ447" s="49"/>
      <c r="BK447" s="111" t="s">
        <v>4008</v>
      </c>
      <c r="BL447" s="111" t="s">
        <v>4008</v>
      </c>
      <c r="BM447" s="111" t="s">
        <v>4471</v>
      </c>
      <c r="BN447" s="111" t="s">
        <v>4471</v>
      </c>
      <c r="BO447" s="2"/>
      <c r="BP447" s="3"/>
      <c r="BQ447" s="3"/>
      <c r="BR447" s="3"/>
      <c r="BS447" s="3"/>
    </row>
    <row r="448" spans="1:71" ht="15">
      <c r="A448" s="65" t="s">
        <v>647</v>
      </c>
      <c r="B448" s="66"/>
      <c r="C448" s="66"/>
      <c r="D448" s="67">
        <v>150</v>
      </c>
      <c r="E448" s="69"/>
      <c r="F448" s="103" t="str">
        <f>HYPERLINK("https://yt3.ggpht.com/ytc/AAUvwnhgAfzCjFKXmpmlh73wiaPsFMY1OpOWz9mK1tvoCw=s88-c-k-c0x00ffffff-no-rj")</f>
        <v>https://yt3.ggpht.com/ytc/AAUvwnhgAfzCjFKXmpmlh73wiaPsFMY1OpOWz9mK1tvoCw=s88-c-k-c0x00ffffff-no-rj</v>
      </c>
      <c r="G448" s="66"/>
      <c r="H448" s="70" t="s">
        <v>2006</v>
      </c>
      <c r="I448" s="71"/>
      <c r="J448" s="71" t="s">
        <v>159</v>
      </c>
      <c r="K448" s="70" t="s">
        <v>2006</v>
      </c>
      <c r="L448" s="74">
        <v>1</v>
      </c>
      <c r="M448" s="75">
        <v>239.8714599609375</v>
      </c>
      <c r="N448" s="75">
        <v>8181.03271484375</v>
      </c>
      <c r="O448" s="76"/>
      <c r="P448" s="77"/>
      <c r="Q448" s="77"/>
      <c r="R448" s="89"/>
      <c r="S448" s="49">
        <v>0</v>
      </c>
      <c r="T448" s="49">
        <v>1</v>
      </c>
      <c r="U448" s="50">
        <v>0</v>
      </c>
      <c r="V448" s="50">
        <v>0.001969</v>
      </c>
      <c r="W448" s="50">
        <v>0.000772</v>
      </c>
      <c r="X448" s="50">
        <v>0.575828</v>
      </c>
      <c r="Y448" s="50">
        <v>0</v>
      </c>
      <c r="Z448" s="50">
        <v>0</v>
      </c>
      <c r="AA448" s="72">
        <v>448</v>
      </c>
      <c r="AB448" s="72"/>
      <c r="AC448" s="73"/>
      <c r="AD448" s="80" t="s">
        <v>2006</v>
      </c>
      <c r="AE448" s="80"/>
      <c r="AF448" s="80"/>
      <c r="AG448" s="80"/>
      <c r="AH448" s="80"/>
      <c r="AI448" s="80"/>
      <c r="AJ448" s="87">
        <v>42628.68748842592</v>
      </c>
      <c r="AK448" s="85" t="str">
        <f>HYPERLINK("https://yt3.ggpht.com/ytc/AAUvwnhgAfzCjFKXmpmlh73wiaPsFMY1OpOWz9mK1tvoCw=s88-c-k-c0x00ffffff-no-rj")</f>
        <v>https://yt3.ggpht.com/ytc/AAUvwnhgAfzCjFKXmpmlh73wiaPsFMY1OpOWz9mK1tvoCw=s88-c-k-c0x00ffffff-no-rj</v>
      </c>
      <c r="AL448" s="80">
        <v>0</v>
      </c>
      <c r="AM448" s="80">
        <v>0</v>
      </c>
      <c r="AN448" s="80">
        <v>1</v>
      </c>
      <c r="AO448" s="80" t="b">
        <v>0</v>
      </c>
      <c r="AP448" s="80">
        <v>0</v>
      </c>
      <c r="AQ448" s="80"/>
      <c r="AR448" s="80"/>
      <c r="AS448" s="80" t="s">
        <v>2664</v>
      </c>
      <c r="AT448" s="85" t="str">
        <f>HYPERLINK("https://www.youtube.com/channel/UClO8NWqdXkP9gia74DBErJw")</f>
        <v>https://www.youtube.com/channel/UClO8NWqdXkP9gia74DBErJw</v>
      </c>
      <c r="AU448" s="80" t="str">
        <f>REPLACE(INDEX(GroupVertices[Group],MATCH(Vertices[[#This Row],[Vertex]],GroupVertices[Vertex],0)),1,1,"")</f>
        <v>1</v>
      </c>
      <c r="AV448" s="49">
        <v>0</v>
      </c>
      <c r="AW448" s="50">
        <v>0</v>
      </c>
      <c r="AX448" s="49">
        <v>0</v>
      </c>
      <c r="AY448" s="50">
        <v>0</v>
      </c>
      <c r="AZ448" s="49">
        <v>0</v>
      </c>
      <c r="BA448" s="50">
        <v>0</v>
      </c>
      <c r="BB448" s="49">
        <v>3</v>
      </c>
      <c r="BC448" s="50">
        <v>100</v>
      </c>
      <c r="BD448" s="49">
        <v>3</v>
      </c>
      <c r="BE448" s="49"/>
      <c r="BF448" s="49"/>
      <c r="BG448" s="49"/>
      <c r="BH448" s="49"/>
      <c r="BI448" s="49"/>
      <c r="BJ448" s="49"/>
      <c r="BK448" s="111" t="s">
        <v>2390</v>
      </c>
      <c r="BL448" s="111" t="s">
        <v>2390</v>
      </c>
      <c r="BM448" s="111" t="s">
        <v>2390</v>
      </c>
      <c r="BN448" s="111" t="s">
        <v>2390</v>
      </c>
      <c r="BO448" s="2"/>
      <c r="BP448" s="3"/>
      <c r="BQ448" s="3"/>
      <c r="BR448" s="3"/>
      <c r="BS448" s="3"/>
    </row>
    <row r="449" spans="1:71" ht="15">
      <c r="A449" s="65" t="s">
        <v>648</v>
      </c>
      <c r="B449" s="66"/>
      <c r="C449" s="66"/>
      <c r="D449" s="67">
        <v>291.66666666666663</v>
      </c>
      <c r="E449" s="69"/>
      <c r="F449" s="103" t="str">
        <f>HYPERLINK("https://yt3.ggpht.com/ytc/AAUvwngZcidvLXBvSuDuHKj29yHRx0Gp3ohZLnZW8Q=s88-c-k-c0x00ffffff-no-rj")</f>
        <v>https://yt3.ggpht.com/ytc/AAUvwngZcidvLXBvSuDuHKj29yHRx0Gp3ohZLnZW8Q=s88-c-k-c0x00ffffff-no-rj</v>
      </c>
      <c r="G449" s="66"/>
      <c r="H449" s="70" t="s">
        <v>2007</v>
      </c>
      <c r="I449" s="71"/>
      <c r="J449" s="71" t="s">
        <v>159</v>
      </c>
      <c r="K449" s="70" t="s">
        <v>2007</v>
      </c>
      <c r="L449" s="74">
        <v>96.21904761904761</v>
      </c>
      <c r="M449" s="75">
        <v>954.3223876953125</v>
      </c>
      <c r="N449" s="75">
        <v>7682.91064453125</v>
      </c>
      <c r="O449" s="76"/>
      <c r="P449" s="77"/>
      <c r="Q449" s="77"/>
      <c r="R449" s="89"/>
      <c r="S449" s="49">
        <v>1</v>
      </c>
      <c r="T449" s="49">
        <v>1</v>
      </c>
      <c r="U449" s="50">
        <v>306</v>
      </c>
      <c r="V449" s="50">
        <v>0.002817</v>
      </c>
      <c r="W449" s="50">
        <v>0.008315</v>
      </c>
      <c r="X449" s="50">
        <v>1.001948</v>
      </c>
      <c r="Y449" s="50">
        <v>0</v>
      </c>
      <c r="Z449" s="50">
        <v>0</v>
      </c>
      <c r="AA449" s="72">
        <v>449</v>
      </c>
      <c r="AB449" s="72"/>
      <c r="AC449" s="73"/>
      <c r="AD449" s="80" t="s">
        <v>2007</v>
      </c>
      <c r="AE449" s="80"/>
      <c r="AF449" s="80"/>
      <c r="AG449" s="80"/>
      <c r="AH449" s="80"/>
      <c r="AI449" s="80"/>
      <c r="AJ449" s="87">
        <v>41979.813055555554</v>
      </c>
      <c r="AK449" s="85" t="str">
        <f>HYPERLINK("https://yt3.ggpht.com/ytc/AAUvwngZcidvLXBvSuDuHKj29yHRx0Gp3ohZLnZW8Q=s88-c-k-c0x00ffffff-no-rj")</f>
        <v>https://yt3.ggpht.com/ytc/AAUvwngZcidvLXBvSuDuHKj29yHRx0Gp3ohZLnZW8Q=s88-c-k-c0x00ffffff-no-rj</v>
      </c>
      <c r="AL449" s="80">
        <v>0</v>
      </c>
      <c r="AM449" s="80">
        <v>0</v>
      </c>
      <c r="AN449" s="80">
        <v>1</v>
      </c>
      <c r="AO449" s="80" t="b">
        <v>0</v>
      </c>
      <c r="AP449" s="80">
        <v>0</v>
      </c>
      <c r="AQ449" s="80"/>
      <c r="AR449" s="80"/>
      <c r="AS449" s="80" t="s">
        <v>2664</v>
      </c>
      <c r="AT449" s="85" t="str">
        <f>HYPERLINK("https://www.youtube.com/channel/UCvrlwBjjKeorZbGPZuwQinw")</f>
        <v>https://www.youtube.com/channel/UCvrlwBjjKeorZbGPZuwQinw</v>
      </c>
      <c r="AU449" s="80" t="str">
        <f>REPLACE(INDEX(GroupVertices[Group],MATCH(Vertices[[#This Row],[Vertex]],GroupVertices[Vertex],0)),1,1,"")</f>
        <v>1</v>
      </c>
      <c r="AV449" s="49">
        <v>0</v>
      </c>
      <c r="AW449" s="50">
        <v>0</v>
      </c>
      <c r="AX449" s="49">
        <v>0</v>
      </c>
      <c r="AY449" s="50">
        <v>0</v>
      </c>
      <c r="AZ449" s="49">
        <v>0</v>
      </c>
      <c r="BA449" s="50">
        <v>0</v>
      </c>
      <c r="BB449" s="49">
        <v>5</v>
      </c>
      <c r="BC449" s="50">
        <v>100</v>
      </c>
      <c r="BD449" s="49">
        <v>5</v>
      </c>
      <c r="BE449" s="49"/>
      <c r="BF449" s="49"/>
      <c r="BG449" s="49"/>
      <c r="BH449" s="49"/>
      <c r="BI449" s="49"/>
      <c r="BJ449" s="49"/>
      <c r="BK449" s="111" t="s">
        <v>4009</v>
      </c>
      <c r="BL449" s="111" t="s">
        <v>4009</v>
      </c>
      <c r="BM449" s="111" t="s">
        <v>4472</v>
      </c>
      <c r="BN449" s="111" t="s">
        <v>4472</v>
      </c>
      <c r="BO449" s="2"/>
      <c r="BP449" s="3"/>
      <c r="BQ449" s="3"/>
      <c r="BR449" s="3"/>
      <c r="BS449" s="3"/>
    </row>
    <row r="450" spans="1:71" ht="15">
      <c r="A450" s="65" t="s">
        <v>649</v>
      </c>
      <c r="B450" s="66"/>
      <c r="C450" s="66"/>
      <c r="D450" s="67">
        <v>150</v>
      </c>
      <c r="E450" s="69"/>
      <c r="F450" s="103" t="str">
        <f>HYPERLINK("https://yt3.ggpht.com/ytc/AAUvwnjySDBy4GeUDeqXuepJLz9S93gQ2p4eo8INgZ1NaQ=s88-c-k-c0x00ffffff-no-rj")</f>
        <v>https://yt3.ggpht.com/ytc/AAUvwnjySDBy4GeUDeqXuepJLz9S93gQ2p4eo8INgZ1NaQ=s88-c-k-c0x00ffffff-no-rj</v>
      </c>
      <c r="G450" s="66"/>
      <c r="H450" s="70" t="s">
        <v>2008</v>
      </c>
      <c r="I450" s="71"/>
      <c r="J450" s="71" t="s">
        <v>159</v>
      </c>
      <c r="K450" s="70" t="s">
        <v>2008</v>
      </c>
      <c r="L450" s="74">
        <v>1</v>
      </c>
      <c r="M450" s="75">
        <v>2338.35302734375</v>
      </c>
      <c r="N450" s="75">
        <v>6406.46435546875</v>
      </c>
      <c r="O450" s="76"/>
      <c r="P450" s="77"/>
      <c r="Q450" s="77"/>
      <c r="R450" s="89"/>
      <c r="S450" s="49">
        <v>0</v>
      </c>
      <c r="T450" s="49">
        <v>1</v>
      </c>
      <c r="U450" s="50">
        <v>0</v>
      </c>
      <c r="V450" s="50">
        <v>0.002801</v>
      </c>
      <c r="W450" s="50">
        <v>0.008244</v>
      </c>
      <c r="X450" s="50">
        <v>0.512495</v>
      </c>
      <c r="Y450" s="50">
        <v>0</v>
      </c>
      <c r="Z450" s="50">
        <v>0</v>
      </c>
      <c r="AA450" s="72">
        <v>450</v>
      </c>
      <c r="AB450" s="72"/>
      <c r="AC450" s="73"/>
      <c r="AD450" s="80" t="s">
        <v>2008</v>
      </c>
      <c r="AE450" s="80" t="s">
        <v>2563</v>
      </c>
      <c r="AF450" s="80"/>
      <c r="AG450" s="80"/>
      <c r="AH450" s="80"/>
      <c r="AI450" s="80"/>
      <c r="AJ450" s="87">
        <v>42106.714270833334</v>
      </c>
      <c r="AK450" s="85" t="str">
        <f>HYPERLINK("https://yt3.ggpht.com/ytc/AAUvwnjySDBy4GeUDeqXuepJLz9S93gQ2p4eo8INgZ1NaQ=s88-c-k-c0x00ffffff-no-rj")</f>
        <v>https://yt3.ggpht.com/ytc/AAUvwnjySDBy4GeUDeqXuepJLz9S93gQ2p4eo8INgZ1NaQ=s88-c-k-c0x00ffffff-no-rj</v>
      </c>
      <c r="AL450" s="80">
        <v>0</v>
      </c>
      <c r="AM450" s="80">
        <v>0</v>
      </c>
      <c r="AN450" s="80">
        <v>185</v>
      </c>
      <c r="AO450" s="80" t="b">
        <v>0</v>
      </c>
      <c r="AP450" s="80">
        <v>0</v>
      </c>
      <c r="AQ450" s="80"/>
      <c r="AR450" s="80"/>
      <c r="AS450" s="80" t="s">
        <v>2664</v>
      </c>
      <c r="AT450" s="85" t="str">
        <f>HYPERLINK("https://www.youtube.com/channel/UCpt8FjNWOfMDjMIRumx8pgw")</f>
        <v>https://www.youtube.com/channel/UCpt8FjNWOfMDjMIRumx8pgw</v>
      </c>
      <c r="AU450" s="80" t="str">
        <f>REPLACE(INDEX(GroupVertices[Group],MATCH(Vertices[[#This Row],[Vertex]],GroupVertices[Vertex],0)),1,1,"")</f>
        <v>1</v>
      </c>
      <c r="AV450" s="49">
        <v>0</v>
      </c>
      <c r="AW450" s="50">
        <v>0</v>
      </c>
      <c r="AX450" s="49">
        <v>0</v>
      </c>
      <c r="AY450" s="50">
        <v>0</v>
      </c>
      <c r="AZ450" s="49">
        <v>0</v>
      </c>
      <c r="BA450" s="50">
        <v>0</v>
      </c>
      <c r="BB450" s="49">
        <v>7</v>
      </c>
      <c r="BC450" s="50">
        <v>100</v>
      </c>
      <c r="BD450" s="49">
        <v>7</v>
      </c>
      <c r="BE450" s="49"/>
      <c r="BF450" s="49"/>
      <c r="BG450" s="49"/>
      <c r="BH450" s="49"/>
      <c r="BI450" s="49"/>
      <c r="BJ450" s="49"/>
      <c r="BK450" s="111" t="s">
        <v>4010</v>
      </c>
      <c r="BL450" s="111" t="s">
        <v>4010</v>
      </c>
      <c r="BM450" s="111" t="s">
        <v>4473</v>
      </c>
      <c r="BN450" s="111" t="s">
        <v>4473</v>
      </c>
      <c r="BO450" s="2"/>
      <c r="BP450" s="3"/>
      <c r="BQ450" s="3"/>
      <c r="BR450" s="3"/>
      <c r="BS450" s="3"/>
    </row>
    <row r="451" spans="1:71" ht="15">
      <c r="A451" s="65" t="s">
        <v>650</v>
      </c>
      <c r="B451" s="66"/>
      <c r="C451" s="66"/>
      <c r="D451" s="67">
        <v>150</v>
      </c>
      <c r="E451" s="69"/>
      <c r="F451" s="103" t="str">
        <f>HYPERLINK("https://yt3.ggpht.com/ytc/AAUvwnhnhIuloF4aRX0qNLQsw7xwaRHXxSG7mjaHAhB2kw=s88-c-k-c0x00ffffff-no-rj")</f>
        <v>https://yt3.ggpht.com/ytc/AAUvwnhnhIuloF4aRX0qNLQsw7xwaRHXxSG7mjaHAhB2kw=s88-c-k-c0x00ffffff-no-rj</v>
      </c>
      <c r="G451" s="66"/>
      <c r="H451" s="70" t="s">
        <v>2009</v>
      </c>
      <c r="I451" s="71"/>
      <c r="J451" s="71" t="s">
        <v>159</v>
      </c>
      <c r="K451" s="70" t="s">
        <v>2009</v>
      </c>
      <c r="L451" s="74">
        <v>1</v>
      </c>
      <c r="M451" s="75">
        <v>1011.4278564453125</v>
      </c>
      <c r="N451" s="75">
        <v>7250.08935546875</v>
      </c>
      <c r="O451" s="76"/>
      <c r="P451" s="77"/>
      <c r="Q451" s="77"/>
      <c r="R451" s="89"/>
      <c r="S451" s="49">
        <v>0</v>
      </c>
      <c r="T451" s="49">
        <v>1</v>
      </c>
      <c r="U451" s="50">
        <v>0</v>
      </c>
      <c r="V451" s="50">
        <v>0.002801</v>
      </c>
      <c r="W451" s="50">
        <v>0.008244</v>
      </c>
      <c r="X451" s="50">
        <v>0.512495</v>
      </c>
      <c r="Y451" s="50">
        <v>0</v>
      </c>
      <c r="Z451" s="50">
        <v>0</v>
      </c>
      <c r="AA451" s="72">
        <v>451</v>
      </c>
      <c r="AB451" s="72"/>
      <c r="AC451" s="73"/>
      <c r="AD451" s="80" t="s">
        <v>2009</v>
      </c>
      <c r="AE451" s="80"/>
      <c r="AF451" s="80"/>
      <c r="AG451" s="80"/>
      <c r="AH451" s="80"/>
      <c r="AI451" s="80"/>
      <c r="AJ451" s="87">
        <v>41659.89266203704</v>
      </c>
      <c r="AK451" s="85" t="str">
        <f>HYPERLINK("https://yt3.ggpht.com/ytc/AAUvwnhnhIuloF4aRX0qNLQsw7xwaRHXxSG7mjaHAhB2kw=s88-c-k-c0x00ffffff-no-rj")</f>
        <v>https://yt3.ggpht.com/ytc/AAUvwnhnhIuloF4aRX0qNLQsw7xwaRHXxSG7mjaHAhB2kw=s88-c-k-c0x00ffffff-no-rj</v>
      </c>
      <c r="AL451" s="80">
        <v>27</v>
      </c>
      <c r="AM451" s="80">
        <v>0</v>
      </c>
      <c r="AN451" s="80">
        <v>2</v>
      </c>
      <c r="AO451" s="80" t="b">
        <v>0</v>
      </c>
      <c r="AP451" s="80">
        <v>1</v>
      </c>
      <c r="AQ451" s="80"/>
      <c r="AR451" s="80"/>
      <c r="AS451" s="80" t="s">
        <v>2664</v>
      </c>
      <c r="AT451" s="85" t="str">
        <f>HYPERLINK("https://www.youtube.com/channel/UCA12YVPW2dPuYgJI_g0szuQ")</f>
        <v>https://www.youtube.com/channel/UCA12YVPW2dPuYgJI_g0szuQ</v>
      </c>
      <c r="AU451" s="80" t="str">
        <f>REPLACE(INDEX(GroupVertices[Group],MATCH(Vertices[[#This Row],[Vertex]],GroupVertices[Vertex],0)),1,1,"")</f>
        <v>1</v>
      </c>
      <c r="AV451" s="49">
        <v>0</v>
      </c>
      <c r="AW451" s="50">
        <v>0</v>
      </c>
      <c r="AX451" s="49">
        <v>0</v>
      </c>
      <c r="AY451" s="50">
        <v>0</v>
      </c>
      <c r="AZ451" s="49">
        <v>0</v>
      </c>
      <c r="BA451" s="50">
        <v>0</v>
      </c>
      <c r="BB451" s="49">
        <v>16</v>
      </c>
      <c r="BC451" s="50">
        <v>100</v>
      </c>
      <c r="BD451" s="49">
        <v>16</v>
      </c>
      <c r="BE451" s="49" t="s">
        <v>3433</v>
      </c>
      <c r="BF451" s="49" t="s">
        <v>3433</v>
      </c>
      <c r="BG451" s="49" t="s">
        <v>2379</v>
      </c>
      <c r="BH451" s="49" t="s">
        <v>2379</v>
      </c>
      <c r="BI451" s="49"/>
      <c r="BJ451" s="49"/>
      <c r="BK451" s="111" t="s">
        <v>4011</v>
      </c>
      <c r="BL451" s="111" t="s">
        <v>4011</v>
      </c>
      <c r="BM451" s="111" t="s">
        <v>4474</v>
      </c>
      <c r="BN451" s="111" t="s">
        <v>4474</v>
      </c>
      <c r="BO451" s="2"/>
      <c r="BP451" s="3"/>
      <c r="BQ451" s="3"/>
      <c r="BR451" s="3"/>
      <c r="BS451" s="3"/>
    </row>
    <row r="452" spans="1:71" ht="15">
      <c r="A452" s="65" t="s">
        <v>651</v>
      </c>
      <c r="B452" s="66"/>
      <c r="C452" s="66"/>
      <c r="D452" s="67">
        <v>150</v>
      </c>
      <c r="E452" s="69"/>
      <c r="F452" s="103" t="str">
        <f>HYPERLINK("https://yt3.ggpht.com/ytc/AAUvwngR3g-ViLDnIGOooZXlj8d8uOKRpHQjG6xjVLtTLQ=s88-c-k-c0x00ffffff-no-rj")</f>
        <v>https://yt3.ggpht.com/ytc/AAUvwngR3g-ViLDnIGOooZXlj8d8uOKRpHQjG6xjVLtTLQ=s88-c-k-c0x00ffffff-no-rj</v>
      </c>
      <c r="G452" s="66"/>
      <c r="H452" s="70" t="s">
        <v>2010</v>
      </c>
      <c r="I452" s="71"/>
      <c r="J452" s="71" t="s">
        <v>159</v>
      </c>
      <c r="K452" s="70" t="s">
        <v>2010</v>
      </c>
      <c r="L452" s="74">
        <v>1</v>
      </c>
      <c r="M452" s="75">
        <v>1365.7984619140625</v>
      </c>
      <c r="N452" s="75">
        <v>7944.4501953125</v>
      </c>
      <c r="O452" s="76"/>
      <c r="P452" s="77"/>
      <c r="Q452" s="77"/>
      <c r="R452" s="89"/>
      <c r="S452" s="49">
        <v>0</v>
      </c>
      <c r="T452" s="49">
        <v>1</v>
      </c>
      <c r="U452" s="50">
        <v>0</v>
      </c>
      <c r="V452" s="50">
        <v>0.002801</v>
      </c>
      <c r="W452" s="50">
        <v>0.008244</v>
      </c>
      <c r="X452" s="50">
        <v>0.512495</v>
      </c>
      <c r="Y452" s="50">
        <v>0</v>
      </c>
      <c r="Z452" s="50">
        <v>0</v>
      </c>
      <c r="AA452" s="72">
        <v>452</v>
      </c>
      <c r="AB452" s="72"/>
      <c r="AC452" s="73"/>
      <c r="AD452" s="80" t="s">
        <v>2010</v>
      </c>
      <c r="AE452" s="80"/>
      <c r="AF452" s="80"/>
      <c r="AG452" s="80"/>
      <c r="AH452" s="80"/>
      <c r="AI452" s="80"/>
      <c r="AJ452" s="87">
        <v>42517.74269675926</v>
      </c>
      <c r="AK452" s="85" t="str">
        <f>HYPERLINK("https://yt3.ggpht.com/ytc/AAUvwngR3g-ViLDnIGOooZXlj8d8uOKRpHQjG6xjVLtTLQ=s88-c-k-c0x00ffffff-no-rj")</f>
        <v>https://yt3.ggpht.com/ytc/AAUvwngR3g-ViLDnIGOooZXlj8d8uOKRpHQjG6xjVLtTLQ=s88-c-k-c0x00ffffff-no-rj</v>
      </c>
      <c r="AL452" s="80">
        <v>27750</v>
      </c>
      <c r="AM452" s="80">
        <v>0</v>
      </c>
      <c r="AN452" s="80">
        <v>131</v>
      </c>
      <c r="AO452" s="80" t="b">
        <v>0</v>
      </c>
      <c r="AP452" s="80">
        <v>34</v>
      </c>
      <c r="AQ452" s="80"/>
      <c r="AR452" s="80"/>
      <c r="AS452" s="80" t="s">
        <v>2664</v>
      </c>
      <c r="AT452" s="85" t="str">
        <f>HYPERLINK("https://www.youtube.com/channel/UChJiLn9jB5O_rwknHyL9Jgw")</f>
        <v>https://www.youtube.com/channel/UChJiLn9jB5O_rwknHyL9Jgw</v>
      </c>
      <c r="AU452" s="80" t="str">
        <f>REPLACE(INDEX(GroupVertices[Group],MATCH(Vertices[[#This Row],[Vertex]],GroupVertices[Vertex],0)),1,1,"")</f>
        <v>1</v>
      </c>
      <c r="AV452" s="49">
        <v>2</v>
      </c>
      <c r="AW452" s="50">
        <v>66.66666666666667</v>
      </c>
      <c r="AX452" s="49">
        <v>0</v>
      </c>
      <c r="AY452" s="50">
        <v>0</v>
      </c>
      <c r="AZ452" s="49">
        <v>0</v>
      </c>
      <c r="BA452" s="50">
        <v>0</v>
      </c>
      <c r="BB452" s="49">
        <v>1</v>
      </c>
      <c r="BC452" s="50">
        <v>33.333333333333336</v>
      </c>
      <c r="BD452" s="49">
        <v>3</v>
      </c>
      <c r="BE452" s="49"/>
      <c r="BF452" s="49"/>
      <c r="BG452" s="49"/>
      <c r="BH452" s="49"/>
      <c r="BI452" s="49"/>
      <c r="BJ452" s="49"/>
      <c r="BK452" s="111" t="s">
        <v>1374</v>
      </c>
      <c r="BL452" s="111" t="s">
        <v>1374</v>
      </c>
      <c r="BM452" s="111" t="s">
        <v>4475</v>
      </c>
      <c r="BN452" s="111" t="s">
        <v>4475</v>
      </c>
      <c r="BO452" s="2"/>
      <c r="BP452" s="3"/>
      <c r="BQ452" s="3"/>
      <c r="BR452" s="3"/>
      <c r="BS452" s="3"/>
    </row>
    <row r="453" spans="1:71" ht="15">
      <c r="A453" s="65" t="s">
        <v>652</v>
      </c>
      <c r="B453" s="66"/>
      <c r="C453" s="66"/>
      <c r="D453" s="67">
        <v>150</v>
      </c>
      <c r="E453" s="69"/>
      <c r="F453" s="103" t="str">
        <f>HYPERLINK("https://yt3.ggpht.com/ytc/AAUvwnhTmK07ntEGIfrV_tckQ3k75zBkwgPmpI9e6Hqjeg=s88-c-k-c0x00ffffff-no-rj")</f>
        <v>https://yt3.ggpht.com/ytc/AAUvwnhTmK07ntEGIfrV_tckQ3k75zBkwgPmpI9e6Hqjeg=s88-c-k-c0x00ffffff-no-rj</v>
      </c>
      <c r="G453" s="66"/>
      <c r="H453" s="70" t="s">
        <v>2011</v>
      </c>
      <c r="I453" s="71"/>
      <c r="J453" s="71" t="s">
        <v>159</v>
      </c>
      <c r="K453" s="70" t="s">
        <v>2011</v>
      </c>
      <c r="L453" s="74">
        <v>1</v>
      </c>
      <c r="M453" s="75">
        <v>2475.405029296875</v>
      </c>
      <c r="N453" s="75">
        <v>7686.61181640625</v>
      </c>
      <c r="O453" s="76"/>
      <c r="P453" s="77"/>
      <c r="Q453" s="77"/>
      <c r="R453" s="89"/>
      <c r="S453" s="49">
        <v>0</v>
      </c>
      <c r="T453" s="49">
        <v>1</v>
      </c>
      <c r="U453" s="50">
        <v>0</v>
      </c>
      <c r="V453" s="50">
        <v>0.002801</v>
      </c>
      <c r="W453" s="50">
        <v>0.008244</v>
      </c>
      <c r="X453" s="50">
        <v>0.512495</v>
      </c>
      <c r="Y453" s="50">
        <v>0</v>
      </c>
      <c r="Z453" s="50">
        <v>0</v>
      </c>
      <c r="AA453" s="72">
        <v>453</v>
      </c>
      <c r="AB453" s="72"/>
      <c r="AC453" s="73"/>
      <c r="AD453" s="80" t="s">
        <v>2011</v>
      </c>
      <c r="AE453" s="80" t="s">
        <v>2564</v>
      </c>
      <c r="AF453" s="80"/>
      <c r="AG453" s="80"/>
      <c r="AH453" s="80"/>
      <c r="AI453" s="80"/>
      <c r="AJ453" s="87">
        <v>41808.82898148148</v>
      </c>
      <c r="AK453" s="85" t="str">
        <f>HYPERLINK("https://yt3.ggpht.com/ytc/AAUvwnhTmK07ntEGIfrV_tckQ3k75zBkwgPmpI9e6Hqjeg=s88-c-k-c0x00ffffff-no-rj")</f>
        <v>https://yt3.ggpht.com/ytc/AAUvwnhTmK07ntEGIfrV_tckQ3k75zBkwgPmpI9e6Hqjeg=s88-c-k-c0x00ffffff-no-rj</v>
      </c>
      <c r="AL453" s="80">
        <v>0</v>
      </c>
      <c r="AM453" s="80">
        <v>0</v>
      </c>
      <c r="AN453" s="80">
        <v>287</v>
      </c>
      <c r="AO453" s="80" t="b">
        <v>0</v>
      </c>
      <c r="AP453" s="80">
        <v>0</v>
      </c>
      <c r="AQ453" s="80"/>
      <c r="AR453" s="80"/>
      <c r="AS453" s="80" t="s">
        <v>2664</v>
      </c>
      <c r="AT453" s="85" t="str">
        <f>HYPERLINK("https://www.youtube.com/channel/UCJpbhVtWvqn4OYkYhdtkDsg")</f>
        <v>https://www.youtube.com/channel/UCJpbhVtWvqn4OYkYhdtkDsg</v>
      </c>
      <c r="AU453" s="80" t="str">
        <f>REPLACE(INDEX(GroupVertices[Group],MATCH(Vertices[[#This Row],[Vertex]],GroupVertices[Vertex],0)),1,1,"")</f>
        <v>1</v>
      </c>
      <c r="AV453" s="49">
        <v>2</v>
      </c>
      <c r="AW453" s="50">
        <v>28.571428571428573</v>
      </c>
      <c r="AX453" s="49">
        <v>0</v>
      </c>
      <c r="AY453" s="50">
        <v>0</v>
      </c>
      <c r="AZ453" s="49">
        <v>0</v>
      </c>
      <c r="BA453" s="50">
        <v>0</v>
      </c>
      <c r="BB453" s="49">
        <v>5</v>
      </c>
      <c r="BC453" s="50">
        <v>71.42857142857143</v>
      </c>
      <c r="BD453" s="49">
        <v>7</v>
      </c>
      <c r="BE453" s="49"/>
      <c r="BF453" s="49"/>
      <c r="BG453" s="49"/>
      <c r="BH453" s="49"/>
      <c r="BI453" s="49"/>
      <c r="BJ453" s="49"/>
      <c r="BK453" s="111" t="s">
        <v>4012</v>
      </c>
      <c r="BL453" s="111" t="s">
        <v>4012</v>
      </c>
      <c r="BM453" s="111" t="s">
        <v>4476</v>
      </c>
      <c r="BN453" s="111" t="s">
        <v>4476</v>
      </c>
      <c r="BO453" s="2"/>
      <c r="BP453" s="3"/>
      <c r="BQ453" s="3"/>
      <c r="BR453" s="3"/>
      <c r="BS453" s="3"/>
    </row>
    <row r="454" spans="1:71" ht="15">
      <c r="A454" s="65" t="s">
        <v>653</v>
      </c>
      <c r="B454" s="66"/>
      <c r="C454" s="66"/>
      <c r="D454" s="67">
        <v>150</v>
      </c>
      <c r="E454" s="69"/>
      <c r="F454" s="103" t="str">
        <f>HYPERLINK("https://yt3.ggpht.com/ytc/AAUvwnjvY2YgqWyrRrlNUuyEdHXiSpK9fANzR84aOnJA=s88-c-k-c0x00ffffff-no-rj")</f>
        <v>https://yt3.ggpht.com/ytc/AAUvwnjvY2YgqWyrRrlNUuyEdHXiSpK9fANzR84aOnJA=s88-c-k-c0x00ffffff-no-rj</v>
      </c>
      <c r="G454" s="66"/>
      <c r="H454" s="70" t="s">
        <v>2012</v>
      </c>
      <c r="I454" s="71"/>
      <c r="J454" s="71" t="s">
        <v>159</v>
      </c>
      <c r="K454" s="70" t="s">
        <v>2012</v>
      </c>
      <c r="L454" s="74">
        <v>1</v>
      </c>
      <c r="M454" s="75">
        <v>1714.618408203125</v>
      </c>
      <c r="N454" s="75">
        <v>7341.9453125</v>
      </c>
      <c r="O454" s="76"/>
      <c r="P454" s="77"/>
      <c r="Q454" s="77"/>
      <c r="R454" s="89"/>
      <c r="S454" s="49">
        <v>0</v>
      </c>
      <c r="T454" s="49">
        <v>1</v>
      </c>
      <c r="U454" s="50">
        <v>0</v>
      </c>
      <c r="V454" s="50">
        <v>0.002801</v>
      </c>
      <c r="W454" s="50">
        <v>0.008244</v>
      </c>
      <c r="X454" s="50">
        <v>0.512495</v>
      </c>
      <c r="Y454" s="50">
        <v>0</v>
      </c>
      <c r="Z454" s="50">
        <v>0</v>
      </c>
      <c r="AA454" s="72">
        <v>454</v>
      </c>
      <c r="AB454" s="72"/>
      <c r="AC454" s="73"/>
      <c r="AD454" s="80" t="s">
        <v>2012</v>
      </c>
      <c r="AE454" s="80" t="s">
        <v>2565</v>
      </c>
      <c r="AF454" s="80"/>
      <c r="AG454" s="80"/>
      <c r="AH454" s="80"/>
      <c r="AI454" s="80"/>
      <c r="AJ454" s="87">
        <v>43219.84916666667</v>
      </c>
      <c r="AK454" s="85" t="str">
        <f>HYPERLINK("https://yt3.ggpht.com/ytc/AAUvwnjvY2YgqWyrRrlNUuyEdHXiSpK9fANzR84aOnJA=s88-c-k-c0x00ffffff-no-rj")</f>
        <v>https://yt3.ggpht.com/ytc/AAUvwnjvY2YgqWyrRrlNUuyEdHXiSpK9fANzR84aOnJA=s88-c-k-c0x00ffffff-no-rj</v>
      </c>
      <c r="AL454" s="80">
        <v>0</v>
      </c>
      <c r="AM454" s="80">
        <v>0</v>
      </c>
      <c r="AN454" s="80">
        <v>2</v>
      </c>
      <c r="AO454" s="80" t="b">
        <v>0</v>
      </c>
      <c r="AP454" s="80">
        <v>0</v>
      </c>
      <c r="AQ454" s="80"/>
      <c r="AR454" s="80"/>
      <c r="AS454" s="80" t="s">
        <v>2664</v>
      </c>
      <c r="AT454" s="85" t="str">
        <f>HYPERLINK("https://www.youtube.com/channel/UCfUNn3pCTUiMSeOyJcvDiFw")</f>
        <v>https://www.youtube.com/channel/UCfUNn3pCTUiMSeOyJcvDiFw</v>
      </c>
      <c r="AU454" s="80" t="str">
        <f>REPLACE(INDEX(GroupVertices[Group],MATCH(Vertices[[#This Row],[Vertex]],GroupVertices[Vertex],0)),1,1,"")</f>
        <v>1</v>
      </c>
      <c r="AV454" s="49">
        <v>2</v>
      </c>
      <c r="AW454" s="50">
        <v>33.333333333333336</v>
      </c>
      <c r="AX454" s="49">
        <v>0</v>
      </c>
      <c r="AY454" s="50">
        <v>0</v>
      </c>
      <c r="AZ454" s="49">
        <v>0</v>
      </c>
      <c r="BA454" s="50">
        <v>0</v>
      </c>
      <c r="BB454" s="49">
        <v>4</v>
      </c>
      <c r="BC454" s="50">
        <v>66.66666666666667</v>
      </c>
      <c r="BD454" s="49">
        <v>6</v>
      </c>
      <c r="BE454" s="49"/>
      <c r="BF454" s="49"/>
      <c r="BG454" s="49"/>
      <c r="BH454" s="49"/>
      <c r="BI454" s="49"/>
      <c r="BJ454" s="49"/>
      <c r="BK454" s="111" t="s">
        <v>4013</v>
      </c>
      <c r="BL454" s="111" t="s">
        <v>4013</v>
      </c>
      <c r="BM454" s="111" t="s">
        <v>4477</v>
      </c>
      <c r="BN454" s="111" t="s">
        <v>4477</v>
      </c>
      <c r="BO454" s="2"/>
      <c r="BP454" s="3"/>
      <c r="BQ454" s="3"/>
      <c r="BR454" s="3"/>
      <c r="BS454" s="3"/>
    </row>
    <row r="455" spans="1:71" ht="15">
      <c r="A455" s="65" t="s">
        <v>654</v>
      </c>
      <c r="B455" s="66"/>
      <c r="C455" s="66"/>
      <c r="D455" s="67">
        <v>150</v>
      </c>
      <c r="E455" s="69"/>
      <c r="F455" s="103" t="str">
        <f>HYPERLINK("https://yt3.ggpht.com/ytc/AAUvwngILKS7CoT5bklZ-0YnH2fbXrkkGl_bpCPqfw=s88-c-k-c0x00ffffff-no-rj")</f>
        <v>https://yt3.ggpht.com/ytc/AAUvwngILKS7CoT5bklZ-0YnH2fbXrkkGl_bpCPqfw=s88-c-k-c0x00ffffff-no-rj</v>
      </c>
      <c r="G455" s="66"/>
      <c r="H455" s="70" t="s">
        <v>2013</v>
      </c>
      <c r="I455" s="71"/>
      <c r="J455" s="71" t="s">
        <v>159</v>
      </c>
      <c r="K455" s="70" t="s">
        <v>2013</v>
      </c>
      <c r="L455" s="74">
        <v>1</v>
      </c>
      <c r="M455" s="75">
        <v>2235.546630859375</v>
      </c>
      <c r="N455" s="75">
        <v>7461.90234375</v>
      </c>
      <c r="O455" s="76"/>
      <c r="P455" s="77"/>
      <c r="Q455" s="77"/>
      <c r="R455" s="89"/>
      <c r="S455" s="49">
        <v>0</v>
      </c>
      <c r="T455" s="49">
        <v>1</v>
      </c>
      <c r="U455" s="50">
        <v>0</v>
      </c>
      <c r="V455" s="50">
        <v>0.002801</v>
      </c>
      <c r="W455" s="50">
        <v>0.008244</v>
      </c>
      <c r="X455" s="50">
        <v>0.512495</v>
      </c>
      <c r="Y455" s="50">
        <v>0</v>
      </c>
      <c r="Z455" s="50">
        <v>0</v>
      </c>
      <c r="AA455" s="72">
        <v>455</v>
      </c>
      <c r="AB455" s="72"/>
      <c r="AC455" s="73"/>
      <c r="AD455" s="80" t="s">
        <v>2013</v>
      </c>
      <c r="AE455" s="80"/>
      <c r="AF455" s="80"/>
      <c r="AG455" s="80"/>
      <c r="AH455" s="80"/>
      <c r="AI455" s="80"/>
      <c r="AJ455" s="87">
        <v>42584.451053240744</v>
      </c>
      <c r="AK455" s="85" t="str">
        <f>HYPERLINK("https://yt3.ggpht.com/ytc/AAUvwngILKS7CoT5bklZ-0YnH2fbXrkkGl_bpCPqfw=s88-c-k-c0x00ffffff-no-rj")</f>
        <v>https://yt3.ggpht.com/ytc/AAUvwngILKS7CoT5bklZ-0YnH2fbXrkkGl_bpCPqfw=s88-c-k-c0x00ffffff-no-rj</v>
      </c>
      <c r="AL455" s="80">
        <v>0</v>
      </c>
      <c r="AM455" s="80">
        <v>0</v>
      </c>
      <c r="AN455" s="80">
        <v>0</v>
      </c>
      <c r="AO455" s="80" t="b">
        <v>0</v>
      </c>
      <c r="AP455" s="80">
        <v>0</v>
      </c>
      <c r="AQ455" s="80"/>
      <c r="AR455" s="80"/>
      <c r="AS455" s="80" t="s">
        <v>2664</v>
      </c>
      <c r="AT455" s="85" t="str">
        <f>HYPERLINK("https://www.youtube.com/channel/UCdqrohw_NmlHlyOEq2jHCWA")</f>
        <v>https://www.youtube.com/channel/UCdqrohw_NmlHlyOEq2jHCWA</v>
      </c>
      <c r="AU455" s="80" t="str">
        <f>REPLACE(INDEX(GroupVertices[Group],MATCH(Vertices[[#This Row],[Vertex]],GroupVertices[Vertex],0)),1,1,"")</f>
        <v>1</v>
      </c>
      <c r="AV455" s="49">
        <v>0</v>
      </c>
      <c r="AW455" s="50">
        <v>0</v>
      </c>
      <c r="AX455" s="49">
        <v>0</v>
      </c>
      <c r="AY455" s="50">
        <v>0</v>
      </c>
      <c r="AZ455" s="49">
        <v>0</v>
      </c>
      <c r="BA455" s="50">
        <v>0</v>
      </c>
      <c r="BB455" s="49">
        <v>2</v>
      </c>
      <c r="BC455" s="50">
        <v>100</v>
      </c>
      <c r="BD455" s="49">
        <v>2</v>
      </c>
      <c r="BE455" s="49"/>
      <c r="BF455" s="49"/>
      <c r="BG455" s="49"/>
      <c r="BH455" s="49"/>
      <c r="BI455" s="49"/>
      <c r="BJ455" s="49"/>
      <c r="BK455" s="111" t="s">
        <v>2390</v>
      </c>
      <c r="BL455" s="111" t="s">
        <v>2390</v>
      </c>
      <c r="BM455" s="111" t="s">
        <v>2390</v>
      </c>
      <c r="BN455" s="111" t="s">
        <v>2390</v>
      </c>
      <c r="BO455" s="2"/>
      <c r="BP455" s="3"/>
      <c r="BQ455" s="3"/>
      <c r="BR455" s="3"/>
      <c r="BS455" s="3"/>
    </row>
    <row r="456" spans="1:71" ht="15">
      <c r="A456" s="65" t="s">
        <v>655</v>
      </c>
      <c r="B456" s="66"/>
      <c r="C456" s="66"/>
      <c r="D456" s="67">
        <v>150</v>
      </c>
      <c r="E456" s="69"/>
      <c r="F456" s="103" t="str">
        <f>HYPERLINK("https://yt3.ggpht.com/ytc/AAUvwnilykla4flbxx9x26UF-8NcAALvNH6QMdXJnU1Jgg=s88-c-k-c0x00ffffff-no-rj")</f>
        <v>https://yt3.ggpht.com/ytc/AAUvwnilykla4flbxx9x26UF-8NcAALvNH6QMdXJnU1Jgg=s88-c-k-c0x00ffffff-no-rj</v>
      </c>
      <c r="G456" s="66"/>
      <c r="H456" s="70" t="s">
        <v>2014</v>
      </c>
      <c r="I456" s="71"/>
      <c r="J456" s="71" t="s">
        <v>159</v>
      </c>
      <c r="K456" s="70" t="s">
        <v>2014</v>
      </c>
      <c r="L456" s="74">
        <v>1</v>
      </c>
      <c r="M456" s="75">
        <v>2087.103515625</v>
      </c>
      <c r="N456" s="75">
        <v>5946.93701171875</v>
      </c>
      <c r="O456" s="76"/>
      <c r="P456" s="77"/>
      <c r="Q456" s="77"/>
      <c r="R456" s="89"/>
      <c r="S456" s="49">
        <v>0</v>
      </c>
      <c r="T456" s="49">
        <v>1</v>
      </c>
      <c r="U456" s="50">
        <v>0</v>
      </c>
      <c r="V456" s="50">
        <v>0.002801</v>
      </c>
      <c r="W456" s="50">
        <v>0.008244</v>
      </c>
      <c r="X456" s="50">
        <v>0.512495</v>
      </c>
      <c r="Y456" s="50">
        <v>0</v>
      </c>
      <c r="Z456" s="50">
        <v>0</v>
      </c>
      <c r="AA456" s="72">
        <v>456</v>
      </c>
      <c r="AB456" s="72"/>
      <c r="AC456" s="73"/>
      <c r="AD456" s="80" t="s">
        <v>2014</v>
      </c>
      <c r="AE456" s="80"/>
      <c r="AF456" s="80"/>
      <c r="AG456" s="80"/>
      <c r="AH456" s="80"/>
      <c r="AI456" s="80"/>
      <c r="AJ456" s="87">
        <v>42465.51358796296</v>
      </c>
      <c r="AK456" s="85" t="str">
        <f>HYPERLINK("https://yt3.ggpht.com/ytc/AAUvwnilykla4flbxx9x26UF-8NcAALvNH6QMdXJnU1Jgg=s88-c-k-c0x00ffffff-no-rj")</f>
        <v>https://yt3.ggpht.com/ytc/AAUvwnilykla4flbxx9x26UF-8NcAALvNH6QMdXJnU1Jgg=s88-c-k-c0x00ffffff-no-rj</v>
      </c>
      <c r="AL456" s="80">
        <v>14</v>
      </c>
      <c r="AM456" s="80">
        <v>0</v>
      </c>
      <c r="AN456" s="80">
        <v>27</v>
      </c>
      <c r="AO456" s="80" t="b">
        <v>0</v>
      </c>
      <c r="AP456" s="80">
        <v>1</v>
      </c>
      <c r="AQ456" s="80"/>
      <c r="AR456" s="80"/>
      <c r="AS456" s="80" t="s">
        <v>2664</v>
      </c>
      <c r="AT456" s="85" t="str">
        <f>HYPERLINK("https://www.youtube.com/channel/UC4BJaDRvnalVBUUFZXiCkoQ")</f>
        <v>https://www.youtube.com/channel/UC4BJaDRvnalVBUUFZXiCkoQ</v>
      </c>
      <c r="AU456" s="80" t="str">
        <f>REPLACE(INDEX(GroupVertices[Group],MATCH(Vertices[[#This Row],[Vertex]],GroupVertices[Vertex],0)),1,1,"")</f>
        <v>1</v>
      </c>
      <c r="AV456" s="49">
        <v>2</v>
      </c>
      <c r="AW456" s="50">
        <v>28.571428571428573</v>
      </c>
      <c r="AX456" s="49">
        <v>0</v>
      </c>
      <c r="AY456" s="50">
        <v>0</v>
      </c>
      <c r="AZ456" s="49">
        <v>0</v>
      </c>
      <c r="BA456" s="50">
        <v>0</v>
      </c>
      <c r="BB456" s="49">
        <v>5</v>
      </c>
      <c r="BC456" s="50">
        <v>71.42857142857143</v>
      </c>
      <c r="BD456" s="49">
        <v>7</v>
      </c>
      <c r="BE456" s="49"/>
      <c r="BF456" s="49"/>
      <c r="BG456" s="49"/>
      <c r="BH456" s="49"/>
      <c r="BI456" s="49"/>
      <c r="BJ456" s="49"/>
      <c r="BK456" s="111" t="s">
        <v>4014</v>
      </c>
      <c r="BL456" s="111" t="s">
        <v>4014</v>
      </c>
      <c r="BM456" s="111" t="s">
        <v>4478</v>
      </c>
      <c r="BN456" s="111" t="s">
        <v>4478</v>
      </c>
      <c r="BO456" s="2"/>
      <c r="BP456" s="3"/>
      <c r="BQ456" s="3"/>
      <c r="BR456" s="3"/>
      <c r="BS456" s="3"/>
    </row>
    <row r="457" spans="1:71" ht="15">
      <c r="A457" s="65" t="s">
        <v>656</v>
      </c>
      <c r="B457" s="66"/>
      <c r="C457" s="66"/>
      <c r="D457" s="67">
        <v>150</v>
      </c>
      <c r="E457" s="69"/>
      <c r="F457" s="103" t="str">
        <f>HYPERLINK("https://yt3.ggpht.com/ytc/AAUvwnhH4XwNzKF4wfq043GLoxEJMpDHPLM-uJ0V_xxLZYo=s88-c-k-c0x00ffffff-no-rj")</f>
        <v>https://yt3.ggpht.com/ytc/AAUvwnhH4XwNzKF4wfq043GLoxEJMpDHPLM-uJ0V_xxLZYo=s88-c-k-c0x00ffffff-no-rj</v>
      </c>
      <c r="G457" s="66"/>
      <c r="H457" s="70" t="s">
        <v>2015</v>
      </c>
      <c r="I457" s="71"/>
      <c r="J457" s="71" t="s">
        <v>159</v>
      </c>
      <c r="K457" s="70" t="s">
        <v>2015</v>
      </c>
      <c r="L457" s="74">
        <v>1</v>
      </c>
      <c r="M457" s="75">
        <v>3052.33740234375</v>
      </c>
      <c r="N457" s="75">
        <v>5333.21142578125</v>
      </c>
      <c r="O457" s="76"/>
      <c r="P457" s="77"/>
      <c r="Q457" s="77"/>
      <c r="R457" s="89"/>
      <c r="S457" s="49">
        <v>0</v>
      </c>
      <c r="T457" s="49">
        <v>1</v>
      </c>
      <c r="U457" s="50">
        <v>0</v>
      </c>
      <c r="V457" s="50">
        <v>0.001969</v>
      </c>
      <c r="W457" s="50">
        <v>0.000772</v>
      </c>
      <c r="X457" s="50">
        <v>0.575828</v>
      </c>
      <c r="Y457" s="50">
        <v>0</v>
      </c>
      <c r="Z457" s="50">
        <v>0</v>
      </c>
      <c r="AA457" s="72">
        <v>457</v>
      </c>
      <c r="AB457" s="72"/>
      <c r="AC457" s="73"/>
      <c r="AD457" s="80" t="s">
        <v>2015</v>
      </c>
      <c r="AE457" s="80"/>
      <c r="AF457" s="80"/>
      <c r="AG457" s="80"/>
      <c r="AH457" s="80"/>
      <c r="AI457" s="80"/>
      <c r="AJ457" s="87">
        <v>41507.419641203705</v>
      </c>
      <c r="AK457" s="85" t="str">
        <f>HYPERLINK("https://yt3.ggpht.com/ytc/AAUvwnhH4XwNzKF4wfq043GLoxEJMpDHPLM-uJ0V_xxLZYo=s88-c-k-c0x00ffffff-no-rj")</f>
        <v>https://yt3.ggpht.com/ytc/AAUvwnhH4XwNzKF4wfq043GLoxEJMpDHPLM-uJ0V_xxLZYo=s88-c-k-c0x00ffffff-no-rj</v>
      </c>
      <c r="AL457" s="80">
        <v>254</v>
      </c>
      <c r="AM457" s="80">
        <v>0</v>
      </c>
      <c r="AN457" s="80">
        <v>3</v>
      </c>
      <c r="AO457" s="80" t="b">
        <v>0</v>
      </c>
      <c r="AP457" s="80">
        <v>1</v>
      </c>
      <c r="AQ457" s="80"/>
      <c r="AR457" s="80"/>
      <c r="AS457" s="80" t="s">
        <v>2664</v>
      </c>
      <c r="AT457" s="85" t="str">
        <f>HYPERLINK("https://www.youtube.com/channel/UCVDCckhaMS9_DCcgrWI4PWw")</f>
        <v>https://www.youtube.com/channel/UCVDCckhaMS9_DCcgrWI4PWw</v>
      </c>
      <c r="AU457" s="80" t="str">
        <f>REPLACE(INDEX(GroupVertices[Group],MATCH(Vertices[[#This Row],[Vertex]],GroupVertices[Vertex],0)),1,1,"")</f>
        <v>1</v>
      </c>
      <c r="AV457" s="49">
        <v>0</v>
      </c>
      <c r="AW457" s="50">
        <v>0</v>
      </c>
      <c r="AX457" s="49">
        <v>0</v>
      </c>
      <c r="AY457" s="50">
        <v>0</v>
      </c>
      <c r="AZ457" s="49">
        <v>0</v>
      </c>
      <c r="BA457" s="50">
        <v>0</v>
      </c>
      <c r="BB457" s="49">
        <v>5</v>
      </c>
      <c r="BC457" s="50">
        <v>100</v>
      </c>
      <c r="BD457" s="49">
        <v>5</v>
      </c>
      <c r="BE457" s="49"/>
      <c r="BF457" s="49"/>
      <c r="BG457" s="49"/>
      <c r="BH457" s="49"/>
      <c r="BI457" s="49"/>
      <c r="BJ457" s="49"/>
      <c r="BK457" s="111" t="s">
        <v>4015</v>
      </c>
      <c r="BL457" s="111" t="s">
        <v>4015</v>
      </c>
      <c r="BM457" s="111" t="s">
        <v>4479</v>
      </c>
      <c r="BN457" s="111" t="s">
        <v>4479</v>
      </c>
      <c r="BO457" s="2"/>
      <c r="BP457" s="3"/>
      <c r="BQ457" s="3"/>
      <c r="BR457" s="3"/>
      <c r="BS457" s="3"/>
    </row>
    <row r="458" spans="1:71" ht="15">
      <c r="A458" s="65" t="s">
        <v>657</v>
      </c>
      <c r="B458" s="66"/>
      <c r="C458" s="66"/>
      <c r="D458" s="67">
        <v>291.66666666666663</v>
      </c>
      <c r="E458" s="69"/>
      <c r="F458" s="103" t="str">
        <f>HYPERLINK("https://yt3.ggpht.com/ytc/AAUvwnhA-qn1ybAU4QDfjMVlqZV11Ajpf1iy52lKxm05nQ=s88-c-k-c0x00ffffff-no-rj")</f>
        <v>https://yt3.ggpht.com/ytc/AAUvwnhA-qn1ybAU4QDfjMVlqZV11Ajpf1iy52lKxm05nQ=s88-c-k-c0x00ffffff-no-rj</v>
      </c>
      <c r="G458" s="66"/>
      <c r="H458" s="70" t="s">
        <v>2016</v>
      </c>
      <c r="I458" s="71"/>
      <c r="J458" s="71" t="s">
        <v>159</v>
      </c>
      <c r="K458" s="70" t="s">
        <v>2016</v>
      </c>
      <c r="L458" s="74">
        <v>96.21904761904761</v>
      </c>
      <c r="M458" s="75">
        <v>2454.4755859375</v>
      </c>
      <c r="N458" s="75">
        <v>6181.37060546875</v>
      </c>
      <c r="O458" s="76"/>
      <c r="P458" s="77"/>
      <c r="Q458" s="77"/>
      <c r="R458" s="89"/>
      <c r="S458" s="49">
        <v>1</v>
      </c>
      <c r="T458" s="49">
        <v>1</v>
      </c>
      <c r="U458" s="50">
        <v>306</v>
      </c>
      <c r="V458" s="50">
        <v>0.002817</v>
      </c>
      <c r="W458" s="50">
        <v>0.008315</v>
      </c>
      <c r="X458" s="50">
        <v>1.001948</v>
      </c>
      <c r="Y458" s="50">
        <v>0</v>
      </c>
      <c r="Z458" s="50">
        <v>0</v>
      </c>
      <c r="AA458" s="72">
        <v>458</v>
      </c>
      <c r="AB458" s="72"/>
      <c r="AC458" s="73"/>
      <c r="AD458" s="80" t="s">
        <v>2016</v>
      </c>
      <c r="AE458" s="80"/>
      <c r="AF458" s="80"/>
      <c r="AG458" s="80"/>
      <c r="AH458" s="80"/>
      <c r="AI458" s="80"/>
      <c r="AJ458" s="87">
        <v>43015.05521990741</v>
      </c>
      <c r="AK458" s="85" t="str">
        <f>HYPERLINK("https://yt3.ggpht.com/ytc/AAUvwnhA-qn1ybAU4QDfjMVlqZV11Ajpf1iy52lKxm05nQ=s88-c-k-c0x00ffffff-no-rj")</f>
        <v>https://yt3.ggpht.com/ytc/AAUvwnhA-qn1ybAU4QDfjMVlqZV11Ajpf1iy52lKxm05nQ=s88-c-k-c0x00ffffff-no-rj</v>
      </c>
      <c r="AL458" s="80">
        <v>0</v>
      </c>
      <c r="AM458" s="80">
        <v>0</v>
      </c>
      <c r="AN458" s="80">
        <v>8</v>
      </c>
      <c r="AO458" s="80" t="b">
        <v>0</v>
      </c>
      <c r="AP458" s="80">
        <v>0</v>
      </c>
      <c r="AQ458" s="80"/>
      <c r="AR458" s="80"/>
      <c r="AS458" s="80" t="s">
        <v>2664</v>
      </c>
      <c r="AT458" s="85" t="str">
        <f>HYPERLINK("https://www.youtube.com/channel/UCTcHD2VmpjSvYcWkN14SRUA")</f>
        <v>https://www.youtube.com/channel/UCTcHD2VmpjSvYcWkN14SRUA</v>
      </c>
      <c r="AU458" s="80" t="str">
        <f>REPLACE(INDEX(GroupVertices[Group],MATCH(Vertices[[#This Row],[Vertex]],GroupVertices[Vertex],0)),1,1,"")</f>
        <v>1</v>
      </c>
      <c r="AV458" s="49">
        <v>2</v>
      </c>
      <c r="AW458" s="50">
        <v>33.333333333333336</v>
      </c>
      <c r="AX458" s="49">
        <v>0</v>
      </c>
      <c r="AY458" s="50">
        <v>0</v>
      </c>
      <c r="AZ458" s="49">
        <v>0</v>
      </c>
      <c r="BA458" s="50">
        <v>0</v>
      </c>
      <c r="BB458" s="49">
        <v>4</v>
      </c>
      <c r="BC458" s="50">
        <v>66.66666666666667</v>
      </c>
      <c r="BD458" s="49">
        <v>6</v>
      </c>
      <c r="BE458" s="49"/>
      <c r="BF458" s="49"/>
      <c r="BG458" s="49"/>
      <c r="BH458" s="49"/>
      <c r="BI458" s="49"/>
      <c r="BJ458" s="49"/>
      <c r="BK458" s="111" t="s">
        <v>4016</v>
      </c>
      <c r="BL458" s="111" t="s">
        <v>4016</v>
      </c>
      <c r="BM458" s="111" t="s">
        <v>4480</v>
      </c>
      <c r="BN458" s="111" t="s">
        <v>4480</v>
      </c>
      <c r="BO458" s="2"/>
      <c r="BP458" s="3"/>
      <c r="BQ458" s="3"/>
      <c r="BR458" s="3"/>
      <c r="BS458" s="3"/>
    </row>
    <row r="459" spans="1:71" ht="15">
      <c r="A459" s="65" t="s">
        <v>658</v>
      </c>
      <c r="B459" s="66"/>
      <c r="C459" s="66"/>
      <c r="D459" s="67">
        <v>150</v>
      </c>
      <c r="E459" s="69"/>
      <c r="F459" s="103" t="str">
        <f>HYPERLINK("https://yt3.ggpht.com/ytc/AAUvwnjtFiquz4pPdt2pUY37gPXBqF4oWe2_GaQC6-Y8=s88-c-k-c0x00ffffff-no-rj")</f>
        <v>https://yt3.ggpht.com/ytc/AAUvwnjtFiquz4pPdt2pUY37gPXBqF4oWe2_GaQC6-Y8=s88-c-k-c0x00ffffff-no-rj</v>
      </c>
      <c r="G459" s="66"/>
      <c r="H459" s="70" t="s">
        <v>2017</v>
      </c>
      <c r="I459" s="71"/>
      <c r="J459" s="71" t="s">
        <v>159</v>
      </c>
      <c r="K459" s="70" t="s">
        <v>2017</v>
      </c>
      <c r="L459" s="74">
        <v>1</v>
      </c>
      <c r="M459" s="75">
        <v>2386.941650390625</v>
      </c>
      <c r="N459" s="75">
        <v>7583.625</v>
      </c>
      <c r="O459" s="76"/>
      <c r="P459" s="77"/>
      <c r="Q459" s="77"/>
      <c r="R459" s="89"/>
      <c r="S459" s="49">
        <v>0</v>
      </c>
      <c r="T459" s="49">
        <v>1</v>
      </c>
      <c r="U459" s="50">
        <v>0</v>
      </c>
      <c r="V459" s="50">
        <v>0.002801</v>
      </c>
      <c r="W459" s="50">
        <v>0.008244</v>
      </c>
      <c r="X459" s="50">
        <v>0.512495</v>
      </c>
      <c r="Y459" s="50">
        <v>0</v>
      </c>
      <c r="Z459" s="50">
        <v>0</v>
      </c>
      <c r="AA459" s="72">
        <v>459</v>
      </c>
      <c r="AB459" s="72"/>
      <c r="AC459" s="73"/>
      <c r="AD459" s="80" t="s">
        <v>2017</v>
      </c>
      <c r="AE459" s="80" t="s">
        <v>2566</v>
      </c>
      <c r="AF459" s="80"/>
      <c r="AG459" s="80"/>
      <c r="AH459" s="80"/>
      <c r="AI459" s="80" t="s">
        <v>2650</v>
      </c>
      <c r="AJ459" s="87">
        <v>41494.7396875</v>
      </c>
      <c r="AK459" s="85" t="str">
        <f>HYPERLINK("https://yt3.ggpht.com/ytc/AAUvwnjtFiquz4pPdt2pUY37gPXBqF4oWe2_GaQC6-Y8=s88-c-k-c0x00ffffff-no-rj")</f>
        <v>https://yt3.ggpht.com/ytc/AAUvwnjtFiquz4pPdt2pUY37gPXBqF4oWe2_GaQC6-Y8=s88-c-k-c0x00ffffff-no-rj</v>
      </c>
      <c r="AL459" s="80">
        <v>341</v>
      </c>
      <c r="AM459" s="80">
        <v>0</v>
      </c>
      <c r="AN459" s="80">
        <v>100</v>
      </c>
      <c r="AO459" s="80" t="b">
        <v>0</v>
      </c>
      <c r="AP459" s="80">
        <v>18</v>
      </c>
      <c r="AQ459" s="80"/>
      <c r="AR459" s="80"/>
      <c r="AS459" s="80" t="s">
        <v>2664</v>
      </c>
      <c r="AT459" s="85" t="str">
        <f>HYPERLINK("https://www.youtube.com/channel/UC_utpvdX3jUjizP3SoATdtQ")</f>
        <v>https://www.youtube.com/channel/UC_utpvdX3jUjizP3SoATdtQ</v>
      </c>
      <c r="AU459" s="80" t="str">
        <f>REPLACE(INDEX(GroupVertices[Group],MATCH(Vertices[[#This Row],[Vertex]],GroupVertices[Vertex],0)),1,1,"")</f>
        <v>1</v>
      </c>
      <c r="AV459" s="49">
        <v>0</v>
      </c>
      <c r="AW459" s="50">
        <v>0</v>
      </c>
      <c r="AX459" s="49">
        <v>0</v>
      </c>
      <c r="AY459" s="50">
        <v>0</v>
      </c>
      <c r="AZ459" s="49">
        <v>0</v>
      </c>
      <c r="BA459" s="50">
        <v>0</v>
      </c>
      <c r="BB459" s="49">
        <v>5</v>
      </c>
      <c r="BC459" s="50">
        <v>100</v>
      </c>
      <c r="BD459" s="49">
        <v>5</v>
      </c>
      <c r="BE459" s="49"/>
      <c r="BF459" s="49"/>
      <c r="BG459" s="49"/>
      <c r="BH459" s="49"/>
      <c r="BI459" s="49"/>
      <c r="BJ459" s="49"/>
      <c r="BK459" s="111" t="s">
        <v>4017</v>
      </c>
      <c r="BL459" s="111" t="s">
        <v>4017</v>
      </c>
      <c r="BM459" s="111" t="s">
        <v>4481</v>
      </c>
      <c r="BN459" s="111" t="s">
        <v>4481</v>
      </c>
      <c r="BO459" s="2"/>
      <c r="BP459" s="3"/>
      <c r="BQ459" s="3"/>
      <c r="BR459" s="3"/>
      <c r="BS459" s="3"/>
    </row>
    <row r="460" spans="1:71" ht="15">
      <c r="A460" s="65" t="s">
        <v>659</v>
      </c>
      <c r="B460" s="66"/>
      <c r="C460" s="66"/>
      <c r="D460" s="67">
        <v>150</v>
      </c>
      <c r="E460" s="69"/>
      <c r="F460" s="103" t="str">
        <f>HYPERLINK("https://yt3.ggpht.com/ytc/AAUvwnjk4FQwW2dKQwh1gy60-qCjjGwOikZrEInASl9IDg=s88-c-k-c0x00ffffff-no-rj")</f>
        <v>https://yt3.ggpht.com/ytc/AAUvwnjk4FQwW2dKQwh1gy60-qCjjGwOikZrEInASl9IDg=s88-c-k-c0x00ffffff-no-rj</v>
      </c>
      <c r="G460" s="66"/>
      <c r="H460" s="70" t="s">
        <v>2018</v>
      </c>
      <c r="I460" s="71"/>
      <c r="J460" s="71" t="s">
        <v>159</v>
      </c>
      <c r="K460" s="70" t="s">
        <v>2018</v>
      </c>
      <c r="L460" s="74">
        <v>1</v>
      </c>
      <c r="M460" s="75">
        <v>1838.135498046875</v>
      </c>
      <c r="N460" s="75">
        <v>5770.26171875</v>
      </c>
      <c r="O460" s="76"/>
      <c r="P460" s="77"/>
      <c r="Q460" s="77"/>
      <c r="R460" s="89"/>
      <c r="S460" s="49">
        <v>0</v>
      </c>
      <c r="T460" s="49">
        <v>1</v>
      </c>
      <c r="U460" s="50">
        <v>0</v>
      </c>
      <c r="V460" s="50">
        <v>0.002801</v>
      </c>
      <c r="W460" s="50">
        <v>0.008244</v>
      </c>
      <c r="X460" s="50">
        <v>0.512495</v>
      </c>
      <c r="Y460" s="50">
        <v>0</v>
      </c>
      <c r="Z460" s="50">
        <v>0</v>
      </c>
      <c r="AA460" s="72">
        <v>460</v>
      </c>
      <c r="AB460" s="72"/>
      <c r="AC460" s="73"/>
      <c r="AD460" s="80" t="s">
        <v>2018</v>
      </c>
      <c r="AE460" s="80"/>
      <c r="AF460" s="80"/>
      <c r="AG460" s="80"/>
      <c r="AH460" s="80"/>
      <c r="AI460" s="80"/>
      <c r="AJ460" s="87">
        <v>43483.92854166667</v>
      </c>
      <c r="AK460" s="85" t="str">
        <f>HYPERLINK("https://yt3.ggpht.com/ytc/AAUvwnjk4FQwW2dKQwh1gy60-qCjjGwOikZrEInASl9IDg=s88-c-k-c0x00ffffff-no-rj")</f>
        <v>https://yt3.ggpht.com/ytc/AAUvwnjk4FQwW2dKQwh1gy60-qCjjGwOikZrEInASl9IDg=s88-c-k-c0x00ffffff-no-rj</v>
      </c>
      <c r="AL460" s="80">
        <v>0</v>
      </c>
      <c r="AM460" s="80">
        <v>0</v>
      </c>
      <c r="AN460" s="80">
        <v>10</v>
      </c>
      <c r="AO460" s="80" t="b">
        <v>0</v>
      </c>
      <c r="AP460" s="80">
        <v>0</v>
      </c>
      <c r="AQ460" s="80"/>
      <c r="AR460" s="80"/>
      <c r="AS460" s="80" t="s">
        <v>2664</v>
      </c>
      <c r="AT460" s="85" t="str">
        <f>HYPERLINK("https://www.youtube.com/channel/UCTMzvf8g1c1Hl3l9buaIMeg")</f>
        <v>https://www.youtube.com/channel/UCTMzvf8g1c1Hl3l9buaIMeg</v>
      </c>
      <c r="AU460" s="80" t="str">
        <f>REPLACE(INDEX(GroupVertices[Group],MATCH(Vertices[[#This Row],[Vertex]],GroupVertices[Vertex],0)),1,1,"")</f>
        <v>1</v>
      </c>
      <c r="AV460" s="49">
        <v>0</v>
      </c>
      <c r="AW460" s="50">
        <v>0</v>
      </c>
      <c r="AX460" s="49">
        <v>0</v>
      </c>
      <c r="AY460" s="50">
        <v>0</v>
      </c>
      <c r="AZ460" s="49">
        <v>0</v>
      </c>
      <c r="BA460" s="50">
        <v>0</v>
      </c>
      <c r="BB460" s="49">
        <v>4</v>
      </c>
      <c r="BC460" s="50">
        <v>100</v>
      </c>
      <c r="BD460" s="49">
        <v>4</v>
      </c>
      <c r="BE460" s="49"/>
      <c r="BF460" s="49"/>
      <c r="BG460" s="49"/>
      <c r="BH460" s="49"/>
      <c r="BI460" s="49"/>
      <c r="BJ460" s="49"/>
      <c r="BK460" s="111" t="s">
        <v>2728</v>
      </c>
      <c r="BL460" s="111" t="s">
        <v>2728</v>
      </c>
      <c r="BM460" s="111" t="s">
        <v>2390</v>
      </c>
      <c r="BN460" s="111" t="s">
        <v>2390</v>
      </c>
      <c r="BO460" s="2"/>
      <c r="BP460" s="3"/>
      <c r="BQ460" s="3"/>
      <c r="BR460" s="3"/>
      <c r="BS460" s="3"/>
    </row>
    <row r="461" spans="1:71" ht="15">
      <c r="A461" s="65" t="s">
        <v>660</v>
      </c>
      <c r="B461" s="66"/>
      <c r="C461" s="66"/>
      <c r="D461" s="67">
        <v>150</v>
      </c>
      <c r="E461" s="69"/>
      <c r="F461" s="103" t="str">
        <f>HYPERLINK("https://yt3.ggpht.com/ytc/AAUvwngeQ6cecgKW-TUYf5d0yiMs5m-TlEE_RdH0jT3CPA=s88-c-k-c0x00ffffff-no-rj")</f>
        <v>https://yt3.ggpht.com/ytc/AAUvwngeQ6cecgKW-TUYf5d0yiMs5m-TlEE_RdH0jT3CPA=s88-c-k-c0x00ffffff-no-rj</v>
      </c>
      <c r="G461" s="66"/>
      <c r="H461" s="70" t="s">
        <v>2019</v>
      </c>
      <c r="I461" s="71"/>
      <c r="J461" s="71" t="s">
        <v>159</v>
      </c>
      <c r="K461" s="70" t="s">
        <v>2019</v>
      </c>
      <c r="L461" s="74">
        <v>1</v>
      </c>
      <c r="M461" s="75">
        <v>1501.8980712890625</v>
      </c>
      <c r="N461" s="75">
        <v>8067.78759765625</v>
      </c>
      <c r="O461" s="76"/>
      <c r="P461" s="77"/>
      <c r="Q461" s="77"/>
      <c r="R461" s="89"/>
      <c r="S461" s="49">
        <v>0</v>
      </c>
      <c r="T461" s="49">
        <v>1</v>
      </c>
      <c r="U461" s="50">
        <v>0</v>
      </c>
      <c r="V461" s="50">
        <v>0.002801</v>
      </c>
      <c r="W461" s="50">
        <v>0.008244</v>
      </c>
      <c r="X461" s="50">
        <v>0.512495</v>
      </c>
      <c r="Y461" s="50">
        <v>0</v>
      </c>
      <c r="Z461" s="50">
        <v>0</v>
      </c>
      <c r="AA461" s="72">
        <v>461</v>
      </c>
      <c r="AB461" s="72"/>
      <c r="AC461" s="73"/>
      <c r="AD461" s="80" t="s">
        <v>2019</v>
      </c>
      <c r="AE461" s="80"/>
      <c r="AF461" s="80"/>
      <c r="AG461" s="80"/>
      <c r="AH461" s="80"/>
      <c r="AI461" s="80"/>
      <c r="AJ461" s="87">
        <v>41966.651655092595</v>
      </c>
      <c r="AK461" s="85" t="str">
        <f>HYPERLINK("https://yt3.ggpht.com/ytc/AAUvwngeQ6cecgKW-TUYf5d0yiMs5m-TlEE_RdH0jT3CPA=s88-c-k-c0x00ffffff-no-rj")</f>
        <v>https://yt3.ggpht.com/ytc/AAUvwngeQ6cecgKW-TUYf5d0yiMs5m-TlEE_RdH0jT3CPA=s88-c-k-c0x00ffffff-no-rj</v>
      </c>
      <c r="AL461" s="80">
        <v>0</v>
      </c>
      <c r="AM461" s="80">
        <v>0</v>
      </c>
      <c r="AN461" s="80">
        <v>1</v>
      </c>
      <c r="AO461" s="80" t="b">
        <v>0</v>
      </c>
      <c r="AP461" s="80">
        <v>0</v>
      </c>
      <c r="AQ461" s="80"/>
      <c r="AR461" s="80"/>
      <c r="AS461" s="80" t="s">
        <v>2664</v>
      </c>
      <c r="AT461" s="85" t="str">
        <f>HYPERLINK("https://www.youtube.com/channel/UCLi9I77I67kG_JV0aT1PCqQ")</f>
        <v>https://www.youtube.com/channel/UCLi9I77I67kG_JV0aT1PCqQ</v>
      </c>
      <c r="AU461" s="80" t="str">
        <f>REPLACE(INDEX(GroupVertices[Group],MATCH(Vertices[[#This Row],[Vertex]],GroupVertices[Vertex],0)),1,1,"")</f>
        <v>1</v>
      </c>
      <c r="AV461" s="49">
        <v>0</v>
      </c>
      <c r="AW461" s="50">
        <v>0</v>
      </c>
      <c r="AX461" s="49">
        <v>1</v>
      </c>
      <c r="AY461" s="50">
        <v>10</v>
      </c>
      <c r="AZ461" s="49">
        <v>0</v>
      </c>
      <c r="BA461" s="50">
        <v>0</v>
      </c>
      <c r="BB461" s="49">
        <v>9</v>
      </c>
      <c r="BC461" s="50">
        <v>90</v>
      </c>
      <c r="BD461" s="49">
        <v>10</v>
      </c>
      <c r="BE461" s="49"/>
      <c r="BF461" s="49"/>
      <c r="BG461" s="49"/>
      <c r="BH461" s="49"/>
      <c r="BI461" s="49"/>
      <c r="BJ461" s="49"/>
      <c r="BK461" s="111" t="s">
        <v>4018</v>
      </c>
      <c r="BL461" s="111" t="s">
        <v>4018</v>
      </c>
      <c r="BM461" s="111" t="s">
        <v>4482</v>
      </c>
      <c r="BN461" s="111" t="s">
        <v>4482</v>
      </c>
      <c r="BO461" s="2"/>
      <c r="BP461" s="3"/>
      <c r="BQ461" s="3"/>
      <c r="BR461" s="3"/>
      <c r="BS461" s="3"/>
    </row>
    <row r="462" spans="1:71" ht="15">
      <c r="A462" s="65" t="s">
        <v>661</v>
      </c>
      <c r="B462" s="66"/>
      <c r="C462" s="66"/>
      <c r="D462" s="67">
        <v>150</v>
      </c>
      <c r="E462" s="69"/>
      <c r="F462" s="103" t="str">
        <f>HYPERLINK("https://yt3.ggpht.com/ytc/AAUvwng04sW0TFwR9viVE8iXkNm-CJJ62p6IRyC4vw=s88-c-k-c0x00ffffff-no-rj")</f>
        <v>https://yt3.ggpht.com/ytc/AAUvwng04sW0TFwR9viVE8iXkNm-CJJ62p6IRyC4vw=s88-c-k-c0x00ffffff-no-rj</v>
      </c>
      <c r="G462" s="66"/>
      <c r="H462" s="70" t="s">
        <v>2020</v>
      </c>
      <c r="I462" s="71"/>
      <c r="J462" s="71" t="s">
        <v>159</v>
      </c>
      <c r="K462" s="70" t="s">
        <v>2020</v>
      </c>
      <c r="L462" s="74">
        <v>1</v>
      </c>
      <c r="M462" s="75">
        <v>938.7687377929688</v>
      </c>
      <c r="N462" s="75">
        <v>7069.7587890625</v>
      </c>
      <c r="O462" s="76"/>
      <c r="P462" s="77"/>
      <c r="Q462" s="77"/>
      <c r="R462" s="89"/>
      <c r="S462" s="49">
        <v>0</v>
      </c>
      <c r="T462" s="49">
        <v>1</v>
      </c>
      <c r="U462" s="50">
        <v>0</v>
      </c>
      <c r="V462" s="50">
        <v>0.002801</v>
      </c>
      <c r="W462" s="50">
        <v>0.008244</v>
      </c>
      <c r="X462" s="50">
        <v>0.512495</v>
      </c>
      <c r="Y462" s="50">
        <v>0</v>
      </c>
      <c r="Z462" s="50">
        <v>0</v>
      </c>
      <c r="AA462" s="72">
        <v>462</v>
      </c>
      <c r="AB462" s="72"/>
      <c r="AC462" s="73"/>
      <c r="AD462" s="80" t="s">
        <v>2020</v>
      </c>
      <c r="AE462" s="80"/>
      <c r="AF462" s="80"/>
      <c r="AG462" s="80"/>
      <c r="AH462" s="80"/>
      <c r="AI462" s="80"/>
      <c r="AJ462" s="87">
        <v>43240.77693287037</v>
      </c>
      <c r="AK462" s="85" t="str">
        <f>HYPERLINK("https://yt3.ggpht.com/ytc/AAUvwng04sW0TFwR9viVE8iXkNm-CJJ62p6IRyC4vw=s88-c-k-c0x00ffffff-no-rj")</f>
        <v>https://yt3.ggpht.com/ytc/AAUvwng04sW0TFwR9viVE8iXkNm-CJJ62p6IRyC4vw=s88-c-k-c0x00ffffff-no-rj</v>
      </c>
      <c r="AL462" s="80">
        <v>0</v>
      </c>
      <c r="AM462" s="80">
        <v>0</v>
      </c>
      <c r="AN462" s="80">
        <v>0</v>
      </c>
      <c r="AO462" s="80" t="b">
        <v>0</v>
      </c>
      <c r="AP462" s="80">
        <v>0</v>
      </c>
      <c r="AQ462" s="80"/>
      <c r="AR462" s="80"/>
      <c r="AS462" s="80" t="s">
        <v>2664</v>
      </c>
      <c r="AT462" s="85" t="str">
        <f>HYPERLINK("https://www.youtube.com/channel/UCjN7LTeOOdilDQYZ-eC1xpg")</f>
        <v>https://www.youtube.com/channel/UCjN7LTeOOdilDQYZ-eC1xpg</v>
      </c>
      <c r="AU462" s="80" t="str">
        <f>REPLACE(INDEX(GroupVertices[Group],MATCH(Vertices[[#This Row],[Vertex]],GroupVertices[Vertex],0)),1,1,"")</f>
        <v>1</v>
      </c>
      <c r="AV462" s="49">
        <v>2</v>
      </c>
      <c r="AW462" s="50">
        <v>5.128205128205129</v>
      </c>
      <c r="AX462" s="49">
        <v>0</v>
      </c>
      <c r="AY462" s="50">
        <v>0</v>
      </c>
      <c r="AZ462" s="49">
        <v>0</v>
      </c>
      <c r="BA462" s="50">
        <v>0</v>
      </c>
      <c r="BB462" s="49">
        <v>37</v>
      </c>
      <c r="BC462" s="50">
        <v>94.87179487179488</v>
      </c>
      <c r="BD462" s="49">
        <v>39</v>
      </c>
      <c r="BE462" s="49"/>
      <c r="BF462" s="49"/>
      <c r="BG462" s="49"/>
      <c r="BH462" s="49"/>
      <c r="BI462" s="49"/>
      <c r="BJ462" s="49"/>
      <c r="BK462" s="111" t="s">
        <v>4019</v>
      </c>
      <c r="BL462" s="111" t="s">
        <v>4019</v>
      </c>
      <c r="BM462" s="111" t="s">
        <v>4483</v>
      </c>
      <c r="BN462" s="111" t="s">
        <v>4483</v>
      </c>
      <c r="BO462" s="2"/>
      <c r="BP462" s="3"/>
      <c r="BQ462" s="3"/>
      <c r="BR462" s="3"/>
      <c r="BS462" s="3"/>
    </row>
    <row r="463" spans="1:71" ht="15">
      <c r="A463" s="65" t="s">
        <v>662</v>
      </c>
      <c r="B463" s="66"/>
      <c r="C463" s="66"/>
      <c r="D463" s="67">
        <v>150</v>
      </c>
      <c r="E463" s="69"/>
      <c r="F463" s="103" t="str">
        <f>HYPERLINK("https://yt3.ggpht.com/ytc/AAUvwniiK7EeMSRrVpk2eBo-_6ig-fY1Y7-zBK_I_5Nt3A=s88-c-k-c0x00ffffff-no-rj")</f>
        <v>https://yt3.ggpht.com/ytc/AAUvwniiK7EeMSRrVpk2eBo-_6ig-fY1Y7-zBK_I_5Nt3A=s88-c-k-c0x00ffffff-no-rj</v>
      </c>
      <c r="G463" s="66"/>
      <c r="H463" s="70" t="s">
        <v>2021</v>
      </c>
      <c r="I463" s="71"/>
      <c r="J463" s="71" t="s">
        <v>159</v>
      </c>
      <c r="K463" s="70" t="s">
        <v>2021</v>
      </c>
      <c r="L463" s="74">
        <v>1</v>
      </c>
      <c r="M463" s="75">
        <v>1847.9912109375</v>
      </c>
      <c r="N463" s="75">
        <v>6217.7138671875</v>
      </c>
      <c r="O463" s="76"/>
      <c r="P463" s="77"/>
      <c r="Q463" s="77"/>
      <c r="R463" s="89"/>
      <c r="S463" s="49">
        <v>0</v>
      </c>
      <c r="T463" s="49">
        <v>1</v>
      </c>
      <c r="U463" s="50">
        <v>0</v>
      </c>
      <c r="V463" s="50">
        <v>0.002801</v>
      </c>
      <c r="W463" s="50">
        <v>0.008244</v>
      </c>
      <c r="X463" s="50">
        <v>0.512495</v>
      </c>
      <c r="Y463" s="50">
        <v>0</v>
      </c>
      <c r="Z463" s="50">
        <v>0</v>
      </c>
      <c r="AA463" s="72">
        <v>463</v>
      </c>
      <c r="AB463" s="72"/>
      <c r="AC463" s="73"/>
      <c r="AD463" s="80" t="s">
        <v>2021</v>
      </c>
      <c r="AE463" s="80" t="s">
        <v>2567</v>
      </c>
      <c r="AF463" s="80"/>
      <c r="AG463" s="80"/>
      <c r="AH463" s="80"/>
      <c r="AI463" s="80"/>
      <c r="AJ463" s="87">
        <v>42910.98915509259</v>
      </c>
      <c r="AK463" s="85" t="str">
        <f>HYPERLINK("https://yt3.ggpht.com/ytc/AAUvwniiK7EeMSRrVpk2eBo-_6ig-fY1Y7-zBK_I_5Nt3A=s88-c-k-c0x00ffffff-no-rj")</f>
        <v>https://yt3.ggpht.com/ytc/AAUvwniiK7EeMSRrVpk2eBo-_6ig-fY1Y7-zBK_I_5Nt3A=s88-c-k-c0x00ffffff-no-rj</v>
      </c>
      <c r="AL463" s="80">
        <v>1132388</v>
      </c>
      <c r="AM463" s="80">
        <v>0</v>
      </c>
      <c r="AN463" s="80">
        <v>4020</v>
      </c>
      <c r="AO463" s="80" t="b">
        <v>0</v>
      </c>
      <c r="AP463" s="80">
        <v>114</v>
      </c>
      <c r="AQ463" s="80"/>
      <c r="AR463" s="80"/>
      <c r="AS463" s="80" t="s">
        <v>2664</v>
      </c>
      <c r="AT463" s="85" t="str">
        <f>HYPERLINK("https://www.youtube.com/channel/UCOuxgaoH-DORb6EsvIVz2tQ")</f>
        <v>https://www.youtube.com/channel/UCOuxgaoH-DORb6EsvIVz2tQ</v>
      </c>
      <c r="AU463" s="80" t="str">
        <f>REPLACE(INDEX(GroupVertices[Group],MATCH(Vertices[[#This Row],[Vertex]],GroupVertices[Vertex],0)),1,1,"")</f>
        <v>1</v>
      </c>
      <c r="AV463" s="49">
        <v>0</v>
      </c>
      <c r="AW463" s="50">
        <v>0</v>
      </c>
      <c r="AX463" s="49">
        <v>0</v>
      </c>
      <c r="AY463" s="50">
        <v>0</v>
      </c>
      <c r="AZ463" s="49">
        <v>0</v>
      </c>
      <c r="BA463" s="50">
        <v>0</v>
      </c>
      <c r="BB463" s="49">
        <v>9</v>
      </c>
      <c r="BC463" s="50">
        <v>100</v>
      </c>
      <c r="BD463" s="49">
        <v>9</v>
      </c>
      <c r="BE463" s="49"/>
      <c r="BF463" s="49"/>
      <c r="BG463" s="49"/>
      <c r="BH463" s="49"/>
      <c r="BI463" s="49"/>
      <c r="BJ463" s="49"/>
      <c r="BK463" s="111" t="s">
        <v>4020</v>
      </c>
      <c r="BL463" s="111" t="s">
        <v>4020</v>
      </c>
      <c r="BM463" s="111" t="s">
        <v>4484</v>
      </c>
      <c r="BN463" s="111" t="s">
        <v>4484</v>
      </c>
      <c r="BO463" s="2"/>
      <c r="BP463" s="3"/>
      <c r="BQ463" s="3"/>
      <c r="BR463" s="3"/>
      <c r="BS463" s="3"/>
    </row>
    <row r="464" spans="1:71" ht="15">
      <c r="A464" s="65" t="s">
        <v>663</v>
      </c>
      <c r="B464" s="66"/>
      <c r="C464" s="66"/>
      <c r="D464" s="67">
        <v>150</v>
      </c>
      <c r="E464" s="69"/>
      <c r="F464" s="103" t="str">
        <f>HYPERLINK("https://yt3.ggpht.com/ytc/AAUvwngriUYJw8ADLITGNFQbEgHCcbItXgLpC3DtI0Z7=s88-c-k-c0x00ffffff-no-rj")</f>
        <v>https://yt3.ggpht.com/ytc/AAUvwngriUYJw8ADLITGNFQbEgHCcbItXgLpC3DtI0Z7=s88-c-k-c0x00ffffff-no-rj</v>
      </c>
      <c r="G464" s="66"/>
      <c r="H464" s="70" t="s">
        <v>2022</v>
      </c>
      <c r="I464" s="71"/>
      <c r="J464" s="71" t="s">
        <v>159</v>
      </c>
      <c r="K464" s="70" t="s">
        <v>2022</v>
      </c>
      <c r="L464" s="74">
        <v>1</v>
      </c>
      <c r="M464" s="75">
        <v>2463.798583984375</v>
      </c>
      <c r="N464" s="75">
        <v>6445.13671875</v>
      </c>
      <c r="O464" s="76"/>
      <c r="P464" s="77"/>
      <c r="Q464" s="77"/>
      <c r="R464" s="89"/>
      <c r="S464" s="49">
        <v>0</v>
      </c>
      <c r="T464" s="49">
        <v>1</v>
      </c>
      <c r="U464" s="50">
        <v>0</v>
      </c>
      <c r="V464" s="50">
        <v>0.002801</v>
      </c>
      <c r="W464" s="50">
        <v>0.008244</v>
      </c>
      <c r="X464" s="50">
        <v>0.512495</v>
      </c>
      <c r="Y464" s="50">
        <v>0</v>
      </c>
      <c r="Z464" s="50">
        <v>0</v>
      </c>
      <c r="AA464" s="72">
        <v>464</v>
      </c>
      <c r="AB464" s="72"/>
      <c r="AC464" s="73"/>
      <c r="AD464" s="80" t="s">
        <v>2022</v>
      </c>
      <c r="AE464" s="80"/>
      <c r="AF464" s="80"/>
      <c r="AG464" s="80"/>
      <c r="AH464" s="80"/>
      <c r="AI464" s="80"/>
      <c r="AJ464" s="87">
        <v>43245.66673611111</v>
      </c>
      <c r="AK464" s="85" t="str">
        <f>HYPERLINK("https://yt3.ggpht.com/ytc/AAUvwngriUYJw8ADLITGNFQbEgHCcbItXgLpC3DtI0Z7=s88-c-k-c0x00ffffff-no-rj")</f>
        <v>https://yt3.ggpht.com/ytc/AAUvwngriUYJw8ADLITGNFQbEgHCcbItXgLpC3DtI0Z7=s88-c-k-c0x00ffffff-no-rj</v>
      </c>
      <c r="AL464" s="80">
        <v>0</v>
      </c>
      <c r="AM464" s="80">
        <v>0</v>
      </c>
      <c r="AN464" s="80">
        <v>0</v>
      </c>
      <c r="AO464" s="80" t="b">
        <v>0</v>
      </c>
      <c r="AP464" s="80">
        <v>0</v>
      </c>
      <c r="AQ464" s="80"/>
      <c r="AR464" s="80"/>
      <c r="AS464" s="80" t="s">
        <v>2664</v>
      </c>
      <c r="AT464" s="85" t="str">
        <f>HYPERLINK("https://www.youtube.com/channel/UCkyhQjfYcfZUau9Biy8SWVQ")</f>
        <v>https://www.youtube.com/channel/UCkyhQjfYcfZUau9Biy8SWVQ</v>
      </c>
      <c r="AU464" s="80" t="str">
        <f>REPLACE(INDEX(GroupVertices[Group],MATCH(Vertices[[#This Row],[Vertex]],GroupVertices[Vertex],0)),1,1,"")</f>
        <v>1</v>
      </c>
      <c r="AV464" s="49">
        <v>0</v>
      </c>
      <c r="AW464" s="50">
        <v>0</v>
      </c>
      <c r="AX464" s="49">
        <v>0</v>
      </c>
      <c r="AY464" s="50">
        <v>0</v>
      </c>
      <c r="AZ464" s="49">
        <v>0</v>
      </c>
      <c r="BA464" s="50">
        <v>0</v>
      </c>
      <c r="BB464" s="49">
        <v>7</v>
      </c>
      <c r="BC464" s="50">
        <v>100</v>
      </c>
      <c r="BD464" s="49">
        <v>7</v>
      </c>
      <c r="BE464" s="49"/>
      <c r="BF464" s="49"/>
      <c r="BG464" s="49"/>
      <c r="BH464" s="49"/>
      <c r="BI464" s="49"/>
      <c r="BJ464" s="49"/>
      <c r="BK464" s="111" t="s">
        <v>4021</v>
      </c>
      <c r="BL464" s="111" t="s">
        <v>4021</v>
      </c>
      <c r="BM464" s="111" t="s">
        <v>4485</v>
      </c>
      <c r="BN464" s="111" t="s">
        <v>4485</v>
      </c>
      <c r="BO464" s="2"/>
      <c r="BP464" s="3"/>
      <c r="BQ464" s="3"/>
      <c r="BR464" s="3"/>
      <c r="BS464" s="3"/>
    </row>
    <row r="465" spans="1:71" ht="15">
      <c r="A465" s="65" t="s">
        <v>664</v>
      </c>
      <c r="B465" s="66"/>
      <c r="C465" s="66"/>
      <c r="D465" s="67">
        <v>150</v>
      </c>
      <c r="E465" s="69"/>
      <c r="F465" s="103" t="str">
        <f>HYPERLINK("https://yt3.ggpht.com/ytc/AAUvwngTKHlBTVlw9017LbrD_CF8P8XhhpYnw2Lj1w=s88-c-k-c0x00ffffff-no-rj")</f>
        <v>https://yt3.ggpht.com/ytc/AAUvwngTKHlBTVlw9017LbrD_CF8P8XhhpYnw2Lj1w=s88-c-k-c0x00ffffff-no-rj</v>
      </c>
      <c r="G465" s="66"/>
      <c r="H465" s="70" t="s">
        <v>2023</v>
      </c>
      <c r="I465" s="71"/>
      <c r="J465" s="71" t="s">
        <v>159</v>
      </c>
      <c r="K465" s="70" t="s">
        <v>2023</v>
      </c>
      <c r="L465" s="74">
        <v>1</v>
      </c>
      <c r="M465" s="75">
        <v>9011.837890625</v>
      </c>
      <c r="N465" s="75">
        <v>1679.745361328125</v>
      </c>
      <c r="O465" s="76"/>
      <c r="P465" s="77"/>
      <c r="Q465" s="77"/>
      <c r="R465" s="89"/>
      <c r="S465" s="49">
        <v>0</v>
      </c>
      <c r="T465" s="49">
        <v>1</v>
      </c>
      <c r="U465" s="50">
        <v>0</v>
      </c>
      <c r="V465" s="50">
        <v>0.001984</v>
      </c>
      <c r="W465" s="50">
        <v>0.000785</v>
      </c>
      <c r="X465" s="50">
        <v>0.565141</v>
      </c>
      <c r="Y465" s="50">
        <v>0</v>
      </c>
      <c r="Z465" s="50">
        <v>0</v>
      </c>
      <c r="AA465" s="72">
        <v>465</v>
      </c>
      <c r="AB465" s="72"/>
      <c r="AC465" s="73"/>
      <c r="AD465" s="80" t="s">
        <v>2023</v>
      </c>
      <c r="AE465" s="80"/>
      <c r="AF465" s="80"/>
      <c r="AG465" s="80"/>
      <c r="AH465" s="80"/>
      <c r="AI465" s="80"/>
      <c r="AJ465" s="87">
        <v>42997.709710648145</v>
      </c>
      <c r="AK465" s="85" t="str">
        <f>HYPERLINK("https://yt3.ggpht.com/ytc/AAUvwngTKHlBTVlw9017LbrD_CF8P8XhhpYnw2Lj1w=s88-c-k-c0x00ffffff-no-rj")</f>
        <v>https://yt3.ggpht.com/ytc/AAUvwngTKHlBTVlw9017LbrD_CF8P8XhhpYnw2Lj1w=s88-c-k-c0x00ffffff-no-rj</v>
      </c>
      <c r="AL465" s="80">
        <v>0</v>
      </c>
      <c r="AM465" s="80">
        <v>0</v>
      </c>
      <c r="AN465" s="80">
        <v>4</v>
      </c>
      <c r="AO465" s="80" t="b">
        <v>0</v>
      </c>
      <c r="AP465" s="80">
        <v>0</v>
      </c>
      <c r="AQ465" s="80"/>
      <c r="AR465" s="80"/>
      <c r="AS465" s="80" t="s">
        <v>2664</v>
      </c>
      <c r="AT465" s="85" t="str">
        <f>HYPERLINK("https://www.youtube.com/channel/UCHvnH0Fq28LF9CX-LOOWwCg")</f>
        <v>https://www.youtube.com/channel/UCHvnH0Fq28LF9CX-LOOWwCg</v>
      </c>
      <c r="AU465" s="80" t="str">
        <f>REPLACE(INDEX(GroupVertices[Group],MATCH(Vertices[[#This Row],[Vertex]],GroupVertices[Vertex],0)),1,1,"")</f>
        <v>17</v>
      </c>
      <c r="AV465" s="49">
        <v>1</v>
      </c>
      <c r="AW465" s="50">
        <v>10</v>
      </c>
      <c r="AX465" s="49">
        <v>1</v>
      </c>
      <c r="AY465" s="50">
        <v>10</v>
      </c>
      <c r="AZ465" s="49">
        <v>0</v>
      </c>
      <c r="BA465" s="50">
        <v>0</v>
      </c>
      <c r="BB465" s="49">
        <v>8</v>
      </c>
      <c r="BC465" s="50">
        <v>80</v>
      </c>
      <c r="BD465" s="49">
        <v>10</v>
      </c>
      <c r="BE465" s="49"/>
      <c r="BF465" s="49"/>
      <c r="BG465" s="49"/>
      <c r="BH465" s="49"/>
      <c r="BI465" s="49"/>
      <c r="BJ465" s="49"/>
      <c r="BK465" s="111" t="s">
        <v>4022</v>
      </c>
      <c r="BL465" s="111" t="s">
        <v>4022</v>
      </c>
      <c r="BM465" s="111" t="s">
        <v>4486</v>
      </c>
      <c r="BN465" s="111" t="s">
        <v>4486</v>
      </c>
      <c r="BO465" s="2"/>
      <c r="BP465" s="3"/>
      <c r="BQ465" s="3"/>
      <c r="BR465" s="3"/>
      <c r="BS465" s="3"/>
    </row>
    <row r="466" spans="1:71" ht="15">
      <c r="A466" s="65" t="s">
        <v>667</v>
      </c>
      <c r="B466" s="66"/>
      <c r="C466" s="66"/>
      <c r="D466" s="67">
        <v>575</v>
      </c>
      <c r="E466" s="69"/>
      <c r="F466" s="103" t="str">
        <f>HYPERLINK("https://yt3.ggpht.com/ytc/AAUvwnjuqjCYUPZuTwJs25Ryw1Kr382ENBrDBcA24Ktm=s88-c-k-c0x00ffffff-no-rj")</f>
        <v>https://yt3.ggpht.com/ytc/AAUvwnjuqjCYUPZuTwJs25Ryw1Kr382ENBrDBcA24Ktm=s88-c-k-c0x00ffffff-no-rj</v>
      </c>
      <c r="G466" s="66"/>
      <c r="H466" s="70" t="s">
        <v>2026</v>
      </c>
      <c r="I466" s="71"/>
      <c r="J466" s="71" t="s">
        <v>75</v>
      </c>
      <c r="K466" s="70" t="s">
        <v>2026</v>
      </c>
      <c r="L466" s="74">
        <v>286.65714285714284</v>
      </c>
      <c r="M466" s="75">
        <v>9011.837890625</v>
      </c>
      <c r="N466" s="75">
        <v>1282.38623046875</v>
      </c>
      <c r="O466" s="76"/>
      <c r="P466" s="77"/>
      <c r="Q466" s="77"/>
      <c r="R466" s="89"/>
      <c r="S466" s="49">
        <v>3</v>
      </c>
      <c r="T466" s="49">
        <v>1</v>
      </c>
      <c r="U466" s="50">
        <v>912</v>
      </c>
      <c r="V466" s="50">
        <v>0.002849</v>
      </c>
      <c r="W466" s="50">
        <v>0.008462</v>
      </c>
      <c r="X466" s="50">
        <v>1.953603</v>
      </c>
      <c r="Y466" s="50">
        <v>0</v>
      </c>
      <c r="Z466" s="50">
        <v>0</v>
      </c>
      <c r="AA466" s="72">
        <v>466</v>
      </c>
      <c r="AB466" s="72"/>
      <c r="AC466" s="73"/>
      <c r="AD466" s="80" t="s">
        <v>2026</v>
      </c>
      <c r="AE466" s="80"/>
      <c r="AF466" s="80"/>
      <c r="AG466" s="80"/>
      <c r="AH466" s="80"/>
      <c r="AI466" s="80"/>
      <c r="AJ466" s="87">
        <v>43594.44105324074</v>
      </c>
      <c r="AK466" s="85" t="str">
        <f>HYPERLINK("https://yt3.ggpht.com/ytc/AAUvwnjuqjCYUPZuTwJs25Ryw1Kr382ENBrDBcA24Ktm=s88-c-k-c0x00ffffff-no-rj")</f>
        <v>https://yt3.ggpht.com/ytc/AAUvwnjuqjCYUPZuTwJs25Ryw1Kr382ENBrDBcA24Ktm=s88-c-k-c0x00ffffff-no-rj</v>
      </c>
      <c r="AL466" s="80">
        <v>0</v>
      </c>
      <c r="AM466" s="80">
        <v>0</v>
      </c>
      <c r="AN466" s="80">
        <v>4</v>
      </c>
      <c r="AO466" s="80" t="b">
        <v>0</v>
      </c>
      <c r="AP466" s="80">
        <v>0</v>
      </c>
      <c r="AQ466" s="80"/>
      <c r="AR466" s="80"/>
      <c r="AS466" s="80" t="s">
        <v>2664</v>
      </c>
      <c r="AT466" s="85" t="str">
        <f>HYPERLINK("https://www.youtube.com/channel/UCIbOrSyowVO5brivr77P7Qw")</f>
        <v>https://www.youtube.com/channel/UCIbOrSyowVO5brivr77P7Qw</v>
      </c>
      <c r="AU466" s="80" t="str">
        <f>REPLACE(INDEX(GroupVertices[Group],MATCH(Vertices[[#This Row],[Vertex]],GroupVertices[Vertex],0)),1,1,"")</f>
        <v>17</v>
      </c>
      <c r="AV466" s="49">
        <v>0</v>
      </c>
      <c r="AW466" s="50">
        <v>0</v>
      </c>
      <c r="AX466" s="49">
        <v>0</v>
      </c>
      <c r="AY466" s="50">
        <v>0</v>
      </c>
      <c r="AZ466" s="49">
        <v>0</v>
      </c>
      <c r="BA466" s="50">
        <v>0</v>
      </c>
      <c r="BB466" s="49">
        <v>14</v>
      </c>
      <c r="BC466" s="50">
        <v>100</v>
      </c>
      <c r="BD466" s="49">
        <v>14</v>
      </c>
      <c r="BE466" s="49"/>
      <c r="BF466" s="49"/>
      <c r="BG466" s="49"/>
      <c r="BH466" s="49"/>
      <c r="BI466" s="49"/>
      <c r="BJ466" s="49"/>
      <c r="BK466" s="111" t="s">
        <v>4023</v>
      </c>
      <c r="BL466" s="111" t="s">
        <v>4023</v>
      </c>
      <c r="BM466" s="111" t="s">
        <v>4487</v>
      </c>
      <c r="BN466" s="111" t="s">
        <v>4487</v>
      </c>
      <c r="BO466" s="2"/>
      <c r="BP466" s="3"/>
      <c r="BQ466" s="3"/>
      <c r="BR466" s="3"/>
      <c r="BS466" s="3"/>
    </row>
    <row r="467" spans="1:71" ht="15">
      <c r="A467" s="65" t="s">
        <v>665</v>
      </c>
      <c r="B467" s="66"/>
      <c r="C467" s="66"/>
      <c r="D467" s="67">
        <v>150</v>
      </c>
      <c r="E467" s="69"/>
      <c r="F467" s="103" t="str">
        <f>HYPERLINK("https://yt3.ggpht.com/ytc/AAUvwngst2bvkuoIcPRIj5cJfRT9jR2FExnDyhwlHom9onA=s88-c-k-c0x00ffffff-no-rj")</f>
        <v>https://yt3.ggpht.com/ytc/AAUvwngst2bvkuoIcPRIj5cJfRT9jR2FExnDyhwlHom9onA=s88-c-k-c0x00ffffff-no-rj</v>
      </c>
      <c r="G467" s="66"/>
      <c r="H467" s="70" t="s">
        <v>2024</v>
      </c>
      <c r="I467" s="71"/>
      <c r="J467" s="71" t="s">
        <v>159</v>
      </c>
      <c r="K467" s="70" t="s">
        <v>2024</v>
      </c>
      <c r="L467" s="74">
        <v>1</v>
      </c>
      <c r="M467" s="75">
        <v>8735.8564453125</v>
      </c>
      <c r="N467" s="75">
        <v>1679.745361328125</v>
      </c>
      <c r="O467" s="76"/>
      <c r="P467" s="77"/>
      <c r="Q467" s="77"/>
      <c r="R467" s="89"/>
      <c r="S467" s="49">
        <v>0</v>
      </c>
      <c r="T467" s="49">
        <v>1</v>
      </c>
      <c r="U467" s="50">
        <v>0</v>
      </c>
      <c r="V467" s="50">
        <v>0.001984</v>
      </c>
      <c r="W467" s="50">
        <v>0.000785</v>
      </c>
      <c r="X467" s="50">
        <v>0.565141</v>
      </c>
      <c r="Y467" s="50">
        <v>0</v>
      </c>
      <c r="Z467" s="50">
        <v>0</v>
      </c>
      <c r="AA467" s="72">
        <v>467</v>
      </c>
      <c r="AB467" s="72"/>
      <c r="AC467" s="73"/>
      <c r="AD467" s="80" t="s">
        <v>2024</v>
      </c>
      <c r="AE467" s="80"/>
      <c r="AF467" s="80"/>
      <c r="AG467" s="80"/>
      <c r="AH467" s="80"/>
      <c r="AI467" s="80"/>
      <c r="AJ467" s="87">
        <v>42403.733831018515</v>
      </c>
      <c r="AK467" s="85" t="str">
        <f>HYPERLINK("https://yt3.ggpht.com/ytc/AAUvwngst2bvkuoIcPRIj5cJfRT9jR2FExnDyhwlHom9onA=s88-c-k-c0x00ffffff-no-rj")</f>
        <v>https://yt3.ggpht.com/ytc/AAUvwngst2bvkuoIcPRIj5cJfRT9jR2FExnDyhwlHom9onA=s88-c-k-c0x00ffffff-no-rj</v>
      </c>
      <c r="AL467" s="80">
        <v>0</v>
      </c>
      <c r="AM467" s="80">
        <v>0</v>
      </c>
      <c r="AN467" s="80">
        <v>1</v>
      </c>
      <c r="AO467" s="80" t="b">
        <v>0</v>
      </c>
      <c r="AP467" s="80">
        <v>0</v>
      </c>
      <c r="AQ467" s="80"/>
      <c r="AR467" s="80"/>
      <c r="AS467" s="80" t="s">
        <v>2664</v>
      </c>
      <c r="AT467" s="85" t="str">
        <f>HYPERLINK("https://www.youtube.com/channel/UCKdb07gLpfoaRFEHOwmsMDQ")</f>
        <v>https://www.youtube.com/channel/UCKdb07gLpfoaRFEHOwmsMDQ</v>
      </c>
      <c r="AU467" s="80" t="str">
        <f>REPLACE(INDEX(GroupVertices[Group],MATCH(Vertices[[#This Row],[Vertex]],GroupVertices[Vertex],0)),1,1,"")</f>
        <v>17</v>
      </c>
      <c r="AV467" s="49">
        <v>1</v>
      </c>
      <c r="AW467" s="50">
        <v>6.25</v>
      </c>
      <c r="AX467" s="49">
        <v>1</v>
      </c>
      <c r="AY467" s="50">
        <v>6.25</v>
      </c>
      <c r="AZ467" s="49">
        <v>0</v>
      </c>
      <c r="BA467" s="50">
        <v>0</v>
      </c>
      <c r="BB467" s="49">
        <v>14</v>
      </c>
      <c r="BC467" s="50">
        <v>87.5</v>
      </c>
      <c r="BD467" s="49">
        <v>16</v>
      </c>
      <c r="BE467" s="49"/>
      <c r="BF467" s="49"/>
      <c r="BG467" s="49"/>
      <c r="BH467" s="49"/>
      <c r="BI467" s="49"/>
      <c r="BJ467" s="49"/>
      <c r="BK467" s="111" t="s">
        <v>4024</v>
      </c>
      <c r="BL467" s="111" t="s">
        <v>4024</v>
      </c>
      <c r="BM467" s="111" t="s">
        <v>4488</v>
      </c>
      <c r="BN467" s="111" t="s">
        <v>4488</v>
      </c>
      <c r="BO467" s="2"/>
      <c r="BP467" s="3"/>
      <c r="BQ467" s="3"/>
      <c r="BR467" s="3"/>
      <c r="BS467" s="3"/>
    </row>
    <row r="468" spans="1:71" ht="15">
      <c r="A468" s="65" t="s">
        <v>666</v>
      </c>
      <c r="B468" s="66"/>
      <c r="C468" s="66"/>
      <c r="D468" s="67">
        <v>150</v>
      </c>
      <c r="E468" s="69"/>
      <c r="F468" s="103" t="str">
        <f>HYPERLINK("https://yt3.ggpht.com/ytc/AAUvwnhwTye3qEioARVAyTkQ5zMomn2yBZO_u8oQ1av2dg=s88-c-k-c0x00ffffff-no-rj")</f>
        <v>https://yt3.ggpht.com/ytc/AAUvwnhwTye3qEioARVAyTkQ5zMomn2yBZO_u8oQ1av2dg=s88-c-k-c0x00ffffff-no-rj</v>
      </c>
      <c r="G468" s="66"/>
      <c r="H468" s="70" t="s">
        <v>2025</v>
      </c>
      <c r="I468" s="71"/>
      <c r="J468" s="71" t="s">
        <v>159</v>
      </c>
      <c r="K468" s="70" t="s">
        <v>2025</v>
      </c>
      <c r="L468" s="74">
        <v>1</v>
      </c>
      <c r="M468" s="75">
        <v>8735.8564453125</v>
      </c>
      <c r="N468" s="75">
        <v>1282.38623046875</v>
      </c>
      <c r="O468" s="76"/>
      <c r="P468" s="77"/>
      <c r="Q468" s="77"/>
      <c r="R468" s="89"/>
      <c r="S468" s="49">
        <v>0</v>
      </c>
      <c r="T468" s="49">
        <v>1</v>
      </c>
      <c r="U468" s="50">
        <v>0</v>
      </c>
      <c r="V468" s="50">
        <v>0.001984</v>
      </c>
      <c r="W468" s="50">
        <v>0.000785</v>
      </c>
      <c r="X468" s="50">
        <v>0.565141</v>
      </c>
      <c r="Y468" s="50">
        <v>0</v>
      </c>
      <c r="Z468" s="50">
        <v>0</v>
      </c>
      <c r="AA468" s="72">
        <v>468</v>
      </c>
      <c r="AB468" s="72"/>
      <c r="AC468" s="73"/>
      <c r="AD468" s="80" t="s">
        <v>2025</v>
      </c>
      <c r="AE468" s="80"/>
      <c r="AF468" s="80"/>
      <c r="AG468" s="80"/>
      <c r="AH468" s="80"/>
      <c r="AI468" s="80"/>
      <c r="AJ468" s="87">
        <v>43286.986296296294</v>
      </c>
      <c r="AK468" s="85" t="str">
        <f>HYPERLINK("https://yt3.ggpht.com/ytc/AAUvwnhwTye3qEioARVAyTkQ5zMomn2yBZO_u8oQ1av2dg=s88-c-k-c0x00ffffff-no-rj")</f>
        <v>https://yt3.ggpht.com/ytc/AAUvwnhwTye3qEioARVAyTkQ5zMomn2yBZO_u8oQ1av2dg=s88-c-k-c0x00ffffff-no-rj</v>
      </c>
      <c r="AL468" s="80">
        <v>0</v>
      </c>
      <c r="AM468" s="80">
        <v>0</v>
      </c>
      <c r="AN468" s="80">
        <v>26</v>
      </c>
      <c r="AO468" s="80" t="b">
        <v>0</v>
      </c>
      <c r="AP468" s="80">
        <v>0</v>
      </c>
      <c r="AQ468" s="80"/>
      <c r="AR468" s="80"/>
      <c r="AS468" s="80" t="s">
        <v>2664</v>
      </c>
      <c r="AT468" s="85" t="str">
        <f>HYPERLINK("https://www.youtube.com/channel/UCkdMu2dHteksfRJgJRvgeXA")</f>
        <v>https://www.youtube.com/channel/UCkdMu2dHteksfRJgJRvgeXA</v>
      </c>
      <c r="AU468" s="80" t="str">
        <f>REPLACE(INDEX(GroupVertices[Group],MATCH(Vertices[[#This Row],[Vertex]],GroupVertices[Vertex],0)),1,1,"")</f>
        <v>17</v>
      </c>
      <c r="AV468" s="49">
        <v>2</v>
      </c>
      <c r="AW468" s="50">
        <v>25</v>
      </c>
      <c r="AX468" s="49">
        <v>0</v>
      </c>
      <c r="AY468" s="50">
        <v>0</v>
      </c>
      <c r="AZ468" s="49">
        <v>0</v>
      </c>
      <c r="BA468" s="50">
        <v>0</v>
      </c>
      <c r="BB468" s="49">
        <v>6</v>
      </c>
      <c r="BC468" s="50">
        <v>75</v>
      </c>
      <c r="BD468" s="49">
        <v>8</v>
      </c>
      <c r="BE468" s="49"/>
      <c r="BF468" s="49"/>
      <c r="BG468" s="49"/>
      <c r="BH468" s="49"/>
      <c r="BI468" s="49"/>
      <c r="BJ468" s="49"/>
      <c r="BK468" s="111" t="s">
        <v>4025</v>
      </c>
      <c r="BL468" s="111" t="s">
        <v>4025</v>
      </c>
      <c r="BM468" s="111" t="s">
        <v>4489</v>
      </c>
      <c r="BN468" s="111" t="s">
        <v>4489</v>
      </c>
      <c r="BO468" s="2"/>
      <c r="BP468" s="3"/>
      <c r="BQ468" s="3"/>
      <c r="BR468" s="3"/>
      <c r="BS468" s="3"/>
    </row>
    <row r="469" spans="1:71" ht="15">
      <c r="A469" s="65" t="s">
        <v>668</v>
      </c>
      <c r="B469" s="66"/>
      <c r="C469" s="66"/>
      <c r="D469" s="67">
        <v>150</v>
      </c>
      <c r="E469" s="69"/>
      <c r="F469" s="103" t="str">
        <f>HYPERLINK("https://yt3.ggpht.com/ytc/AAUvwnjDYFrFpO47OyFMuZfrH0hEmwhC1y6ATTaiYg=s88-c-k-c0x00ffffff-no-rj")</f>
        <v>https://yt3.ggpht.com/ytc/AAUvwnjDYFrFpO47OyFMuZfrH0hEmwhC1y6ATTaiYg=s88-c-k-c0x00ffffff-no-rj</v>
      </c>
      <c r="G469" s="66"/>
      <c r="H469" s="70" t="s">
        <v>2027</v>
      </c>
      <c r="I469" s="71"/>
      <c r="J469" s="71" t="s">
        <v>159</v>
      </c>
      <c r="K469" s="70" t="s">
        <v>2027</v>
      </c>
      <c r="L469" s="74">
        <v>1</v>
      </c>
      <c r="M469" s="75">
        <v>1246.6700439453125</v>
      </c>
      <c r="N469" s="75">
        <v>4336.0341796875</v>
      </c>
      <c r="O469" s="76"/>
      <c r="P469" s="77"/>
      <c r="Q469" s="77"/>
      <c r="R469" s="89"/>
      <c r="S469" s="49">
        <v>0</v>
      </c>
      <c r="T469" s="49">
        <v>1</v>
      </c>
      <c r="U469" s="50">
        <v>0</v>
      </c>
      <c r="V469" s="50">
        <v>0.001969</v>
      </c>
      <c r="W469" s="50">
        <v>0.000772</v>
      </c>
      <c r="X469" s="50">
        <v>0.575828</v>
      </c>
      <c r="Y469" s="50">
        <v>0</v>
      </c>
      <c r="Z469" s="50">
        <v>0</v>
      </c>
      <c r="AA469" s="72">
        <v>469</v>
      </c>
      <c r="AB469" s="72"/>
      <c r="AC469" s="73"/>
      <c r="AD469" s="80" t="s">
        <v>2027</v>
      </c>
      <c r="AE469" s="80" t="s">
        <v>2568</v>
      </c>
      <c r="AF469" s="80"/>
      <c r="AG469" s="80"/>
      <c r="AH469" s="80"/>
      <c r="AI469" s="80"/>
      <c r="AJ469" s="87">
        <v>44268.486342592594</v>
      </c>
      <c r="AK469" s="85" t="str">
        <f>HYPERLINK("https://yt3.ggpht.com/ytc/AAUvwnjDYFrFpO47OyFMuZfrH0hEmwhC1y6ATTaiYg=s88-c-k-c0x00ffffff-no-rj")</f>
        <v>https://yt3.ggpht.com/ytc/AAUvwnjDYFrFpO47OyFMuZfrH0hEmwhC1y6ATTaiYg=s88-c-k-c0x00ffffff-no-rj</v>
      </c>
      <c r="AL469" s="80">
        <v>0</v>
      </c>
      <c r="AM469" s="80">
        <v>0</v>
      </c>
      <c r="AN469" s="80">
        <v>0</v>
      </c>
      <c r="AO469" s="80" t="b">
        <v>0</v>
      </c>
      <c r="AP469" s="80">
        <v>0</v>
      </c>
      <c r="AQ469" s="80"/>
      <c r="AR469" s="80"/>
      <c r="AS469" s="80" t="s">
        <v>2664</v>
      </c>
      <c r="AT469" s="85" t="str">
        <f>HYPERLINK("https://www.youtube.com/channel/UCrvq4-9ue3zD7zQbC1FhHxQ")</f>
        <v>https://www.youtube.com/channel/UCrvq4-9ue3zD7zQbC1FhHxQ</v>
      </c>
      <c r="AU469" s="80" t="str">
        <f>REPLACE(INDEX(GroupVertices[Group],MATCH(Vertices[[#This Row],[Vertex]],GroupVertices[Vertex],0)),1,1,"")</f>
        <v>1</v>
      </c>
      <c r="AV469" s="49">
        <v>0</v>
      </c>
      <c r="AW469" s="50">
        <v>0</v>
      </c>
      <c r="AX469" s="49">
        <v>0</v>
      </c>
      <c r="AY469" s="50">
        <v>0</v>
      </c>
      <c r="AZ469" s="49">
        <v>0</v>
      </c>
      <c r="BA469" s="50">
        <v>0</v>
      </c>
      <c r="BB469" s="49">
        <v>8</v>
      </c>
      <c r="BC469" s="50">
        <v>100</v>
      </c>
      <c r="BD469" s="49">
        <v>8</v>
      </c>
      <c r="BE469" s="49"/>
      <c r="BF469" s="49"/>
      <c r="BG469" s="49"/>
      <c r="BH469" s="49"/>
      <c r="BI469" s="49"/>
      <c r="BJ469" s="49"/>
      <c r="BK469" s="111" t="s">
        <v>2390</v>
      </c>
      <c r="BL469" s="111" t="s">
        <v>2390</v>
      </c>
      <c r="BM469" s="111" t="s">
        <v>2390</v>
      </c>
      <c r="BN469" s="111" t="s">
        <v>2390</v>
      </c>
      <c r="BO469" s="2"/>
      <c r="BP469" s="3"/>
      <c r="BQ469" s="3"/>
      <c r="BR469" s="3"/>
      <c r="BS469" s="3"/>
    </row>
    <row r="470" spans="1:71" ht="15">
      <c r="A470" s="65" t="s">
        <v>669</v>
      </c>
      <c r="B470" s="66"/>
      <c r="C470" s="66"/>
      <c r="D470" s="67">
        <v>291.66666666666663</v>
      </c>
      <c r="E470" s="69"/>
      <c r="F470" s="103" t="str">
        <f>HYPERLINK("https://yt3.ggpht.com/ytc/AAUvwnih-iWszzmqL16_-gTEi2TDMO9Aqzr71xB8gomI=s88-c-k-c0x00ffffff-no-rj")</f>
        <v>https://yt3.ggpht.com/ytc/AAUvwnih-iWszzmqL16_-gTEi2TDMO9Aqzr71xB8gomI=s88-c-k-c0x00ffffff-no-rj</v>
      </c>
      <c r="G470" s="66"/>
      <c r="H470" s="70" t="s">
        <v>2028</v>
      </c>
      <c r="I470" s="71"/>
      <c r="J470" s="71" t="s">
        <v>159</v>
      </c>
      <c r="K470" s="70" t="s">
        <v>2028</v>
      </c>
      <c r="L470" s="74">
        <v>96.21904761904761</v>
      </c>
      <c r="M470" s="75">
        <v>1414.3814697265625</v>
      </c>
      <c r="N470" s="75">
        <v>5656.21435546875</v>
      </c>
      <c r="O470" s="76"/>
      <c r="P470" s="77"/>
      <c r="Q470" s="77"/>
      <c r="R470" s="89"/>
      <c r="S470" s="49">
        <v>1</v>
      </c>
      <c r="T470" s="49">
        <v>1</v>
      </c>
      <c r="U470" s="50">
        <v>306</v>
      </c>
      <c r="V470" s="50">
        <v>0.002817</v>
      </c>
      <c r="W470" s="50">
        <v>0.008315</v>
      </c>
      <c r="X470" s="50">
        <v>1.001948</v>
      </c>
      <c r="Y470" s="50">
        <v>0</v>
      </c>
      <c r="Z470" s="50">
        <v>0</v>
      </c>
      <c r="AA470" s="72">
        <v>470</v>
      </c>
      <c r="AB470" s="72"/>
      <c r="AC470" s="73"/>
      <c r="AD470" s="80" t="s">
        <v>2028</v>
      </c>
      <c r="AE470" s="80"/>
      <c r="AF470" s="80"/>
      <c r="AG470" s="80"/>
      <c r="AH470" s="80"/>
      <c r="AI470" s="80"/>
      <c r="AJ470" s="87">
        <v>43309.52506944445</v>
      </c>
      <c r="AK470" s="85" t="str">
        <f>HYPERLINK("https://yt3.ggpht.com/ytc/AAUvwnih-iWszzmqL16_-gTEi2TDMO9Aqzr71xB8gomI=s88-c-k-c0x00ffffff-no-rj")</f>
        <v>https://yt3.ggpht.com/ytc/AAUvwnih-iWszzmqL16_-gTEi2TDMO9Aqzr71xB8gomI=s88-c-k-c0x00ffffff-no-rj</v>
      </c>
      <c r="AL470" s="80">
        <v>0</v>
      </c>
      <c r="AM470" s="80">
        <v>0</v>
      </c>
      <c r="AN470" s="80">
        <v>1</v>
      </c>
      <c r="AO470" s="80" t="b">
        <v>0</v>
      </c>
      <c r="AP470" s="80">
        <v>0</v>
      </c>
      <c r="AQ470" s="80"/>
      <c r="AR470" s="80"/>
      <c r="AS470" s="80" t="s">
        <v>2664</v>
      </c>
      <c r="AT470" s="85" t="str">
        <f>HYPERLINK("https://www.youtube.com/channel/UC5KdbVBELGZM5PzMhwz_4wA")</f>
        <v>https://www.youtube.com/channel/UC5KdbVBELGZM5PzMhwz_4wA</v>
      </c>
      <c r="AU470" s="80" t="str">
        <f>REPLACE(INDEX(GroupVertices[Group],MATCH(Vertices[[#This Row],[Vertex]],GroupVertices[Vertex],0)),1,1,"")</f>
        <v>1</v>
      </c>
      <c r="AV470" s="49">
        <v>0</v>
      </c>
      <c r="AW470" s="50">
        <v>0</v>
      </c>
      <c r="AX470" s="49">
        <v>0</v>
      </c>
      <c r="AY470" s="50">
        <v>0</v>
      </c>
      <c r="AZ470" s="49">
        <v>0</v>
      </c>
      <c r="BA470" s="50">
        <v>0</v>
      </c>
      <c r="BB470" s="49">
        <v>6</v>
      </c>
      <c r="BC470" s="50">
        <v>100</v>
      </c>
      <c r="BD470" s="49">
        <v>6</v>
      </c>
      <c r="BE470" s="49"/>
      <c r="BF470" s="49"/>
      <c r="BG470" s="49"/>
      <c r="BH470" s="49"/>
      <c r="BI470" s="49"/>
      <c r="BJ470" s="49"/>
      <c r="BK470" s="111" t="s">
        <v>4026</v>
      </c>
      <c r="BL470" s="111" t="s">
        <v>4026</v>
      </c>
      <c r="BM470" s="111" t="s">
        <v>4490</v>
      </c>
      <c r="BN470" s="111" t="s">
        <v>4490</v>
      </c>
      <c r="BO470" s="2"/>
      <c r="BP470" s="3"/>
      <c r="BQ470" s="3"/>
      <c r="BR470" s="3"/>
      <c r="BS470" s="3"/>
    </row>
    <row r="471" spans="1:71" ht="15">
      <c r="A471" s="65" t="s">
        <v>670</v>
      </c>
      <c r="B471" s="66"/>
      <c r="C471" s="66"/>
      <c r="D471" s="67">
        <v>150</v>
      </c>
      <c r="E471" s="69"/>
      <c r="F471" s="103" t="str">
        <f>HYPERLINK("https://yt3.ggpht.com/ytc/AAUvwng-Qn8xBy5dpCj1-XJLla3qK_M2wUD9G_gHTw=s88-c-k-c0x00ffffff-no-rj")</f>
        <v>https://yt3.ggpht.com/ytc/AAUvwng-Qn8xBy5dpCj1-XJLla3qK_M2wUD9G_gHTw=s88-c-k-c0x00ffffff-no-rj</v>
      </c>
      <c r="G471" s="66"/>
      <c r="H471" s="70" t="s">
        <v>2029</v>
      </c>
      <c r="I471" s="71"/>
      <c r="J471" s="71" t="s">
        <v>159</v>
      </c>
      <c r="K471" s="70" t="s">
        <v>2029</v>
      </c>
      <c r="L471" s="74">
        <v>1</v>
      </c>
      <c r="M471" s="75">
        <v>2335.532470703125</v>
      </c>
      <c r="N471" s="75">
        <v>7216.427734375</v>
      </c>
      <c r="O471" s="76"/>
      <c r="P471" s="77"/>
      <c r="Q471" s="77"/>
      <c r="R471" s="89"/>
      <c r="S471" s="49">
        <v>0</v>
      </c>
      <c r="T471" s="49">
        <v>1</v>
      </c>
      <c r="U471" s="50">
        <v>0</v>
      </c>
      <c r="V471" s="50">
        <v>0.002801</v>
      </c>
      <c r="W471" s="50">
        <v>0.008244</v>
      </c>
      <c r="X471" s="50">
        <v>0.512495</v>
      </c>
      <c r="Y471" s="50">
        <v>0</v>
      </c>
      <c r="Z471" s="50">
        <v>0</v>
      </c>
      <c r="AA471" s="72">
        <v>471</v>
      </c>
      <c r="AB471" s="72"/>
      <c r="AC471" s="73"/>
      <c r="AD471" s="80" t="s">
        <v>2029</v>
      </c>
      <c r="AE471" s="80"/>
      <c r="AF471" s="80"/>
      <c r="AG471" s="80"/>
      <c r="AH471" s="80"/>
      <c r="AI471" s="80"/>
      <c r="AJ471" s="87">
        <v>42963.747037037036</v>
      </c>
      <c r="AK471" s="85" t="str">
        <f>HYPERLINK("https://yt3.ggpht.com/ytc/AAUvwng-Qn8xBy5dpCj1-XJLla3qK_M2wUD9G_gHTw=s88-c-k-c0x00ffffff-no-rj")</f>
        <v>https://yt3.ggpht.com/ytc/AAUvwng-Qn8xBy5dpCj1-XJLla3qK_M2wUD9G_gHTw=s88-c-k-c0x00ffffff-no-rj</v>
      </c>
      <c r="AL471" s="80">
        <v>0</v>
      </c>
      <c r="AM471" s="80">
        <v>0</v>
      </c>
      <c r="AN471" s="80">
        <v>0</v>
      </c>
      <c r="AO471" s="80" t="b">
        <v>0</v>
      </c>
      <c r="AP471" s="80">
        <v>0</v>
      </c>
      <c r="AQ471" s="80"/>
      <c r="AR471" s="80"/>
      <c r="AS471" s="80" t="s">
        <v>2664</v>
      </c>
      <c r="AT471" s="85" t="str">
        <f>HYPERLINK("https://www.youtube.com/channel/UC48sVYoCWpdhnNhGvTaK81Q")</f>
        <v>https://www.youtube.com/channel/UC48sVYoCWpdhnNhGvTaK81Q</v>
      </c>
      <c r="AU471" s="80" t="str">
        <f>REPLACE(INDEX(GroupVertices[Group],MATCH(Vertices[[#This Row],[Vertex]],GroupVertices[Vertex],0)),1,1,"")</f>
        <v>1</v>
      </c>
      <c r="AV471" s="49">
        <v>0</v>
      </c>
      <c r="AW471" s="50">
        <v>0</v>
      </c>
      <c r="AX471" s="49">
        <v>0</v>
      </c>
      <c r="AY471" s="50">
        <v>0</v>
      </c>
      <c r="AZ471" s="49">
        <v>0</v>
      </c>
      <c r="BA471" s="50">
        <v>0</v>
      </c>
      <c r="BB471" s="49">
        <v>6</v>
      </c>
      <c r="BC471" s="50">
        <v>100</v>
      </c>
      <c r="BD471" s="49">
        <v>6</v>
      </c>
      <c r="BE471" s="49"/>
      <c r="BF471" s="49"/>
      <c r="BG471" s="49"/>
      <c r="BH471" s="49"/>
      <c r="BI471" s="49"/>
      <c r="BJ471" s="49"/>
      <c r="BK471" s="111" t="s">
        <v>4027</v>
      </c>
      <c r="BL471" s="111" t="s">
        <v>4027</v>
      </c>
      <c r="BM471" s="111" t="s">
        <v>4491</v>
      </c>
      <c r="BN471" s="111" t="s">
        <v>4491</v>
      </c>
      <c r="BO471" s="2"/>
      <c r="BP471" s="3"/>
      <c r="BQ471" s="3"/>
      <c r="BR471" s="3"/>
      <c r="BS471" s="3"/>
    </row>
    <row r="472" spans="1:71" ht="15">
      <c r="A472" s="65" t="s">
        <v>671</v>
      </c>
      <c r="B472" s="66"/>
      <c r="C472" s="66"/>
      <c r="D472" s="67">
        <v>150</v>
      </c>
      <c r="E472" s="69"/>
      <c r="F472" s="103" t="str">
        <f>HYPERLINK("https://yt3.ggpht.com/ytc/AAUvwngk0zGVbPYSIE7LstySXK1SZPdMdv8VNHBnGg=s88-c-k-c0x00ffffff-no-rj")</f>
        <v>https://yt3.ggpht.com/ytc/AAUvwngk0zGVbPYSIE7LstySXK1SZPdMdv8VNHBnGg=s88-c-k-c0x00ffffff-no-rj</v>
      </c>
      <c r="G472" s="66"/>
      <c r="H472" s="70" t="s">
        <v>2030</v>
      </c>
      <c r="I472" s="71"/>
      <c r="J472" s="71" t="s">
        <v>159</v>
      </c>
      <c r="K472" s="70" t="s">
        <v>2030</v>
      </c>
      <c r="L472" s="74">
        <v>1</v>
      </c>
      <c r="M472" s="75">
        <v>1671.430419921875</v>
      </c>
      <c r="N472" s="75">
        <v>8067.83837890625</v>
      </c>
      <c r="O472" s="76"/>
      <c r="P472" s="77"/>
      <c r="Q472" s="77"/>
      <c r="R472" s="89"/>
      <c r="S472" s="49">
        <v>0</v>
      </c>
      <c r="T472" s="49">
        <v>1</v>
      </c>
      <c r="U472" s="50">
        <v>0</v>
      </c>
      <c r="V472" s="50">
        <v>0.002801</v>
      </c>
      <c r="W472" s="50">
        <v>0.008244</v>
      </c>
      <c r="X472" s="50">
        <v>0.512495</v>
      </c>
      <c r="Y472" s="50">
        <v>0</v>
      </c>
      <c r="Z472" s="50">
        <v>0</v>
      </c>
      <c r="AA472" s="72">
        <v>472</v>
      </c>
      <c r="AB472" s="72"/>
      <c r="AC472" s="73"/>
      <c r="AD472" s="80" t="s">
        <v>2030</v>
      </c>
      <c r="AE472" s="80"/>
      <c r="AF472" s="80"/>
      <c r="AG472" s="80"/>
      <c r="AH472" s="80"/>
      <c r="AI472" s="80"/>
      <c r="AJ472" s="87">
        <v>43755.94384259259</v>
      </c>
      <c r="AK472" s="85" t="str">
        <f>HYPERLINK("https://yt3.ggpht.com/ytc/AAUvwngk0zGVbPYSIE7LstySXK1SZPdMdv8VNHBnGg=s88-c-k-c0x00ffffff-no-rj")</f>
        <v>https://yt3.ggpht.com/ytc/AAUvwngk0zGVbPYSIE7LstySXK1SZPdMdv8VNHBnGg=s88-c-k-c0x00ffffff-no-rj</v>
      </c>
      <c r="AL472" s="80">
        <v>0</v>
      </c>
      <c r="AM472" s="80">
        <v>0</v>
      </c>
      <c r="AN472" s="80">
        <v>1</v>
      </c>
      <c r="AO472" s="80" t="b">
        <v>0</v>
      </c>
      <c r="AP472" s="80">
        <v>0</v>
      </c>
      <c r="AQ472" s="80"/>
      <c r="AR472" s="80"/>
      <c r="AS472" s="80" t="s">
        <v>2664</v>
      </c>
      <c r="AT472" s="85" t="str">
        <f>HYPERLINK("https://www.youtube.com/channel/UCITVf0ZheF8SsTFvr4P1QmA")</f>
        <v>https://www.youtube.com/channel/UCITVf0ZheF8SsTFvr4P1QmA</v>
      </c>
      <c r="AU472" s="80" t="str">
        <f>REPLACE(INDEX(GroupVertices[Group],MATCH(Vertices[[#This Row],[Vertex]],GroupVertices[Vertex],0)),1,1,"")</f>
        <v>1</v>
      </c>
      <c r="AV472" s="49">
        <v>1</v>
      </c>
      <c r="AW472" s="50">
        <v>4</v>
      </c>
      <c r="AX472" s="49">
        <v>0</v>
      </c>
      <c r="AY472" s="50">
        <v>0</v>
      </c>
      <c r="AZ472" s="49">
        <v>0</v>
      </c>
      <c r="BA472" s="50">
        <v>0</v>
      </c>
      <c r="BB472" s="49">
        <v>24</v>
      </c>
      <c r="BC472" s="50">
        <v>96</v>
      </c>
      <c r="BD472" s="49">
        <v>25</v>
      </c>
      <c r="BE472" s="49"/>
      <c r="BF472" s="49"/>
      <c r="BG472" s="49"/>
      <c r="BH472" s="49"/>
      <c r="BI472" s="49"/>
      <c r="BJ472" s="49"/>
      <c r="BK472" s="111" t="s">
        <v>4028</v>
      </c>
      <c r="BL472" s="111" t="s">
        <v>4028</v>
      </c>
      <c r="BM472" s="111" t="s">
        <v>4492</v>
      </c>
      <c r="BN472" s="111" t="s">
        <v>4492</v>
      </c>
      <c r="BO472" s="2"/>
      <c r="BP472" s="3"/>
      <c r="BQ472" s="3"/>
      <c r="BR472" s="3"/>
      <c r="BS472" s="3"/>
    </row>
    <row r="473" spans="1:71" ht="15">
      <c r="A473" s="65" t="s">
        <v>672</v>
      </c>
      <c r="B473" s="66"/>
      <c r="C473" s="66"/>
      <c r="D473" s="67">
        <v>150</v>
      </c>
      <c r="E473" s="69"/>
      <c r="F473" s="103" t="str">
        <f>HYPERLINK("https://yt3.ggpht.com/ytc/AAUvwngeaY7bcVn9AbWOm4dwGfN0QXiRwgp330pHkTreJQ=s88-c-k-c0x00ffffff-no-rj")</f>
        <v>https://yt3.ggpht.com/ytc/AAUvwngeaY7bcVn9AbWOm4dwGfN0QXiRwgp330pHkTreJQ=s88-c-k-c0x00ffffff-no-rj</v>
      </c>
      <c r="G473" s="66"/>
      <c r="H473" s="70" t="s">
        <v>2031</v>
      </c>
      <c r="I473" s="71"/>
      <c r="J473" s="71" t="s">
        <v>159</v>
      </c>
      <c r="K473" s="70" t="s">
        <v>2031</v>
      </c>
      <c r="L473" s="74">
        <v>1</v>
      </c>
      <c r="M473" s="75">
        <v>1783.12255859375</v>
      </c>
      <c r="N473" s="75">
        <v>8351.9375</v>
      </c>
      <c r="O473" s="76"/>
      <c r="P473" s="77"/>
      <c r="Q473" s="77"/>
      <c r="R473" s="89"/>
      <c r="S473" s="49">
        <v>0</v>
      </c>
      <c r="T473" s="49">
        <v>1</v>
      </c>
      <c r="U473" s="50">
        <v>0</v>
      </c>
      <c r="V473" s="50">
        <v>0.002801</v>
      </c>
      <c r="W473" s="50">
        <v>0.008244</v>
      </c>
      <c r="X473" s="50">
        <v>0.512495</v>
      </c>
      <c r="Y473" s="50">
        <v>0</v>
      </c>
      <c r="Z473" s="50">
        <v>0</v>
      </c>
      <c r="AA473" s="72">
        <v>473</v>
      </c>
      <c r="AB473" s="72"/>
      <c r="AC473" s="73"/>
      <c r="AD473" s="80" t="s">
        <v>2031</v>
      </c>
      <c r="AE473" s="80" t="s">
        <v>2569</v>
      </c>
      <c r="AF473" s="80"/>
      <c r="AG473" s="80"/>
      <c r="AH473" s="80"/>
      <c r="AI473" s="80"/>
      <c r="AJ473" s="87">
        <v>42489.86945601852</v>
      </c>
      <c r="AK473" s="85" t="str">
        <f>HYPERLINK("https://yt3.ggpht.com/ytc/AAUvwngeaY7bcVn9AbWOm4dwGfN0QXiRwgp330pHkTreJQ=s88-c-k-c0x00ffffff-no-rj")</f>
        <v>https://yt3.ggpht.com/ytc/AAUvwngeaY7bcVn9AbWOm4dwGfN0QXiRwgp330pHkTreJQ=s88-c-k-c0x00ffffff-no-rj</v>
      </c>
      <c r="AL473" s="80">
        <v>0</v>
      </c>
      <c r="AM473" s="80">
        <v>0</v>
      </c>
      <c r="AN473" s="80">
        <v>6</v>
      </c>
      <c r="AO473" s="80" t="b">
        <v>0</v>
      </c>
      <c r="AP473" s="80">
        <v>0</v>
      </c>
      <c r="AQ473" s="80"/>
      <c r="AR473" s="80"/>
      <c r="AS473" s="80" t="s">
        <v>2664</v>
      </c>
      <c r="AT473" s="85" t="str">
        <f>HYPERLINK("https://www.youtube.com/channel/UCrmJq1swDtEgpnj8Ea89Ksw")</f>
        <v>https://www.youtube.com/channel/UCrmJq1swDtEgpnj8Ea89Ksw</v>
      </c>
      <c r="AU473" s="80" t="str">
        <f>REPLACE(INDEX(GroupVertices[Group],MATCH(Vertices[[#This Row],[Vertex]],GroupVertices[Vertex],0)),1,1,"")</f>
        <v>1</v>
      </c>
      <c r="AV473" s="49">
        <v>0</v>
      </c>
      <c r="AW473" s="50">
        <v>0</v>
      </c>
      <c r="AX473" s="49">
        <v>0</v>
      </c>
      <c r="AY473" s="50">
        <v>0</v>
      </c>
      <c r="AZ473" s="49">
        <v>0</v>
      </c>
      <c r="BA473" s="50">
        <v>0</v>
      </c>
      <c r="BB473" s="49">
        <v>9</v>
      </c>
      <c r="BC473" s="50">
        <v>100</v>
      </c>
      <c r="BD473" s="49">
        <v>9</v>
      </c>
      <c r="BE473" s="49"/>
      <c r="BF473" s="49"/>
      <c r="BG473" s="49"/>
      <c r="BH473" s="49"/>
      <c r="BI473" s="49"/>
      <c r="BJ473" s="49"/>
      <c r="BK473" s="111" t="s">
        <v>4029</v>
      </c>
      <c r="BL473" s="111" t="s">
        <v>4029</v>
      </c>
      <c r="BM473" s="111" t="s">
        <v>4493</v>
      </c>
      <c r="BN473" s="111" t="s">
        <v>4493</v>
      </c>
      <c r="BO473" s="2"/>
      <c r="BP473" s="3"/>
      <c r="BQ473" s="3"/>
      <c r="BR473" s="3"/>
      <c r="BS473" s="3"/>
    </row>
    <row r="474" spans="1:71" ht="15">
      <c r="A474" s="65" t="s">
        <v>673</v>
      </c>
      <c r="B474" s="66"/>
      <c r="C474" s="66"/>
      <c r="D474" s="67">
        <v>150</v>
      </c>
      <c r="E474" s="69"/>
      <c r="F474" s="103" t="str">
        <f>HYPERLINK("https://yt3.ggpht.com/ytc/AAUvwnjA6msY8kjRcK7LtDc4HhIao0O0iiJipu_rq5VMqg=s88-c-k-c0x00ffffff-no-rj")</f>
        <v>https://yt3.ggpht.com/ytc/AAUvwnjA6msY8kjRcK7LtDc4HhIao0O0iiJipu_rq5VMqg=s88-c-k-c0x00ffffff-no-rj</v>
      </c>
      <c r="G474" s="66"/>
      <c r="H474" s="70" t="s">
        <v>2032</v>
      </c>
      <c r="I474" s="71"/>
      <c r="J474" s="71" t="s">
        <v>159</v>
      </c>
      <c r="K474" s="70" t="s">
        <v>2032</v>
      </c>
      <c r="L474" s="74">
        <v>1</v>
      </c>
      <c r="M474" s="75">
        <v>1897.6934814453125</v>
      </c>
      <c r="N474" s="75">
        <v>6558.9970703125</v>
      </c>
      <c r="O474" s="76"/>
      <c r="P474" s="77"/>
      <c r="Q474" s="77"/>
      <c r="R474" s="89"/>
      <c r="S474" s="49">
        <v>0</v>
      </c>
      <c r="T474" s="49">
        <v>1</v>
      </c>
      <c r="U474" s="50">
        <v>0</v>
      </c>
      <c r="V474" s="50">
        <v>0.002801</v>
      </c>
      <c r="W474" s="50">
        <v>0.008244</v>
      </c>
      <c r="X474" s="50">
        <v>0.512495</v>
      </c>
      <c r="Y474" s="50">
        <v>0</v>
      </c>
      <c r="Z474" s="50">
        <v>0</v>
      </c>
      <c r="AA474" s="72">
        <v>474</v>
      </c>
      <c r="AB474" s="72"/>
      <c r="AC474" s="73"/>
      <c r="AD474" s="80" t="s">
        <v>2032</v>
      </c>
      <c r="AE474" s="80"/>
      <c r="AF474" s="80"/>
      <c r="AG474" s="80"/>
      <c r="AH474" s="80"/>
      <c r="AI474" s="80"/>
      <c r="AJ474" s="87">
        <v>41879.777974537035</v>
      </c>
      <c r="AK474" s="85" t="str">
        <f>HYPERLINK("https://yt3.ggpht.com/ytc/AAUvwnjA6msY8kjRcK7LtDc4HhIao0O0iiJipu_rq5VMqg=s88-c-k-c0x00ffffff-no-rj")</f>
        <v>https://yt3.ggpht.com/ytc/AAUvwnjA6msY8kjRcK7LtDc4HhIao0O0iiJipu_rq5VMqg=s88-c-k-c0x00ffffff-no-rj</v>
      </c>
      <c r="AL474" s="80">
        <v>1</v>
      </c>
      <c r="AM474" s="80">
        <v>0</v>
      </c>
      <c r="AN474" s="80">
        <v>7</v>
      </c>
      <c r="AO474" s="80" t="b">
        <v>0</v>
      </c>
      <c r="AP474" s="80">
        <v>1</v>
      </c>
      <c r="AQ474" s="80"/>
      <c r="AR474" s="80"/>
      <c r="AS474" s="80" t="s">
        <v>2664</v>
      </c>
      <c r="AT474" s="85" t="str">
        <f>HYPERLINK("https://www.youtube.com/channel/UC15ptciKdMDVT7X_JU0ly-Q")</f>
        <v>https://www.youtube.com/channel/UC15ptciKdMDVT7X_JU0ly-Q</v>
      </c>
      <c r="AU474" s="80" t="str">
        <f>REPLACE(INDEX(GroupVertices[Group],MATCH(Vertices[[#This Row],[Vertex]],GroupVertices[Vertex],0)),1,1,"")</f>
        <v>1</v>
      </c>
      <c r="AV474" s="49">
        <v>0</v>
      </c>
      <c r="AW474" s="50">
        <v>0</v>
      </c>
      <c r="AX474" s="49">
        <v>0</v>
      </c>
      <c r="AY474" s="50">
        <v>0</v>
      </c>
      <c r="AZ474" s="49">
        <v>0</v>
      </c>
      <c r="BA474" s="50">
        <v>0</v>
      </c>
      <c r="BB474" s="49">
        <v>0</v>
      </c>
      <c r="BC474" s="50">
        <v>0</v>
      </c>
      <c r="BD474" s="49">
        <v>0</v>
      </c>
      <c r="BE474" s="49"/>
      <c r="BF474" s="49"/>
      <c r="BG474" s="49"/>
      <c r="BH474" s="49"/>
      <c r="BI474" s="49"/>
      <c r="BJ474" s="49"/>
      <c r="BK474" s="111" t="s">
        <v>2390</v>
      </c>
      <c r="BL474" s="111" t="s">
        <v>2390</v>
      </c>
      <c r="BM474" s="111" t="s">
        <v>2390</v>
      </c>
      <c r="BN474" s="111" t="s">
        <v>2390</v>
      </c>
      <c r="BO474" s="2"/>
      <c r="BP474" s="3"/>
      <c r="BQ474" s="3"/>
      <c r="BR474" s="3"/>
      <c r="BS474" s="3"/>
    </row>
    <row r="475" spans="1:71" ht="15">
      <c r="A475" s="65" t="s">
        <v>674</v>
      </c>
      <c r="B475" s="66"/>
      <c r="C475" s="66"/>
      <c r="D475" s="67">
        <v>150</v>
      </c>
      <c r="E475" s="69"/>
      <c r="F475" s="103" t="str">
        <f>HYPERLINK("https://yt3.ggpht.com/ytc/AAUvwni6uA00RsBmimgN8V5ulYicy59Ak9IyVYXw8JXn=s88-c-k-c0x00ffffff-no-rj")</f>
        <v>https://yt3.ggpht.com/ytc/AAUvwni6uA00RsBmimgN8V5ulYicy59Ak9IyVYXw8JXn=s88-c-k-c0x00ffffff-no-rj</v>
      </c>
      <c r="G475" s="66"/>
      <c r="H475" s="70" t="s">
        <v>2033</v>
      </c>
      <c r="I475" s="71"/>
      <c r="J475" s="71" t="s">
        <v>159</v>
      </c>
      <c r="K475" s="70" t="s">
        <v>2033</v>
      </c>
      <c r="L475" s="74">
        <v>1</v>
      </c>
      <c r="M475" s="75">
        <v>1630.39892578125</v>
      </c>
      <c r="N475" s="75">
        <v>7613.6865234375</v>
      </c>
      <c r="O475" s="76"/>
      <c r="P475" s="77"/>
      <c r="Q475" s="77"/>
      <c r="R475" s="89"/>
      <c r="S475" s="49">
        <v>0</v>
      </c>
      <c r="T475" s="49">
        <v>1</v>
      </c>
      <c r="U475" s="50">
        <v>0</v>
      </c>
      <c r="V475" s="50">
        <v>0.002801</v>
      </c>
      <c r="W475" s="50">
        <v>0.008244</v>
      </c>
      <c r="X475" s="50">
        <v>0.512495</v>
      </c>
      <c r="Y475" s="50">
        <v>0</v>
      </c>
      <c r="Z475" s="50">
        <v>0</v>
      </c>
      <c r="AA475" s="72">
        <v>475</v>
      </c>
      <c r="AB475" s="72"/>
      <c r="AC475" s="73"/>
      <c r="AD475" s="80" t="s">
        <v>2033</v>
      </c>
      <c r="AE475" s="80"/>
      <c r="AF475" s="80"/>
      <c r="AG475" s="80"/>
      <c r="AH475" s="80"/>
      <c r="AI475" s="80"/>
      <c r="AJ475" s="87">
        <v>42327.8565625</v>
      </c>
      <c r="AK475" s="85" t="str">
        <f>HYPERLINK("https://yt3.ggpht.com/ytc/AAUvwni6uA00RsBmimgN8V5ulYicy59Ak9IyVYXw8JXn=s88-c-k-c0x00ffffff-no-rj")</f>
        <v>https://yt3.ggpht.com/ytc/AAUvwni6uA00RsBmimgN8V5ulYicy59Ak9IyVYXw8JXn=s88-c-k-c0x00ffffff-no-rj</v>
      </c>
      <c r="AL475" s="80">
        <v>0</v>
      </c>
      <c r="AM475" s="80">
        <v>0</v>
      </c>
      <c r="AN475" s="80">
        <v>9</v>
      </c>
      <c r="AO475" s="80" t="b">
        <v>0</v>
      </c>
      <c r="AP475" s="80">
        <v>0</v>
      </c>
      <c r="AQ475" s="80"/>
      <c r="AR475" s="80"/>
      <c r="AS475" s="80" t="s">
        <v>2664</v>
      </c>
      <c r="AT475" s="85" t="str">
        <f>HYPERLINK("https://www.youtube.com/channel/UCeEIcvCp29Ahvn-pX3MuU2g")</f>
        <v>https://www.youtube.com/channel/UCeEIcvCp29Ahvn-pX3MuU2g</v>
      </c>
      <c r="AU475" s="80" t="str">
        <f>REPLACE(INDEX(GroupVertices[Group],MATCH(Vertices[[#This Row],[Vertex]],GroupVertices[Vertex],0)),1,1,"")</f>
        <v>1</v>
      </c>
      <c r="AV475" s="49">
        <v>0</v>
      </c>
      <c r="AW475" s="50">
        <v>0</v>
      </c>
      <c r="AX475" s="49">
        <v>2</v>
      </c>
      <c r="AY475" s="50">
        <v>16.666666666666668</v>
      </c>
      <c r="AZ475" s="49">
        <v>0</v>
      </c>
      <c r="BA475" s="50">
        <v>0</v>
      </c>
      <c r="BB475" s="49">
        <v>10</v>
      </c>
      <c r="BC475" s="50">
        <v>83.33333333333333</v>
      </c>
      <c r="BD475" s="49">
        <v>12</v>
      </c>
      <c r="BE475" s="49"/>
      <c r="BF475" s="49"/>
      <c r="BG475" s="49"/>
      <c r="BH475" s="49"/>
      <c r="BI475" s="49"/>
      <c r="BJ475" s="49"/>
      <c r="BK475" s="111" t="s">
        <v>4030</v>
      </c>
      <c r="BL475" s="111" t="s">
        <v>4030</v>
      </c>
      <c r="BM475" s="111" t="s">
        <v>4494</v>
      </c>
      <c r="BN475" s="111" t="s">
        <v>4494</v>
      </c>
      <c r="BO475" s="2"/>
      <c r="BP475" s="3"/>
      <c r="BQ475" s="3"/>
      <c r="BR475" s="3"/>
      <c r="BS475" s="3"/>
    </row>
    <row r="476" spans="1:71" ht="15">
      <c r="A476" s="65" t="s">
        <v>675</v>
      </c>
      <c r="B476" s="66"/>
      <c r="C476" s="66"/>
      <c r="D476" s="67">
        <v>150</v>
      </c>
      <c r="E476" s="69"/>
      <c r="F476" s="103" t="str">
        <f>HYPERLINK("https://yt3.ggpht.com/ytc/AAUvwngNMoJHA0ZHDXKY7Bdar3deVhfYPnyUsIt-vA=s88-c-k-c0x00ffffff-no-rj")</f>
        <v>https://yt3.ggpht.com/ytc/AAUvwngNMoJHA0ZHDXKY7Bdar3deVhfYPnyUsIt-vA=s88-c-k-c0x00ffffff-no-rj</v>
      </c>
      <c r="G476" s="66"/>
      <c r="H476" s="70" t="s">
        <v>2034</v>
      </c>
      <c r="I476" s="71"/>
      <c r="J476" s="71" t="s">
        <v>159</v>
      </c>
      <c r="K476" s="70" t="s">
        <v>2034</v>
      </c>
      <c r="L476" s="74">
        <v>1</v>
      </c>
      <c r="M476" s="75">
        <v>1396.8155517578125</v>
      </c>
      <c r="N476" s="75">
        <v>6643.7001953125</v>
      </c>
      <c r="O476" s="76"/>
      <c r="P476" s="77"/>
      <c r="Q476" s="77"/>
      <c r="R476" s="89"/>
      <c r="S476" s="49">
        <v>0</v>
      </c>
      <c r="T476" s="49">
        <v>1</v>
      </c>
      <c r="U476" s="50">
        <v>0</v>
      </c>
      <c r="V476" s="50">
        <v>0.002801</v>
      </c>
      <c r="W476" s="50">
        <v>0.008244</v>
      </c>
      <c r="X476" s="50">
        <v>0.512495</v>
      </c>
      <c r="Y476" s="50">
        <v>0</v>
      </c>
      <c r="Z476" s="50">
        <v>0</v>
      </c>
      <c r="AA476" s="72">
        <v>476</v>
      </c>
      <c r="AB476" s="72"/>
      <c r="AC476" s="73"/>
      <c r="AD476" s="80" t="s">
        <v>2034</v>
      </c>
      <c r="AE476" s="80"/>
      <c r="AF476" s="80"/>
      <c r="AG476" s="80"/>
      <c r="AH476" s="80"/>
      <c r="AI476" s="80"/>
      <c r="AJ476" s="87">
        <v>43490.757106481484</v>
      </c>
      <c r="AK476" s="85" t="str">
        <f>HYPERLINK("https://yt3.ggpht.com/ytc/AAUvwngNMoJHA0ZHDXKY7Bdar3deVhfYPnyUsIt-vA=s88-c-k-c0x00ffffff-no-rj")</f>
        <v>https://yt3.ggpht.com/ytc/AAUvwngNMoJHA0ZHDXKY7Bdar3deVhfYPnyUsIt-vA=s88-c-k-c0x00ffffff-no-rj</v>
      </c>
      <c r="AL476" s="80">
        <v>0</v>
      </c>
      <c r="AM476" s="80">
        <v>0</v>
      </c>
      <c r="AN476" s="80">
        <v>0</v>
      </c>
      <c r="AO476" s="80" t="b">
        <v>0</v>
      </c>
      <c r="AP476" s="80">
        <v>0</v>
      </c>
      <c r="AQ476" s="80"/>
      <c r="AR476" s="80"/>
      <c r="AS476" s="80" t="s">
        <v>2664</v>
      </c>
      <c r="AT476" s="85" t="str">
        <f>HYPERLINK("https://www.youtube.com/channel/UC78MDprcXiyqLsbcVxuysgw")</f>
        <v>https://www.youtube.com/channel/UC78MDprcXiyqLsbcVxuysgw</v>
      </c>
      <c r="AU476" s="80" t="str">
        <f>REPLACE(INDEX(GroupVertices[Group],MATCH(Vertices[[#This Row],[Vertex]],GroupVertices[Vertex],0)),1,1,"")</f>
        <v>1</v>
      </c>
      <c r="AV476" s="49">
        <v>0</v>
      </c>
      <c r="AW476" s="50">
        <v>0</v>
      </c>
      <c r="AX476" s="49">
        <v>1</v>
      </c>
      <c r="AY476" s="50">
        <v>14.285714285714286</v>
      </c>
      <c r="AZ476" s="49">
        <v>0</v>
      </c>
      <c r="BA476" s="50">
        <v>0</v>
      </c>
      <c r="BB476" s="49">
        <v>6</v>
      </c>
      <c r="BC476" s="50">
        <v>85.71428571428571</v>
      </c>
      <c r="BD476" s="49">
        <v>7</v>
      </c>
      <c r="BE476" s="49"/>
      <c r="BF476" s="49"/>
      <c r="BG476" s="49"/>
      <c r="BH476" s="49"/>
      <c r="BI476" s="49"/>
      <c r="BJ476" s="49"/>
      <c r="BK476" s="111" t="s">
        <v>4031</v>
      </c>
      <c r="BL476" s="111" t="s">
        <v>4031</v>
      </c>
      <c r="BM476" s="111" t="s">
        <v>4495</v>
      </c>
      <c r="BN476" s="111" t="s">
        <v>4495</v>
      </c>
      <c r="BO476" s="2"/>
      <c r="BP476" s="3"/>
      <c r="BQ476" s="3"/>
      <c r="BR476" s="3"/>
      <c r="BS476" s="3"/>
    </row>
    <row r="477" spans="1:71" ht="15">
      <c r="A477" s="65" t="s">
        <v>676</v>
      </c>
      <c r="B477" s="66"/>
      <c r="C477" s="66"/>
      <c r="D477" s="67">
        <v>150</v>
      </c>
      <c r="E477" s="69"/>
      <c r="F477" s="103" t="str">
        <f>HYPERLINK("https://yt3.ggpht.com/ytc/AAUvwngZoVDjuhw4uBuoaCo-koPJ2fKB-lA4H-Y3wM5ClQ=s88-c-k-c0x00ffffff-no-rj")</f>
        <v>https://yt3.ggpht.com/ytc/AAUvwngZoVDjuhw4uBuoaCo-koPJ2fKB-lA4H-Y3wM5ClQ=s88-c-k-c0x00ffffff-no-rj</v>
      </c>
      <c r="G477" s="66"/>
      <c r="H477" s="70" t="s">
        <v>2035</v>
      </c>
      <c r="I477" s="71"/>
      <c r="J477" s="71" t="s">
        <v>159</v>
      </c>
      <c r="K477" s="70" t="s">
        <v>2035</v>
      </c>
      <c r="L477" s="74">
        <v>1</v>
      </c>
      <c r="M477" s="75">
        <v>2895.3828125</v>
      </c>
      <c r="N477" s="75">
        <v>9032.04296875</v>
      </c>
      <c r="O477" s="76"/>
      <c r="P477" s="77"/>
      <c r="Q477" s="77"/>
      <c r="R477" s="89"/>
      <c r="S477" s="49">
        <v>0</v>
      </c>
      <c r="T477" s="49">
        <v>1</v>
      </c>
      <c r="U477" s="50">
        <v>0</v>
      </c>
      <c r="V477" s="50">
        <v>0.001969</v>
      </c>
      <c r="W477" s="50">
        <v>0.000772</v>
      </c>
      <c r="X477" s="50">
        <v>0.575828</v>
      </c>
      <c r="Y477" s="50">
        <v>0</v>
      </c>
      <c r="Z477" s="50">
        <v>0</v>
      </c>
      <c r="AA477" s="72">
        <v>477</v>
      </c>
      <c r="AB477" s="72"/>
      <c r="AC477" s="73"/>
      <c r="AD477" s="80" t="s">
        <v>2035</v>
      </c>
      <c r="AE477" s="80" t="s">
        <v>2570</v>
      </c>
      <c r="AF477" s="80"/>
      <c r="AG477" s="80"/>
      <c r="AH477" s="80"/>
      <c r="AI477" s="80"/>
      <c r="AJ477" s="87">
        <v>42933.866875</v>
      </c>
      <c r="AK477" s="85" t="str">
        <f>HYPERLINK("https://yt3.ggpht.com/ytc/AAUvwngZoVDjuhw4uBuoaCo-koPJ2fKB-lA4H-Y3wM5ClQ=s88-c-k-c0x00ffffff-no-rj")</f>
        <v>https://yt3.ggpht.com/ytc/AAUvwngZoVDjuhw4uBuoaCo-koPJ2fKB-lA4H-Y3wM5ClQ=s88-c-k-c0x00ffffff-no-rj</v>
      </c>
      <c r="AL477" s="80">
        <v>0</v>
      </c>
      <c r="AM477" s="80">
        <v>0</v>
      </c>
      <c r="AN477" s="80">
        <v>36</v>
      </c>
      <c r="AO477" s="80" t="b">
        <v>0</v>
      </c>
      <c r="AP477" s="80">
        <v>0</v>
      </c>
      <c r="AQ477" s="80"/>
      <c r="AR477" s="80"/>
      <c r="AS477" s="80" t="s">
        <v>2664</v>
      </c>
      <c r="AT477" s="85" t="str">
        <f>HYPERLINK("https://www.youtube.com/channel/UCJpZnHucve5c5fedvmEovsA")</f>
        <v>https://www.youtube.com/channel/UCJpZnHucve5c5fedvmEovsA</v>
      </c>
      <c r="AU477" s="80" t="str">
        <f>REPLACE(INDEX(GroupVertices[Group],MATCH(Vertices[[#This Row],[Vertex]],GroupVertices[Vertex],0)),1,1,"")</f>
        <v>1</v>
      </c>
      <c r="AV477" s="49">
        <v>0</v>
      </c>
      <c r="AW477" s="50">
        <v>0</v>
      </c>
      <c r="AX477" s="49">
        <v>1</v>
      </c>
      <c r="AY477" s="50">
        <v>25</v>
      </c>
      <c r="AZ477" s="49">
        <v>0</v>
      </c>
      <c r="BA477" s="50">
        <v>0</v>
      </c>
      <c r="BB477" s="49">
        <v>3</v>
      </c>
      <c r="BC477" s="50">
        <v>75</v>
      </c>
      <c r="BD477" s="49">
        <v>4</v>
      </c>
      <c r="BE477" s="49"/>
      <c r="BF477" s="49"/>
      <c r="BG477" s="49"/>
      <c r="BH477" s="49"/>
      <c r="BI477" s="49"/>
      <c r="BJ477" s="49"/>
      <c r="BK477" s="111" t="s">
        <v>1399</v>
      </c>
      <c r="BL477" s="111" t="s">
        <v>1399</v>
      </c>
      <c r="BM477" s="111" t="s">
        <v>4496</v>
      </c>
      <c r="BN477" s="111" t="s">
        <v>4496</v>
      </c>
      <c r="BO477" s="2"/>
      <c r="BP477" s="3"/>
      <c r="BQ477" s="3"/>
      <c r="BR477" s="3"/>
      <c r="BS477" s="3"/>
    </row>
    <row r="478" spans="1:71" ht="15">
      <c r="A478" s="65" t="s">
        <v>677</v>
      </c>
      <c r="B478" s="66"/>
      <c r="C478" s="66"/>
      <c r="D478" s="67">
        <v>291.66666666666663</v>
      </c>
      <c r="E478" s="69"/>
      <c r="F478" s="103" t="str">
        <f>HYPERLINK("https://yt3.ggpht.com/ytc/AAUvwni7DJrSee2McK3ab1vect9CVnAfRPJKCAU73K-u6Q=s88-c-k-c0x00ffffff-no-rj")</f>
        <v>https://yt3.ggpht.com/ytc/AAUvwni7DJrSee2McK3ab1vect9CVnAfRPJKCAU73K-u6Q=s88-c-k-c0x00ffffff-no-rj</v>
      </c>
      <c r="G478" s="66"/>
      <c r="H478" s="70" t="s">
        <v>2036</v>
      </c>
      <c r="I478" s="71"/>
      <c r="J478" s="71" t="s">
        <v>159</v>
      </c>
      <c r="K478" s="70" t="s">
        <v>2036</v>
      </c>
      <c r="L478" s="74">
        <v>96.21904761904761</v>
      </c>
      <c r="M478" s="75">
        <v>2347.689208984375</v>
      </c>
      <c r="N478" s="75">
        <v>8045.56298828125</v>
      </c>
      <c r="O478" s="76"/>
      <c r="P478" s="77"/>
      <c r="Q478" s="77"/>
      <c r="R478" s="89"/>
      <c r="S478" s="49">
        <v>1</v>
      </c>
      <c r="T478" s="49">
        <v>1</v>
      </c>
      <c r="U478" s="50">
        <v>306</v>
      </c>
      <c r="V478" s="50">
        <v>0.002817</v>
      </c>
      <c r="W478" s="50">
        <v>0.008315</v>
      </c>
      <c r="X478" s="50">
        <v>1.001948</v>
      </c>
      <c r="Y478" s="50">
        <v>0</v>
      </c>
      <c r="Z478" s="50">
        <v>0</v>
      </c>
      <c r="AA478" s="72">
        <v>478</v>
      </c>
      <c r="AB478" s="72"/>
      <c r="AC478" s="73"/>
      <c r="AD478" s="80" t="s">
        <v>2036</v>
      </c>
      <c r="AE478" s="80" t="s">
        <v>2571</v>
      </c>
      <c r="AF478" s="80"/>
      <c r="AG478" s="80"/>
      <c r="AH478" s="80"/>
      <c r="AI478" s="80"/>
      <c r="AJ478" s="87">
        <v>41213.762662037036</v>
      </c>
      <c r="AK478" s="85" t="str">
        <f>HYPERLINK("https://yt3.ggpht.com/ytc/AAUvwni7DJrSee2McK3ab1vect9CVnAfRPJKCAU73K-u6Q=s88-c-k-c0x00ffffff-no-rj")</f>
        <v>https://yt3.ggpht.com/ytc/AAUvwni7DJrSee2McK3ab1vect9CVnAfRPJKCAU73K-u6Q=s88-c-k-c0x00ffffff-no-rj</v>
      </c>
      <c r="AL478" s="80">
        <v>33315</v>
      </c>
      <c r="AM478" s="80">
        <v>0</v>
      </c>
      <c r="AN478" s="80">
        <v>598</v>
      </c>
      <c r="AO478" s="80" t="b">
        <v>0</v>
      </c>
      <c r="AP478" s="80">
        <v>9</v>
      </c>
      <c r="AQ478" s="80"/>
      <c r="AR478" s="80"/>
      <c r="AS478" s="80" t="s">
        <v>2664</v>
      </c>
      <c r="AT478" s="85" t="str">
        <f>HYPERLINK("https://www.youtube.com/channel/UCT7KYqEloUgHKpn3R2dPGwQ")</f>
        <v>https://www.youtube.com/channel/UCT7KYqEloUgHKpn3R2dPGwQ</v>
      </c>
      <c r="AU478" s="80" t="str">
        <f>REPLACE(INDEX(GroupVertices[Group],MATCH(Vertices[[#This Row],[Vertex]],GroupVertices[Vertex],0)),1,1,"")</f>
        <v>1</v>
      </c>
      <c r="AV478" s="49">
        <v>1</v>
      </c>
      <c r="AW478" s="50">
        <v>6.666666666666667</v>
      </c>
      <c r="AX478" s="49">
        <v>1</v>
      </c>
      <c r="AY478" s="50">
        <v>6.666666666666667</v>
      </c>
      <c r="AZ478" s="49">
        <v>0</v>
      </c>
      <c r="BA478" s="50">
        <v>0</v>
      </c>
      <c r="BB478" s="49">
        <v>13</v>
      </c>
      <c r="BC478" s="50">
        <v>86.66666666666667</v>
      </c>
      <c r="BD478" s="49">
        <v>15</v>
      </c>
      <c r="BE478" s="49"/>
      <c r="BF478" s="49"/>
      <c r="BG478" s="49"/>
      <c r="BH478" s="49"/>
      <c r="BI478" s="49"/>
      <c r="BJ478" s="49"/>
      <c r="BK478" s="111" t="s">
        <v>4032</v>
      </c>
      <c r="BL478" s="111" t="s">
        <v>4032</v>
      </c>
      <c r="BM478" s="111" t="s">
        <v>4497</v>
      </c>
      <c r="BN478" s="111" t="s">
        <v>4497</v>
      </c>
      <c r="BO478" s="2"/>
      <c r="BP478" s="3"/>
      <c r="BQ478" s="3"/>
      <c r="BR478" s="3"/>
      <c r="BS478" s="3"/>
    </row>
    <row r="479" spans="1:71" ht="15">
      <c r="A479" s="65" t="s">
        <v>678</v>
      </c>
      <c r="B479" s="66"/>
      <c r="C479" s="66"/>
      <c r="D479" s="67">
        <v>150</v>
      </c>
      <c r="E479" s="69"/>
      <c r="F479" s="103" t="str">
        <f>HYPERLINK("https://yt3.ggpht.com/XAe6LV4j-U3Tid6eirRiCLrsu9acZhNiuONppZwlCOtYBUuhReURCFem0GxAb64fHpDBfBbC6UE=s88-c-k-c0x00ffffff-no-rj")</f>
        <v>https://yt3.ggpht.com/XAe6LV4j-U3Tid6eirRiCLrsu9acZhNiuONppZwlCOtYBUuhReURCFem0GxAb64fHpDBfBbC6UE=s88-c-k-c0x00ffffff-no-rj</v>
      </c>
      <c r="G479" s="66"/>
      <c r="H479" s="70" t="s">
        <v>2037</v>
      </c>
      <c r="I479" s="71"/>
      <c r="J479" s="71" t="s">
        <v>159</v>
      </c>
      <c r="K479" s="70" t="s">
        <v>2037</v>
      </c>
      <c r="L479" s="74">
        <v>1</v>
      </c>
      <c r="M479" s="75">
        <v>1174.5650634765625</v>
      </c>
      <c r="N479" s="75">
        <v>7005.16845703125</v>
      </c>
      <c r="O479" s="76"/>
      <c r="P479" s="77"/>
      <c r="Q479" s="77"/>
      <c r="R479" s="89"/>
      <c r="S479" s="49">
        <v>0</v>
      </c>
      <c r="T479" s="49">
        <v>1</v>
      </c>
      <c r="U479" s="50">
        <v>0</v>
      </c>
      <c r="V479" s="50">
        <v>0.002801</v>
      </c>
      <c r="W479" s="50">
        <v>0.008244</v>
      </c>
      <c r="X479" s="50">
        <v>0.512495</v>
      </c>
      <c r="Y479" s="50">
        <v>0</v>
      </c>
      <c r="Z479" s="50">
        <v>0</v>
      </c>
      <c r="AA479" s="72">
        <v>479</v>
      </c>
      <c r="AB479" s="72"/>
      <c r="AC479" s="73"/>
      <c r="AD479" s="80" t="s">
        <v>2037</v>
      </c>
      <c r="AE479" s="80" t="s">
        <v>2572</v>
      </c>
      <c r="AF479" s="80"/>
      <c r="AG479" s="80"/>
      <c r="AH479" s="80"/>
      <c r="AI479" s="80"/>
      <c r="AJ479" s="87">
        <v>42630.11079861111</v>
      </c>
      <c r="AK479" s="85" t="str">
        <f>HYPERLINK("https://yt3.ggpht.com/XAe6LV4j-U3Tid6eirRiCLrsu9acZhNiuONppZwlCOtYBUuhReURCFem0GxAb64fHpDBfBbC6UE=s88-c-k-c0x00ffffff-no-rj")</f>
        <v>https://yt3.ggpht.com/XAe6LV4j-U3Tid6eirRiCLrsu9acZhNiuONppZwlCOtYBUuhReURCFem0GxAb64fHpDBfBbC6UE=s88-c-k-c0x00ffffff-no-rj</v>
      </c>
      <c r="AL479" s="80">
        <v>376</v>
      </c>
      <c r="AM479" s="80">
        <v>0</v>
      </c>
      <c r="AN479" s="80">
        <v>39</v>
      </c>
      <c r="AO479" s="80" t="b">
        <v>0</v>
      </c>
      <c r="AP479" s="80">
        <v>3</v>
      </c>
      <c r="AQ479" s="80"/>
      <c r="AR479" s="80"/>
      <c r="AS479" s="80" t="s">
        <v>2664</v>
      </c>
      <c r="AT479" s="85" t="str">
        <f>HYPERLINK("https://www.youtube.com/channel/UCdRgQZdlDS8Fnsb21g9LC9w")</f>
        <v>https://www.youtube.com/channel/UCdRgQZdlDS8Fnsb21g9LC9w</v>
      </c>
      <c r="AU479" s="80" t="str">
        <f>REPLACE(INDEX(GroupVertices[Group],MATCH(Vertices[[#This Row],[Vertex]],GroupVertices[Vertex],0)),1,1,"")</f>
        <v>1</v>
      </c>
      <c r="AV479" s="49">
        <v>0</v>
      </c>
      <c r="AW479" s="50">
        <v>0</v>
      </c>
      <c r="AX479" s="49">
        <v>0</v>
      </c>
      <c r="AY479" s="50">
        <v>0</v>
      </c>
      <c r="AZ479" s="49">
        <v>0</v>
      </c>
      <c r="BA479" s="50">
        <v>0</v>
      </c>
      <c r="BB479" s="49">
        <v>5</v>
      </c>
      <c r="BC479" s="50">
        <v>100</v>
      </c>
      <c r="BD479" s="49">
        <v>5</v>
      </c>
      <c r="BE479" s="49"/>
      <c r="BF479" s="49"/>
      <c r="BG479" s="49"/>
      <c r="BH479" s="49"/>
      <c r="BI479" s="49"/>
      <c r="BJ479" s="49"/>
      <c r="BK479" s="111" t="s">
        <v>4033</v>
      </c>
      <c r="BL479" s="111" t="s">
        <v>4033</v>
      </c>
      <c r="BM479" s="111" t="s">
        <v>4498</v>
      </c>
      <c r="BN479" s="111" t="s">
        <v>4498</v>
      </c>
      <c r="BO479" s="2"/>
      <c r="BP479" s="3"/>
      <c r="BQ479" s="3"/>
      <c r="BR479" s="3"/>
      <c r="BS479" s="3"/>
    </row>
    <row r="480" spans="1:71" ht="15">
      <c r="A480" s="65" t="s">
        <v>679</v>
      </c>
      <c r="B480" s="66"/>
      <c r="C480" s="66"/>
      <c r="D480" s="67">
        <v>150</v>
      </c>
      <c r="E480" s="69"/>
      <c r="F480" s="103" t="str">
        <f>HYPERLINK("https://yt3.ggpht.com/ytc/AAUvwngAa5Qvc6_1c7IT7kI8i59K5gY5QQn_33UJo7w4=s88-c-k-c0x00ffffff-no-rj")</f>
        <v>https://yt3.ggpht.com/ytc/AAUvwngAa5Qvc6_1c7IT7kI8i59K5gY5QQn_33UJo7w4=s88-c-k-c0x00ffffff-no-rj</v>
      </c>
      <c r="G480" s="66"/>
      <c r="H480" s="70" t="s">
        <v>2038</v>
      </c>
      <c r="I480" s="71"/>
      <c r="J480" s="71" t="s">
        <v>159</v>
      </c>
      <c r="K480" s="70" t="s">
        <v>2038</v>
      </c>
      <c r="L480" s="74">
        <v>1</v>
      </c>
      <c r="M480" s="75">
        <v>2056.376953125</v>
      </c>
      <c r="N480" s="75">
        <v>6321.6611328125</v>
      </c>
      <c r="O480" s="76"/>
      <c r="P480" s="77"/>
      <c r="Q480" s="77"/>
      <c r="R480" s="89"/>
      <c r="S480" s="49">
        <v>0</v>
      </c>
      <c r="T480" s="49">
        <v>1</v>
      </c>
      <c r="U480" s="50">
        <v>0</v>
      </c>
      <c r="V480" s="50">
        <v>0.002801</v>
      </c>
      <c r="W480" s="50">
        <v>0.008244</v>
      </c>
      <c r="X480" s="50">
        <v>0.512495</v>
      </c>
      <c r="Y480" s="50">
        <v>0</v>
      </c>
      <c r="Z480" s="50">
        <v>0</v>
      </c>
      <c r="AA480" s="72">
        <v>480</v>
      </c>
      <c r="AB480" s="72"/>
      <c r="AC480" s="73"/>
      <c r="AD480" s="80" t="s">
        <v>2038</v>
      </c>
      <c r="AE480" s="80" t="s">
        <v>1109</v>
      </c>
      <c r="AF480" s="80"/>
      <c r="AG480" s="80"/>
      <c r="AH480" s="80"/>
      <c r="AI480" s="80"/>
      <c r="AJ480" s="87">
        <v>43347.89844907408</v>
      </c>
      <c r="AK480" s="85" t="str">
        <f>HYPERLINK("https://yt3.ggpht.com/ytc/AAUvwngAa5Qvc6_1c7IT7kI8i59K5gY5QQn_33UJo7w4=s88-c-k-c0x00ffffff-no-rj")</f>
        <v>https://yt3.ggpht.com/ytc/AAUvwngAa5Qvc6_1c7IT7kI8i59K5gY5QQn_33UJo7w4=s88-c-k-c0x00ffffff-no-rj</v>
      </c>
      <c r="AL480" s="80">
        <v>361</v>
      </c>
      <c r="AM480" s="80">
        <v>0</v>
      </c>
      <c r="AN480" s="80">
        <v>22</v>
      </c>
      <c r="AO480" s="80" t="b">
        <v>0</v>
      </c>
      <c r="AP480" s="80">
        <v>1</v>
      </c>
      <c r="AQ480" s="80"/>
      <c r="AR480" s="80"/>
      <c r="AS480" s="80" t="s">
        <v>2664</v>
      </c>
      <c r="AT480" s="85" t="str">
        <f>HYPERLINK("https://www.youtube.com/channel/UCSsVxmw_XnkCqrW8owfRY8w")</f>
        <v>https://www.youtube.com/channel/UCSsVxmw_XnkCqrW8owfRY8w</v>
      </c>
      <c r="AU480" s="80" t="str">
        <f>REPLACE(INDEX(GroupVertices[Group],MATCH(Vertices[[#This Row],[Vertex]],GroupVertices[Vertex],0)),1,1,"")</f>
        <v>1</v>
      </c>
      <c r="AV480" s="49">
        <v>0</v>
      </c>
      <c r="AW480" s="50">
        <v>0</v>
      </c>
      <c r="AX480" s="49">
        <v>0</v>
      </c>
      <c r="AY480" s="50">
        <v>0</v>
      </c>
      <c r="AZ480" s="49">
        <v>0</v>
      </c>
      <c r="BA480" s="50">
        <v>0</v>
      </c>
      <c r="BB480" s="49">
        <v>2</v>
      </c>
      <c r="BC480" s="50">
        <v>100</v>
      </c>
      <c r="BD480" s="49">
        <v>2</v>
      </c>
      <c r="BE480" s="49"/>
      <c r="BF480" s="49"/>
      <c r="BG480" s="49"/>
      <c r="BH480" s="49"/>
      <c r="BI480" s="49"/>
      <c r="BJ480" s="49"/>
      <c r="BK480" s="111" t="s">
        <v>4034</v>
      </c>
      <c r="BL480" s="111" t="s">
        <v>4034</v>
      </c>
      <c r="BM480" s="111" t="s">
        <v>4499</v>
      </c>
      <c r="BN480" s="111" t="s">
        <v>4499</v>
      </c>
      <c r="BO480" s="2"/>
      <c r="BP480" s="3"/>
      <c r="BQ480" s="3"/>
      <c r="BR480" s="3"/>
      <c r="BS480" s="3"/>
    </row>
    <row r="481" spans="1:71" ht="15">
      <c r="A481" s="65" t="s">
        <v>680</v>
      </c>
      <c r="B481" s="66"/>
      <c r="C481" s="66"/>
      <c r="D481" s="67">
        <v>291.66666666666663</v>
      </c>
      <c r="E481" s="69"/>
      <c r="F481" s="103" t="str">
        <f>HYPERLINK("https://yt3.ggpht.com/ytc/AAUvwnj4Dj55GMVDuclZoEleTJBe7C9Tgc-OLSYz7Q=s88-c-k-c0x00ffffff-no-rj")</f>
        <v>https://yt3.ggpht.com/ytc/AAUvwnj4Dj55GMVDuclZoEleTJBe7C9Tgc-OLSYz7Q=s88-c-k-c0x00ffffff-no-rj</v>
      </c>
      <c r="G481" s="66"/>
      <c r="H481" s="70" t="s">
        <v>2039</v>
      </c>
      <c r="I481" s="71"/>
      <c r="J481" s="71" t="s">
        <v>159</v>
      </c>
      <c r="K481" s="70" t="s">
        <v>2039</v>
      </c>
      <c r="L481" s="74">
        <v>96.21904761904761</v>
      </c>
      <c r="M481" s="75">
        <v>2318.286376953125</v>
      </c>
      <c r="N481" s="75">
        <v>5936.884765625</v>
      </c>
      <c r="O481" s="76"/>
      <c r="P481" s="77"/>
      <c r="Q481" s="77"/>
      <c r="R481" s="89"/>
      <c r="S481" s="49">
        <v>1</v>
      </c>
      <c r="T481" s="49">
        <v>1</v>
      </c>
      <c r="U481" s="50">
        <v>99.833333</v>
      </c>
      <c r="V481" s="50">
        <v>0.002817</v>
      </c>
      <c r="W481" s="50">
        <v>0.008464</v>
      </c>
      <c r="X481" s="50">
        <v>0.861501</v>
      </c>
      <c r="Y481" s="50">
        <v>0</v>
      </c>
      <c r="Z481" s="50">
        <v>0</v>
      </c>
      <c r="AA481" s="72">
        <v>481</v>
      </c>
      <c r="AB481" s="72"/>
      <c r="AC481" s="73"/>
      <c r="AD481" s="80" t="s">
        <v>2039</v>
      </c>
      <c r="AE481" s="80"/>
      <c r="AF481" s="80"/>
      <c r="AG481" s="80"/>
      <c r="AH481" s="80"/>
      <c r="AI481" s="80"/>
      <c r="AJ481" s="87">
        <v>43915.725902777776</v>
      </c>
      <c r="AK481" s="85" t="str">
        <f>HYPERLINK("https://yt3.ggpht.com/ytc/AAUvwnj4Dj55GMVDuclZoEleTJBe7C9Tgc-OLSYz7Q=s88-c-k-c0x00ffffff-no-rj")</f>
        <v>https://yt3.ggpht.com/ytc/AAUvwnj4Dj55GMVDuclZoEleTJBe7C9Tgc-OLSYz7Q=s88-c-k-c0x00ffffff-no-rj</v>
      </c>
      <c r="AL481" s="80">
        <v>0</v>
      </c>
      <c r="AM481" s="80">
        <v>0</v>
      </c>
      <c r="AN481" s="80">
        <v>0</v>
      </c>
      <c r="AO481" s="80" t="b">
        <v>0</v>
      </c>
      <c r="AP481" s="80">
        <v>0</v>
      </c>
      <c r="AQ481" s="80"/>
      <c r="AR481" s="80"/>
      <c r="AS481" s="80" t="s">
        <v>2664</v>
      </c>
      <c r="AT481" s="85" t="str">
        <f>HYPERLINK("https://www.youtube.com/channel/UCBobk-UZMXzncWw48I2tPZw")</f>
        <v>https://www.youtube.com/channel/UCBobk-UZMXzncWw48I2tPZw</v>
      </c>
      <c r="AU481" s="80" t="str">
        <f>REPLACE(INDEX(GroupVertices[Group],MATCH(Vertices[[#This Row],[Vertex]],GroupVertices[Vertex],0)),1,1,"")</f>
        <v>1</v>
      </c>
      <c r="AV481" s="49">
        <v>2</v>
      </c>
      <c r="AW481" s="50">
        <v>6.0606060606060606</v>
      </c>
      <c r="AX481" s="49">
        <v>1</v>
      </c>
      <c r="AY481" s="50">
        <v>3.0303030303030303</v>
      </c>
      <c r="AZ481" s="49">
        <v>0</v>
      </c>
      <c r="BA481" s="50">
        <v>0</v>
      </c>
      <c r="BB481" s="49">
        <v>30</v>
      </c>
      <c r="BC481" s="50">
        <v>90.9090909090909</v>
      </c>
      <c r="BD481" s="49">
        <v>33</v>
      </c>
      <c r="BE481" s="49"/>
      <c r="BF481" s="49"/>
      <c r="BG481" s="49"/>
      <c r="BH481" s="49"/>
      <c r="BI481" s="49"/>
      <c r="BJ481" s="49"/>
      <c r="BK481" s="111" t="s">
        <v>4035</v>
      </c>
      <c r="BL481" s="111" t="s">
        <v>4035</v>
      </c>
      <c r="BM481" s="111" t="s">
        <v>4500</v>
      </c>
      <c r="BN481" s="111" t="s">
        <v>4500</v>
      </c>
      <c r="BO481" s="2"/>
      <c r="BP481" s="3"/>
      <c r="BQ481" s="3"/>
      <c r="BR481" s="3"/>
      <c r="BS481" s="3"/>
    </row>
    <row r="482" spans="1:71" ht="15">
      <c r="A482" s="65" t="s">
        <v>681</v>
      </c>
      <c r="B482" s="66"/>
      <c r="C482" s="66"/>
      <c r="D482" s="67">
        <v>150</v>
      </c>
      <c r="E482" s="69"/>
      <c r="F482" s="103" t="str">
        <f>HYPERLINK("https://yt3.ggpht.com/ytc/AAUvwnjYLyoP4e1fC-jrIv9UXuHzl9fL5p4JhT2OwNXcgg=s88-c-k-c0x00ffffff-no-rj")</f>
        <v>https://yt3.ggpht.com/ytc/AAUvwnjYLyoP4e1fC-jrIv9UXuHzl9fL5p4JhT2OwNXcgg=s88-c-k-c0x00ffffff-no-rj</v>
      </c>
      <c r="G482" s="66"/>
      <c r="H482" s="70" t="s">
        <v>2040</v>
      </c>
      <c r="I482" s="71"/>
      <c r="J482" s="71" t="s">
        <v>159</v>
      </c>
      <c r="K482" s="70" t="s">
        <v>2040</v>
      </c>
      <c r="L482" s="74">
        <v>1</v>
      </c>
      <c r="M482" s="75">
        <v>3375.45849609375</v>
      </c>
      <c r="N482" s="75">
        <v>7146.9658203125</v>
      </c>
      <c r="O482" s="76"/>
      <c r="P482" s="77"/>
      <c r="Q482" s="77"/>
      <c r="R482" s="89"/>
      <c r="S482" s="49">
        <v>0</v>
      </c>
      <c r="T482" s="49">
        <v>1</v>
      </c>
      <c r="U482" s="50">
        <v>0</v>
      </c>
      <c r="V482" s="50">
        <v>0.001976</v>
      </c>
      <c r="W482" s="50">
        <v>0.000779</v>
      </c>
      <c r="X482" s="50">
        <v>0.569531</v>
      </c>
      <c r="Y482" s="50">
        <v>0</v>
      </c>
      <c r="Z482" s="50">
        <v>0</v>
      </c>
      <c r="AA482" s="72">
        <v>482</v>
      </c>
      <c r="AB482" s="72"/>
      <c r="AC482" s="73"/>
      <c r="AD482" s="80" t="s">
        <v>2040</v>
      </c>
      <c r="AE482" s="80" t="s">
        <v>2573</v>
      </c>
      <c r="AF482" s="80"/>
      <c r="AG482" s="80"/>
      <c r="AH482" s="80"/>
      <c r="AI482" s="80"/>
      <c r="AJ482" s="87">
        <v>43367.89923611111</v>
      </c>
      <c r="AK482" s="85" t="str">
        <f>HYPERLINK("https://yt3.ggpht.com/ytc/AAUvwnjYLyoP4e1fC-jrIv9UXuHzl9fL5p4JhT2OwNXcgg=s88-c-k-c0x00ffffff-no-rj")</f>
        <v>https://yt3.ggpht.com/ytc/AAUvwnjYLyoP4e1fC-jrIv9UXuHzl9fL5p4JhT2OwNXcgg=s88-c-k-c0x00ffffff-no-rj</v>
      </c>
      <c r="AL482" s="80">
        <v>609</v>
      </c>
      <c r="AM482" s="80">
        <v>0</v>
      </c>
      <c r="AN482" s="80">
        <v>17</v>
      </c>
      <c r="AO482" s="80" t="b">
        <v>0</v>
      </c>
      <c r="AP482" s="80">
        <v>23</v>
      </c>
      <c r="AQ482" s="80"/>
      <c r="AR482" s="80"/>
      <c r="AS482" s="80" t="s">
        <v>2664</v>
      </c>
      <c r="AT482" s="85" t="str">
        <f>HYPERLINK("https://www.youtube.com/channel/UCaikVaVCPBW5plHdS5AyPSw")</f>
        <v>https://www.youtube.com/channel/UCaikVaVCPBW5plHdS5AyPSw</v>
      </c>
      <c r="AU482" s="80" t="str">
        <f>REPLACE(INDEX(GroupVertices[Group],MATCH(Vertices[[#This Row],[Vertex]],GroupVertices[Vertex],0)),1,1,"")</f>
        <v>1</v>
      </c>
      <c r="AV482" s="49">
        <v>1</v>
      </c>
      <c r="AW482" s="50">
        <v>20</v>
      </c>
      <c r="AX482" s="49">
        <v>0</v>
      </c>
      <c r="AY482" s="50">
        <v>0</v>
      </c>
      <c r="AZ482" s="49">
        <v>0</v>
      </c>
      <c r="BA482" s="50">
        <v>0</v>
      </c>
      <c r="BB482" s="49">
        <v>4</v>
      </c>
      <c r="BC482" s="50">
        <v>80</v>
      </c>
      <c r="BD482" s="49">
        <v>5</v>
      </c>
      <c r="BE482" s="49"/>
      <c r="BF482" s="49"/>
      <c r="BG482" s="49"/>
      <c r="BH482" s="49"/>
      <c r="BI482" s="49"/>
      <c r="BJ482" s="49"/>
      <c r="BK482" s="111" t="s">
        <v>4036</v>
      </c>
      <c r="BL482" s="111" t="s">
        <v>4036</v>
      </c>
      <c r="BM482" s="111" t="s">
        <v>4501</v>
      </c>
      <c r="BN482" s="111" t="s">
        <v>4501</v>
      </c>
      <c r="BO482" s="2"/>
      <c r="BP482" s="3"/>
      <c r="BQ482" s="3"/>
      <c r="BR482" s="3"/>
      <c r="BS482" s="3"/>
    </row>
    <row r="483" spans="1:71" ht="15">
      <c r="A483" s="65" t="s">
        <v>683</v>
      </c>
      <c r="B483" s="66"/>
      <c r="C483" s="66"/>
      <c r="D483" s="67">
        <v>433.3333333333333</v>
      </c>
      <c r="E483" s="69"/>
      <c r="F483" s="103" t="str">
        <f>HYPERLINK("https://yt3.ggpht.com/ytc/AAUvwngAs-7-8oAhbp9tuBPXC1aIH-1h14yK-Zug1clrug=s88-c-k-c0x00ffffff-no-rj")</f>
        <v>https://yt3.ggpht.com/ytc/AAUvwngAs-7-8oAhbp9tuBPXC1aIH-1h14yK-Zug1clrug=s88-c-k-c0x00ffffff-no-rj</v>
      </c>
      <c r="G483" s="66"/>
      <c r="H483" s="70" t="s">
        <v>2042</v>
      </c>
      <c r="I483" s="71"/>
      <c r="J483" s="71" t="s">
        <v>75</v>
      </c>
      <c r="K483" s="70" t="s">
        <v>2042</v>
      </c>
      <c r="L483" s="74">
        <v>191.43809523809523</v>
      </c>
      <c r="M483" s="75">
        <v>2618.853759765625</v>
      </c>
      <c r="N483" s="75">
        <v>6896.97607421875</v>
      </c>
      <c r="O483" s="76"/>
      <c r="P483" s="77"/>
      <c r="Q483" s="77"/>
      <c r="R483" s="89"/>
      <c r="S483" s="49">
        <v>2</v>
      </c>
      <c r="T483" s="49">
        <v>1</v>
      </c>
      <c r="U483" s="50">
        <v>610</v>
      </c>
      <c r="V483" s="50">
        <v>0.002833</v>
      </c>
      <c r="W483" s="50">
        <v>0.008388</v>
      </c>
      <c r="X483" s="50">
        <v>1.480697</v>
      </c>
      <c r="Y483" s="50">
        <v>0</v>
      </c>
      <c r="Z483" s="50">
        <v>0</v>
      </c>
      <c r="AA483" s="72">
        <v>483</v>
      </c>
      <c r="AB483" s="72"/>
      <c r="AC483" s="73"/>
      <c r="AD483" s="80" t="s">
        <v>2042</v>
      </c>
      <c r="AE483" s="80" t="s">
        <v>2574</v>
      </c>
      <c r="AF483" s="80"/>
      <c r="AG483" s="80"/>
      <c r="AH483" s="80"/>
      <c r="AI483" s="80"/>
      <c r="AJ483" s="87">
        <v>42834.55099537037</v>
      </c>
      <c r="AK483" s="85" t="str">
        <f>HYPERLINK("https://yt3.ggpht.com/ytc/AAUvwngAs-7-8oAhbp9tuBPXC1aIH-1h14yK-Zug1clrug=s88-c-k-c0x00ffffff-no-rj")</f>
        <v>https://yt3.ggpht.com/ytc/AAUvwngAs-7-8oAhbp9tuBPXC1aIH-1h14yK-Zug1clrug=s88-c-k-c0x00ffffff-no-rj</v>
      </c>
      <c r="AL483" s="80">
        <v>0</v>
      </c>
      <c r="AM483" s="80">
        <v>0</v>
      </c>
      <c r="AN483" s="80">
        <v>6</v>
      </c>
      <c r="AO483" s="80" t="b">
        <v>0</v>
      </c>
      <c r="AP483" s="80">
        <v>0</v>
      </c>
      <c r="AQ483" s="80"/>
      <c r="AR483" s="80"/>
      <c r="AS483" s="80" t="s">
        <v>2664</v>
      </c>
      <c r="AT483" s="85" t="str">
        <f>HYPERLINK("https://www.youtube.com/channel/UCHmi85wnMi96G2PBhOzL18Q")</f>
        <v>https://www.youtube.com/channel/UCHmi85wnMi96G2PBhOzL18Q</v>
      </c>
      <c r="AU483" s="80" t="str">
        <f>REPLACE(INDEX(GroupVertices[Group],MATCH(Vertices[[#This Row],[Vertex]],GroupVertices[Vertex],0)),1,1,"")</f>
        <v>1</v>
      </c>
      <c r="AV483" s="49">
        <v>0</v>
      </c>
      <c r="AW483" s="50">
        <v>0</v>
      </c>
      <c r="AX483" s="49">
        <v>0</v>
      </c>
      <c r="AY483" s="50">
        <v>0</v>
      </c>
      <c r="AZ483" s="49">
        <v>0</v>
      </c>
      <c r="BA483" s="50">
        <v>0</v>
      </c>
      <c r="BB483" s="49">
        <v>6</v>
      </c>
      <c r="BC483" s="50">
        <v>100</v>
      </c>
      <c r="BD483" s="49">
        <v>6</v>
      </c>
      <c r="BE483" s="49"/>
      <c r="BF483" s="49"/>
      <c r="BG483" s="49"/>
      <c r="BH483" s="49"/>
      <c r="BI483" s="49"/>
      <c r="BJ483" s="49"/>
      <c r="BK483" s="111" t="s">
        <v>4037</v>
      </c>
      <c r="BL483" s="111" t="s">
        <v>4037</v>
      </c>
      <c r="BM483" s="111" t="s">
        <v>4502</v>
      </c>
      <c r="BN483" s="111" t="s">
        <v>4502</v>
      </c>
      <c r="BO483" s="2"/>
      <c r="BP483" s="3"/>
      <c r="BQ483" s="3"/>
      <c r="BR483" s="3"/>
      <c r="BS483" s="3"/>
    </row>
    <row r="484" spans="1:71" ht="15">
      <c r="A484" s="65" t="s">
        <v>682</v>
      </c>
      <c r="B484" s="66"/>
      <c r="C484" s="66"/>
      <c r="D484" s="67">
        <v>150</v>
      </c>
      <c r="E484" s="69"/>
      <c r="F484" s="103" t="str">
        <f>HYPERLINK("https://yt3.ggpht.com/ytc/AAUvwngXrU_aALMIShmsA4dwEpJFJwwUGY9PzNAcfXWiTQ=s88-c-k-c0x00ffffff-no-rj")</f>
        <v>https://yt3.ggpht.com/ytc/AAUvwngXrU_aALMIShmsA4dwEpJFJwwUGY9PzNAcfXWiTQ=s88-c-k-c0x00ffffff-no-rj</v>
      </c>
      <c r="G484" s="66"/>
      <c r="H484" s="70" t="s">
        <v>2041</v>
      </c>
      <c r="I484" s="71"/>
      <c r="J484" s="71" t="s">
        <v>159</v>
      </c>
      <c r="K484" s="70" t="s">
        <v>2041</v>
      </c>
      <c r="L484" s="74">
        <v>1</v>
      </c>
      <c r="M484" s="75">
        <v>3360.6083984375</v>
      </c>
      <c r="N484" s="75">
        <v>6619.5615234375</v>
      </c>
      <c r="O484" s="76"/>
      <c r="P484" s="77"/>
      <c r="Q484" s="77"/>
      <c r="R484" s="89"/>
      <c r="S484" s="49">
        <v>0</v>
      </c>
      <c r="T484" s="49">
        <v>1</v>
      </c>
      <c r="U484" s="50">
        <v>0</v>
      </c>
      <c r="V484" s="50">
        <v>0.001976</v>
      </c>
      <c r="W484" s="50">
        <v>0.000779</v>
      </c>
      <c r="X484" s="50">
        <v>0.569531</v>
      </c>
      <c r="Y484" s="50">
        <v>0</v>
      </c>
      <c r="Z484" s="50">
        <v>0</v>
      </c>
      <c r="AA484" s="72">
        <v>484</v>
      </c>
      <c r="AB484" s="72"/>
      <c r="AC484" s="73"/>
      <c r="AD484" s="80" t="s">
        <v>2041</v>
      </c>
      <c r="AE484" s="80" t="s">
        <v>2575</v>
      </c>
      <c r="AF484" s="80"/>
      <c r="AG484" s="80"/>
      <c r="AH484" s="80"/>
      <c r="AI484" s="80"/>
      <c r="AJ484" s="87">
        <v>42554.73902777778</v>
      </c>
      <c r="AK484" s="85" t="str">
        <f>HYPERLINK("https://yt3.ggpht.com/ytc/AAUvwngXrU_aALMIShmsA4dwEpJFJwwUGY9PzNAcfXWiTQ=s88-c-k-c0x00ffffff-no-rj")</f>
        <v>https://yt3.ggpht.com/ytc/AAUvwngXrU_aALMIShmsA4dwEpJFJwwUGY9PzNAcfXWiTQ=s88-c-k-c0x00ffffff-no-rj</v>
      </c>
      <c r="AL484" s="80">
        <v>2704</v>
      </c>
      <c r="AM484" s="80">
        <v>0</v>
      </c>
      <c r="AN484" s="80">
        <v>35</v>
      </c>
      <c r="AO484" s="80" t="b">
        <v>0</v>
      </c>
      <c r="AP484" s="80">
        <v>42</v>
      </c>
      <c r="AQ484" s="80"/>
      <c r="AR484" s="80"/>
      <c r="AS484" s="80" t="s">
        <v>2664</v>
      </c>
      <c r="AT484" s="85" t="str">
        <f>HYPERLINK("https://www.youtube.com/channel/UCO_01HMWiGfhgO-LgeFqHAQ")</f>
        <v>https://www.youtube.com/channel/UCO_01HMWiGfhgO-LgeFqHAQ</v>
      </c>
      <c r="AU484" s="80" t="str">
        <f>REPLACE(INDEX(GroupVertices[Group],MATCH(Vertices[[#This Row],[Vertex]],GroupVertices[Vertex],0)),1,1,"")</f>
        <v>1</v>
      </c>
      <c r="AV484" s="49">
        <v>0</v>
      </c>
      <c r="AW484" s="50">
        <v>0</v>
      </c>
      <c r="AX484" s="49">
        <v>0</v>
      </c>
      <c r="AY484" s="50">
        <v>0</v>
      </c>
      <c r="AZ484" s="49">
        <v>0</v>
      </c>
      <c r="BA484" s="50">
        <v>0</v>
      </c>
      <c r="BB484" s="49">
        <v>2</v>
      </c>
      <c r="BC484" s="50">
        <v>100</v>
      </c>
      <c r="BD484" s="49">
        <v>2</v>
      </c>
      <c r="BE484" s="49"/>
      <c r="BF484" s="49"/>
      <c r="BG484" s="49"/>
      <c r="BH484" s="49"/>
      <c r="BI484" s="49"/>
      <c r="BJ484" s="49"/>
      <c r="BK484" s="111" t="s">
        <v>1406</v>
      </c>
      <c r="BL484" s="111" t="s">
        <v>1406</v>
      </c>
      <c r="BM484" s="111" t="s">
        <v>4503</v>
      </c>
      <c r="BN484" s="111" t="s">
        <v>4503</v>
      </c>
      <c r="BO484" s="2"/>
      <c r="BP484" s="3"/>
      <c r="BQ484" s="3"/>
      <c r="BR484" s="3"/>
      <c r="BS484" s="3"/>
    </row>
    <row r="485" spans="1:71" ht="15">
      <c r="A485" s="65" t="s">
        <v>684</v>
      </c>
      <c r="B485" s="66"/>
      <c r="C485" s="66"/>
      <c r="D485" s="67">
        <v>291.66666666666663</v>
      </c>
      <c r="E485" s="69"/>
      <c r="F485" s="103" t="str">
        <f>HYPERLINK("https://yt3.ggpht.com/LzBFeypdSoopeMrKPAhcDGkzW8J3QzEDnXmlCWcIo2dV-9hiAK3Qj-ryOVcAOyugek_0I3zf=s88-c-k-c0x00ffffff-no-rj")</f>
        <v>https://yt3.ggpht.com/LzBFeypdSoopeMrKPAhcDGkzW8J3QzEDnXmlCWcIo2dV-9hiAK3Qj-ryOVcAOyugek_0I3zf=s88-c-k-c0x00ffffff-no-rj</v>
      </c>
      <c r="G485" s="66"/>
      <c r="H485" s="70" t="s">
        <v>2043</v>
      </c>
      <c r="I485" s="71"/>
      <c r="J485" s="71" t="s">
        <v>159</v>
      </c>
      <c r="K485" s="70" t="s">
        <v>2043</v>
      </c>
      <c r="L485" s="74">
        <v>96.21904761904761</v>
      </c>
      <c r="M485" s="75">
        <v>2137.355712890625</v>
      </c>
      <c r="N485" s="75">
        <v>7948.6591796875</v>
      </c>
      <c r="O485" s="76"/>
      <c r="P485" s="77"/>
      <c r="Q485" s="77"/>
      <c r="R485" s="89"/>
      <c r="S485" s="49">
        <v>1</v>
      </c>
      <c r="T485" s="49">
        <v>1</v>
      </c>
      <c r="U485" s="50">
        <v>0</v>
      </c>
      <c r="V485" s="50">
        <v>0.002801</v>
      </c>
      <c r="W485" s="50">
        <v>0.008244</v>
      </c>
      <c r="X485" s="50">
        <v>0.512495</v>
      </c>
      <c r="Y485" s="50">
        <v>0</v>
      </c>
      <c r="Z485" s="50">
        <v>1</v>
      </c>
      <c r="AA485" s="72">
        <v>485</v>
      </c>
      <c r="AB485" s="72"/>
      <c r="AC485" s="73"/>
      <c r="AD485" s="80" t="s">
        <v>2043</v>
      </c>
      <c r="AE485" s="80"/>
      <c r="AF485" s="80"/>
      <c r="AG485" s="80"/>
      <c r="AH485" s="80"/>
      <c r="AI485" s="80" t="s">
        <v>2651</v>
      </c>
      <c r="AJ485" s="87">
        <v>42640.92418981482</v>
      </c>
      <c r="AK485" s="85" t="str">
        <f>HYPERLINK("https://yt3.ggpht.com/LzBFeypdSoopeMrKPAhcDGkzW8J3QzEDnXmlCWcIo2dV-9hiAK3Qj-ryOVcAOyugek_0I3zf=s88-c-k-c0x00ffffff-no-rj")</f>
        <v>https://yt3.ggpht.com/LzBFeypdSoopeMrKPAhcDGkzW8J3QzEDnXmlCWcIo2dV-9hiAK3Qj-ryOVcAOyugek_0I3zf=s88-c-k-c0x00ffffff-no-rj</v>
      </c>
      <c r="AL485" s="80">
        <v>1186</v>
      </c>
      <c r="AM485" s="80">
        <v>0</v>
      </c>
      <c r="AN485" s="80">
        <v>124</v>
      </c>
      <c r="AO485" s="80" t="b">
        <v>0</v>
      </c>
      <c r="AP485" s="80">
        <v>11</v>
      </c>
      <c r="AQ485" s="80"/>
      <c r="AR485" s="80"/>
      <c r="AS485" s="80" t="s">
        <v>2664</v>
      </c>
      <c r="AT485" s="85" t="str">
        <f>HYPERLINK("https://www.youtube.com/channel/UC0hYEQOJzQENV0fQOjL1hSg")</f>
        <v>https://www.youtube.com/channel/UC0hYEQOJzQENV0fQOjL1hSg</v>
      </c>
      <c r="AU485" s="80" t="str">
        <f>REPLACE(INDEX(GroupVertices[Group],MATCH(Vertices[[#This Row],[Vertex]],GroupVertices[Vertex],0)),1,1,"")</f>
        <v>1</v>
      </c>
      <c r="AV485" s="49">
        <v>0</v>
      </c>
      <c r="AW485" s="50">
        <v>0</v>
      </c>
      <c r="AX485" s="49">
        <v>0</v>
      </c>
      <c r="AY485" s="50">
        <v>0</v>
      </c>
      <c r="AZ485" s="49">
        <v>0</v>
      </c>
      <c r="BA485" s="50">
        <v>0</v>
      </c>
      <c r="BB485" s="49">
        <v>10</v>
      </c>
      <c r="BC485" s="50">
        <v>100</v>
      </c>
      <c r="BD485" s="49">
        <v>10</v>
      </c>
      <c r="BE485" s="49"/>
      <c r="BF485" s="49"/>
      <c r="BG485" s="49"/>
      <c r="BH485" s="49"/>
      <c r="BI485" s="49"/>
      <c r="BJ485" s="49"/>
      <c r="BK485" s="111" t="s">
        <v>4038</v>
      </c>
      <c r="BL485" s="111" t="s">
        <v>4038</v>
      </c>
      <c r="BM485" s="111" t="s">
        <v>3564</v>
      </c>
      <c r="BN485" s="111" t="s">
        <v>3564</v>
      </c>
      <c r="BO485" s="2"/>
      <c r="BP485" s="3"/>
      <c r="BQ485" s="3"/>
      <c r="BR485" s="3"/>
      <c r="BS485" s="3"/>
    </row>
    <row r="486" spans="1:71" ht="15">
      <c r="A486" s="65" t="s">
        <v>685</v>
      </c>
      <c r="B486" s="66"/>
      <c r="C486" s="66"/>
      <c r="D486" s="67">
        <v>150</v>
      </c>
      <c r="E486" s="69"/>
      <c r="F486" s="103" t="str">
        <f>HYPERLINK("https://yt3.ggpht.com/ytc/AAUvwnihzgwIEdLQhnCQIqlls_639c4tP6uvl2iwbiIisg=s88-c-k-c0x00ffffff-no-rj")</f>
        <v>https://yt3.ggpht.com/ytc/AAUvwnihzgwIEdLQhnCQIqlls_639c4tP6uvl2iwbiIisg=s88-c-k-c0x00ffffff-no-rj</v>
      </c>
      <c r="G486" s="66"/>
      <c r="H486" s="70" t="s">
        <v>2044</v>
      </c>
      <c r="I486" s="71"/>
      <c r="J486" s="71" t="s">
        <v>159</v>
      </c>
      <c r="K486" s="70" t="s">
        <v>2044</v>
      </c>
      <c r="L486" s="74">
        <v>1</v>
      </c>
      <c r="M486" s="75">
        <v>1076.0257568359375</v>
      </c>
      <c r="N486" s="75">
        <v>7795.1298828125</v>
      </c>
      <c r="O486" s="76"/>
      <c r="P486" s="77"/>
      <c r="Q486" s="77"/>
      <c r="R486" s="89"/>
      <c r="S486" s="49">
        <v>0</v>
      </c>
      <c r="T486" s="49">
        <v>1</v>
      </c>
      <c r="U486" s="50">
        <v>0</v>
      </c>
      <c r="V486" s="50">
        <v>0.002801</v>
      </c>
      <c r="W486" s="50">
        <v>0.008244</v>
      </c>
      <c r="X486" s="50">
        <v>0.512495</v>
      </c>
      <c r="Y486" s="50">
        <v>0</v>
      </c>
      <c r="Z486" s="50">
        <v>0</v>
      </c>
      <c r="AA486" s="72">
        <v>486</v>
      </c>
      <c r="AB486" s="72"/>
      <c r="AC486" s="73"/>
      <c r="AD486" s="80" t="s">
        <v>2044</v>
      </c>
      <c r="AE486" s="80"/>
      <c r="AF486" s="80"/>
      <c r="AG486" s="80"/>
      <c r="AH486" s="80"/>
      <c r="AI486" s="80"/>
      <c r="AJ486" s="87">
        <v>43151.891875</v>
      </c>
      <c r="AK486" s="85" t="str">
        <f>HYPERLINK("https://yt3.ggpht.com/ytc/AAUvwnihzgwIEdLQhnCQIqlls_639c4tP6uvl2iwbiIisg=s88-c-k-c0x00ffffff-no-rj")</f>
        <v>https://yt3.ggpht.com/ytc/AAUvwnihzgwIEdLQhnCQIqlls_639c4tP6uvl2iwbiIisg=s88-c-k-c0x00ffffff-no-rj</v>
      </c>
      <c r="AL486" s="80">
        <v>0</v>
      </c>
      <c r="AM486" s="80">
        <v>0</v>
      </c>
      <c r="AN486" s="80">
        <v>1</v>
      </c>
      <c r="AO486" s="80" t="b">
        <v>0</v>
      </c>
      <c r="AP486" s="80">
        <v>0</v>
      </c>
      <c r="AQ486" s="80"/>
      <c r="AR486" s="80"/>
      <c r="AS486" s="80" t="s">
        <v>2664</v>
      </c>
      <c r="AT486" s="85" t="str">
        <f>HYPERLINK("https://www.youtube.com/channel/UCa5Twd8eG5BjtHJv0kvoA_w")</f>
        <v>https://www.youtube.com/channel/UCa5Twd8eG5BjtHJv0kvoA_w</v>
      </c>
      <c r="AU486" s="80" t="str">
        <f>REPLACE(INDEX(GroupVertices[Group],MATCH(Vertices[[#This Row],[Vertex]],GroupVertices[Vertex],0)),1,1,"")</f>
        <v>1</v>
      </c>
      <c r="AV486" s="49">
        <v>0</v>
      </c>
      <c r="AW486" s="50">
        <v>0</v>
      </c>
      <c r="AX486" s="49">
        <v>1</v>
      </c>
      <c r="AY486" s="50">
        <v>20</v>
      </c>
      <c r="AZ486" s="49">
        <v>0</v>
      </c>
      <c r="BA486" s="50">
        <v>0</v>
      </c>
      <c r="BB486" s="49">
        <v>4</v>
      </c>
      <c r="BC486" s="50">
        <v>80</v>
      </c>
      <c r="BD486" s="49">
        <v>5</v>
      </c>
      <c r="BE486" s="49"/>
      <c r="BF486" s="49"/>
      <c r="BG486" s="49"/>
      <c r="BH486" s="49"/>
      <c r="BI486" s="49"/>
      <c r="BJ486" s="49"/>
      <c r="BK486" s="111" t="s">
        <v>4039</v>
      </c>
      <c r="BL486" s="111" t="s">
        <v>4039</v>
      </c>
      <c r="BM486" s="111" t="s">
        <v>4504</v>
      </c>
      <c r="BN486" s="111" t="s">
        <v>4504</v>
      </c>
      <c r="BO486" s="2"/>
      <c r="BP486" s="3"/>
      <c r="BQ486" s="3"/>
      <c r="BR486" s="3"/>
      <c r="BS486" s="3"/>
    </row>
    <row r="487" spans="1:71" ht="15">
      <c r="A487" s="65" t="s">
        <v>686</v>
      </c>
      <c r="B487" s="66"/>
      <c r="C487" s="66"/>
      <c r="D487" s="67">
        <v>150</v>
      </c>
      <c r="E487" s="69"/>
      <c r="F487" s="103" t="str">
        <f>HYPERLINK("https://yt3.ggpht.com/ytc/AAUvwnjZMVEZ8G_Hypx72gE_z3xZtH0HkTHMnLmvlMw_Jg=s88-c-k-c0x00ffffff-no-rj")</f>
        <v>https://yt3.ggpht.com/ytc/AAUvwnjZMVEZ8G_Hypx72gE_z3xZtH0HkTHMnLmvlMw_Jg=s88-c-k-c0x00ffffff-no-rj</v>
      </c>
      <c r="G487" s="66"/>
      <c r="H487" s="70" t="s">
        <v>2045</v>
      </c>
      <c r="I487" s="71"/>
      <c r="J487" s="71" t="s">
        <v>159</v>
      </c>
      <c r="K487" s="70" t="s">
        <v>2045</v>
      </c>
      <c r="L487" s="74">
        <v>1</v>
      </c>
      <c r="M487" s="75">
        <v>2208.568115234375</v>
      </c>
      <c r="N487" s="75">
        <v>9739.93359375</v>
      </c>
      <c r="O487" s="76"/>
      <c r="P487" s="77"/>
      <c r="Q487" s="77"/>
      <c r="R487" s="89"/>
      <c r="S487" s="49">
        <v>0</v>
      </c>
      <c r="T487" s="49">
        <v>1</v>
      </c>
      <c r="U487" s="50">
        <v>0</v>
      </c>
      <c r="V487" s="50">
        <v>0.001969</v>
      </c>
      <c r="W487" s="50">
        <v>0.000772</v>
      </c>
      <c r="X487" s="50">
        <v>0.575828</v>
      </c>
      <c r="Y487" s="50">
        <v>0</v>
      </c>
      <c r="Z487" s="50">
        <v>0</v>
      </c>
      <c r="AA487" s="72">
        <v>487</v>
      </c>
      <c r="AB487" s="72"/>
      <c r="AC487" s="73"/>
      <c r="AD487" s="80" t="s">
        <v>2045</v>
      </c>
      <c r="AE487" s="80" t="s">
        <v>2576</v>
      </c>
      <c r="AF487" s="80"/>
      <c r="AG487" s="80"/>
      <c r="AH487" s="80"/>
      <c r="AI487" s="80"/>
      <c r="AJ487" s="87">
        <v>43730.93543981481</v>
      </c>
      <c r="AK487" s="85" t="str">
        <f>HYPERLINK("https://yt3.ggpht.com/ytc/AAUvwnjZMVEZ8G_Hypx72gE_z3xZtH0HkTHMnLmvlMw_Jg=s88-c-k-c0x00ffffff-no-rj")</f>
        <v>https://yt3.ggpht.com/ytc/AAUvwnjZMVEZ8G_Hypx72gE_z3xZtH0HkTHMnLmvlMw_Jg=s88-c-k-c0x00ffffff-no-rj</v>
      </c>
      <c r="AL487" s="80">
        <v>868</v>
      </c>
      <c r="AM487" s="80">
        <v>0</v>
      </c>
      <c r="AN487" s="80">
        <v>39</v>
      </c>
      <c r="AO487" s="80" t="b">
        <v>0</v>
      </c>
      <c r="AP487" s="80">
        <v>14</v>
      </c>
      <c r="AQ487" s="80"/>
      <c r="AR487" s="80"/>
      <c r="AS487" s="80" t="s">
        <v>2664</v>
      </c>
      <c r="AT487" s="85" t="str">
        <f>HYPERLINK("https://www.youtube.com/channel/UCl1auULeEjUJdgyO00Kzy9A")</f>
        <v>https://www.youtube.com/channel/UCl1auULeEjUJdgyO00Kzy9A</v>
      </c>
      <c r="AU487" s="80" t="str">
        <f>REPLACE(INDEX(GroupVertices[Group],MATCH(Vertices[[#This Row],[Vertex]],GroupVertices[Vertex],0)),1,1,"")</f>
        <v>1</v>
      </c>
      <c r="AV487" s="49">
        <v>0</v>
      </c>
      <c r="AW487" s="50">
        <v>0</v>
      </c>
      <c r="AX487" s="49">
        <v>0</v>
      </c>
      <c r="AY487" s="50">
        <v>0</v>
      </c>
      <c r="AZ487" s="49">
        <v>0</v>
      </c>
      <c r="BA487" s="50">
        <v>0</v>
      </c>
      <c r="BB487" s="49">
        <v>1</v>
      </c>
      <c r="BC487" s="50">
        <v>100</v>
      </c>
      <c r="BD487" s="49">
        <v>1</v>
      </c>
      <c r="BE487" s="49"/>
      <c r="BF487" s="49"/>
      <c r="BG487" s="49"/>
      <c r="BH487" s="49"/>
      <c r="BI487" s="49"/>
      <c r="BJ487" s="49"/>
      <c r="BK487" s="111" t="s">
        <v>2390</v>
      </c>
      <c r="BL487" s="111" t="s">
        <v>2390</v>
      </c>
      <c r="BM487" s="111" t="s">
        <v>2390</v>
      </c>
      <c r="BN487" s="111" t="s">
        <v>2390</v>
      </c>
      <c r="BO487" s="2"/>
      <c r="BP487" s="3"/>
      <c r="BQ487" s="3"/>
      <c r="BR487" s="3"/>
      <c r="BS487" s="3"/>
    </row>
    <row r="488" spans="1:71" ht="15">
      <c r="A488" s="65" t="s">
        <v>687</v>
      </c>
      <c r="B488" s="66"/>
      <c r="C488" s="66"/>
      <c r="D488" s="67">
        <v>291.66666666666663</v>
      </c>
      <c r="E488" s="69"/>
      <c r="F488" s="103" t="str">
        <f>HYPERLINK("https://yt3.ggpht.com/ytc/AAUvwniC0NSKUgC1NHMILRZIivAqxfDsIY-8CQHAxTwz=s88-c-k-c0x00ffffff-no-rj")</f>
        <v>https://yt3.ggpht.com/ytc/AAUvwniC0NSKUgC1NHMILRZIivAqxfDsIY-8CQHAxTwz=s88-c-k-c0x00ffffff-no-rj</v>
      </c>
      <c r="G488" s="66"/>
      <c r="H488" s="70" t="s">
        <v>2046</v>
      </c>
      <c r="I488" s="71"/>
      <c r="J488" s="71" t="s">
        <v>159</v>
      </c>
      <c r="K488" s="70" t="s">
        <v>2046</v>
      </c>
      <c r="L488" s="74">
        <v>96.21904761904761</v>
      </c>
      <c r="M488" s="75">
        <v>1930.6246337890625</v>
      </c>
      <c r="N488" s="75">
        <v>8501.01953125</v>
      </c>
      <c r="O488" s="76"/>
      <c r="P488" s="77"/>
      <c r="Q488" s="77"/>
      <c r="R488" s="89"/>
      <c r="S488" s="49">
        <v>1</v>
      </c>
      <c r="T488" s="49">
        <v>1</v>
      </c>
      <c r="U488" s="50">
        <v>306</v>
      </c>
      <c r="V488" s="50">
        <v>0.002817</v>
      </c>
      <c r="W488" s="50">
        <v>0.008315</v>
      </c>
      <c r="X488" s="50">
        <v>1.001948</v>
      </c>
      <c r="Y488" s="50">
        <v>0</v>
      </c>
      <c r="Z488" s="50">
        <v>0</v>
      </c>
      <c r="AA488" s="72">
        <v>488</v>
      </c>
      <c r="AB488" s="72"/>
      <c r="AC488" s="73"/>
      <c r="AD488" s="80" t="s">
        <v>2046</v>
      </c>
      <c r="AE488" s="80"/>
      <c r="AF488" s="80"/>
      <c r="AG488" s="80"/>
      <c r="AH488" s="80"/>
      <c r="AI488" s="80"/>
      <c r="AJ488" s="87">
        <v>43375.90447916667</v>
      </c>
      <c r="AK488" s="85" t="str">
        <f>HYPERLINK("https://yt3.ggpht.com/ytc/AAUvwniC0NSKUgC1NHMILRZIivAqxfDsIY-8CQHAxTwz=s88-c-k-c0x00ffffff-no-rj")</f>
        <v>https://yt3.ggpht.com/ytc/AAUvwniC0NSKUgC1NHMILRZIivAqxfDsIY-8CQHAxTwz=s88-c-k-c0x00ffffff-no-rj</v>
      </c>
      <c r="AL488" s="80">
        <v>0</v>
      </c>
      <c r="AM488" s="80">
        <v>0</v>
      </c>
      <c r="AN488" s="80">
        <v>1</v>
      </c>
      <c r="AO488" s="80" t="b">
        <v>0</v>
      </c>
      <c r="AP488" s="80">
        <v>0</v>
      </c>
      <c r="AQ488" s="80"/>
      <c r="AR488" s="80"/>
      <c r="AS488" s="80" t="s">
        <v>2664</v>
      </c>
      <c r="AT488" s="85" t="str">
        <f>HYPERLINK("https://www.youtube.com/channel/UC_fDWpABeZRT7ZO4gqnLWBQ")</f>
        <v>https://www.youtube.com/channel/UC_fDWpABeZRT7ZO4gqnLWBQ</v>
      </c>
      <c r="AU488" s="80" t="str">
        <f>REPLACE(INDEX(GroupVertices[Group],MATCH(Vertices[[#This Row],[Vertex]],GroupVertices[Vertex],0)),1,1,"")</f>
        <v>1</v>
      </c>
      <c r="AV488" s="49">
        <v>0</v>
      </c>
      <c r="AW488" s="50">
        <v>0</v>
      </c>
      <c r="AX488" s="49">
        <v>1</v>
      </c>
      <c r="AY488" s="50">
        <v>6.666666666666667</v>
      </c>
      <c r="AZ488" s="49">
        <v>0</v>
      </c>
      <c r="BA488" s="50">
        <v>0</v>
      </c>
      <c r="BB488" s="49">
        <v>14</v>
      </c>
      <c r="BC488" s="50">
        <v>93.33333333333333</v>
      </c>
      <c r="BD488" s="49">
        <v>15</v>
      </c>
      <c r="BE488" s="49"/>
      <c r="BF488" s="49"/>
      <c r="BG488" s="49"/>
      <c r="BH488" s="49"/>
      <c r="BI488" s="49"/>
      <c r="BJ488" s="49"/>
      <c r="BK488" s="111" t="s">
        <v>4040</v>
      </c>
      <c r="BL488" s="111" t="s">
        <v>4040</v>
      </c>
      <c r="BM488" s="111" t="s">
        <v>4505</v>
      </c>
      <c r="BN488" s="111" t="s">
        <v>4505</v>
      </c>
      <c r="BO488" s="2"/>
      <c r="BP488" s="3"/>
      <c r="BQ488" s="3"/>
      <c r="BR488" s="3"/>
      <c r="BS488" s="3"/>
    </row>
    <row r="489" spans="1:71" ht="15">
      <c r="A489" s="65" t="s">
        <v>688</v>
      </c>
      <c r="B489" s="66"/>
      <c r="C489" s="66"/>
      <c r="D489" s="67">
        <v>150</v>
      </c>
      <c r="E489" s="69"/>
      <c r="F489" s="103" t="str">
        <f>HYPERLINK("https://yt3.ggpht.com/ytc/AAUvwnhzN2aYTLDE8REh2wRHmvSxA9aB2d9QkbhCQJAduw=s88-c-k-c0x00ffffff-no-rj")</f>
        <v>https://yt3.ggpht.com/ytc/AAUvwnhzN2aYTLDE8REh2wRHmvSxA9aB2d9QkbhCQJAduw=s88-c-k-c0x00ffffff-no-rj</v>
      </c>
      <c r="G489" s="66"/>
      <c r="H489" s="70" t="s">
        <v>2047</v>
      </c>
      <c r="I489" s="71"/>
      <c r="J489" s="71" t="s">
        <v>159</v>
      </c>
      <c r="K489" s="70" t="s">
        <v>2047</v>
      </c>
      <c r="L489" s="74">
        <v>1</v>
      </c>
      <c r="M489" s="75">
        <v>1239.62744140625</v>
      </c>
      <c r="N489" s="75">
        <v>6066.06884765625</v>
      </c>
      <c r="O489" s="76"/>
      <c r="P489" s="77"/>
      <c r="Q489" s="77"/>
      <c r="R489" s="89"/>
      <c r="S489" s="49">
        <v>0</v>
      </c>
      <c r="T489" s="49">
        <v>1</v>
      </c>
      <c r="U489" s="50">
        <v>0</v>
      </c>
      <c r="V489" s="50">
        <v>0.002801</v>
      </c>
      <c r="W489" s="50">
        <v>0.008244</v>
      </c>
      <c r="X489" s="50">
        <v>0.512495</v>
      </c>
      <c r="Y489" s="50">
        <v>0</v>
      </c>
      <c r="Z489" s="50">
        <v>0</v>
      </c>
      <c r="AA489" s="72">
        <v>489</v>
      </c>
      <c r="AB489" s="72"/>
      <c r="AC489" s="73"/>
      <c r="AD489" s="80" t="s">
        <v>2047</v>
      </c>
      <c r="AE489" s="80"/>
      <c r="AF489" s="80"/>
      <c r="AG489" s="80"/>
      <c r="AH489" s="80"/>
      <c r="AI489" s="80"/>
      <c r="AJ489" s="87">
        <v>42595.597858796296</v>
      </c>
      <c r="AK489" s="85" t="str">
        <f>HYPERLINK("https://yt3.ggpht.com/ytc/AAUvwnhzN2aYTLDE8REh2wRHmvSxA9aB2d9QkbhCQJAduw=s88-c-k-c0x00ffffff-no-rj")</f>
        <v>https://yt3.ggpht.com/ytc/AAUvwnhzN2aYTLDE8REh2wRHmvSxA9aB2d9QkbhCQJAduw=s88-c-k-c0x00ffffff-no-rj</v>
      </c>
      <c r="AL489" s="80">
        <v>0</v>
      </c>
      <c r="AM489" s="80">
        <v>0</v>
      </c>
      <c r="AN489" s="80">
        <v>0</v>
      </c>
      <c r="AO489" s="80" t="b">
        <v>0</v>
      </c>
      <c r="AP489" s="80">
        <v>0</v>
      </c>
      <c r="AQ489" s="80"/>
      <c r="AR489" s="80"/>
      <c r="AS489" s="80" t="s">
        <v>2664</v>
      </c>
      <c r="AT489" s="85" t="str">
        <f>HYPERLINK("https://www.youtube.com/channel/UCL5N-vp8oWI3Tm_PqycG0Ow")</f>
        <v>https://www.youtube.com/channel/UCL5N-vp8oWI3Tm_PqycG0Ow</v>
      </c>
      <c r="AU489" s="80" t="str">
        <f>REPLACE(INDEX(GroupVertices[Group],MATCH(Vertices[[#This Row],[Vertex]],GroupVertices[Vertex],0)),1,1,"")</f>
        <v>1</v>
      </c>
      <c r="AV489" s="49">
        <v>0</v>
      </c>
      <c r="AW489" s="50">
        <v>0</v>
      </c>
      <c r="AX489" s="49">
        <v>1</v>
      </c>
      <c r="AY489" s="50">
        <v>14.285714285714286</v>
      </c>
      <c r="AZ489" s="49">
        <v>0</v>
      </c>
      <c r="BA489" s="50">
        <v>0</v>
      </c>
      <c r="BB489" s="49">
        <v>6</v>
      </c>
      <c r="BC489" s="50">
        <v>85.71428571428571</v>
      </c>
      <c r="BD489" s="49">
        <v>7</v>
      </c>
      <c r="BE489" s="49"/>
      <c r="BF489" s="49"/>
      <c r="BG489" s="49"/>
      <c r="BH489" s="49"/>
      <c r="BI489" s="49"/>
      <c r="BJ489" s="49"/>
      <c r="BK489" s="111" t="s">
        <v>4041</v>
      </c>
      <c r="BL489" s="111" t="s">
        <v>4041</v>
      </c>
      <c r="BM489" s="111" t="s">
        <v>4506</v>
      </c>
      <c r="BN489" s="111" t="s">
        <v>4506</v>
      </c>
      <c r="BO489" s="2"/>
      <c r="BP489" s="3"/>
      <c r="BQ489" s="3"/>
      <c r="BR489" s="3"/>
      <c r="BS489" s="3"/>
    </row>
    <row r="490" spans="1:71" ht="15">
      <c r="A490" s="65" t="s">
        <v>689</v>
      </c>
      <c r="B490" s="66"/>
      <c r="C490" s="66"/>
      <c r="D490" s="67">
        <v>150</v>
      </c>
      <c r="E490" s="69"/>
      <c r="F490" s="103" t="str">
        <f>HYPERLINK("https://yt3.ggpht.com/ytc/AAUvwngbp5YvC6mMGCdSoHWqOW_pwVhaxLKFjBVTj1YitQ=s88-c-k-c0x00ffffff-no-rj")</f>
        <v>https://yt3.ggpht.com/ytc/AAUvwngbp5YvC6mMGCdSoHWqOW_pwVhaxLKFjBVTj1YitQ=s88-c-k-c0x00ffffff-no-rj</v>
      </c>
      <c r="G490" s="66"/>
      <c r="H490" s="70" t="s">
        <v>2048</v>
      </c>
      <c r="I490" s="71"/>
      <c r="J490" s="71" t="s">
        <v>159</v>
      </c>
      <c r="K490" s="70" t="s">
        <v>2048</v>
      </c>
      <c r="L490" s="74">
        <v>1</v>
      </c>
      <c r="M490" s="75">
        <v>1110.6278076171875</v>
      </c>
      <c r="N490" s="75">
        <v>6210.53955078125</v>
      </c>
      <c r="O490" s="76"/>
      <c r="P490" s="77"/>
      <c r="Q490" s="77"/>
      <c r="R490" s="89"/>
      <c r="S490" s="49">
        <v>0</v>
      </c>
      <c r="T490" s="49">
        <v>1</v>
      </c>
      <c r="U490" s="50">
        <v>0</v>
      </c>
      <c r="V490" s="50">
        <v>0.002801</v>
      </c>
      <c r="W490" s="50">
        <v>0.008244</v>
      </c>
      <c r="X490" s="50">
        <v>0.512495</v>
      </c>
      <c r="Y490" s="50">
        <v>0</v>
      </c>
      <c r="Z490" s="50">
        <v>0</v>
      </c>
      <c r="AA490" s="72">
        <v>490</v>
      </c>
      <c r="AB490" s="72"/>
      <c r="AC490" s="73"/>
      <c r="AD490" s="80" t="s">
        <v>2048</v>
      </c>
      <c r="AE490" s="80" t="s">
        <v>2577</v>
      </c>
      <c r="AF490" s="80"/>
      <c r="AG490" s="80"/>
      <c r="AH490" s="80"/>
      <c r="AI490" s="80"/>
      <c r="AJ490" s="87">
        <v>41939.82996527778</v>
      </c>
      <c r="AK490" s="85" t="str">
        <f>HYPERLINK("https://yt3.ggpht.com/ytc/AAUvwngbp5YvC6mMGCdSoHWqOW_pwVhaxLKFjBVTj1YitQ=s88-c-k-c0x00ffffff-no-rj")</f>
        <v>https://yt3.ggpht.com/ytc/AAUvwngbp5YvC6mMGCdSoHWqOW_pwVhaxLKFjBVTj1YitQ=s88-c-k-c0x00ffffff-no-rj</v>
      </c>
      <c r="AL490" s="80">
        <v>6022</v>
      </c>
      <c r="AM490" s="80">
        <v>0</v>
      </c>
      <c r="AN490" s="80">
        <v>49</v>
      </c>
      <c r="AO490" s="80" t="b">
        <v>0</v>
      </c>
      <c r="AP490" s="80">
        <v>37</v>
      </c>
      <c r="AQ490" s="80"/>
      <c r="AR490" s="80"/>
      <c r="AS490" s="80" t="s">
        <v>2664</v>
      </c>
      <c r="AT490" s="85" t="str">
        <f>HYPERLINK("https://www.youtube.com/channel/UC1bpNQkvNb6XxeMRCYfbfow")</f>
        <v>https://www.youtube.com/channel/UC1bpNQkvNb6XxeMRCYfbfow</v>
      </c>
      <c r="AU490" s="80" t="str">
        <f>REPLACE(INDEX(GroupVertices[Group],MATCH(Vertices[[#This Row],[Vertex]],GroupVertices[Vertex],0)),1,1,"")</f>
        <v>1</v>
      </c>
      <c r="AV490" s="49">
        <v>0</v>
      </c>
      <c r="AW490" s="50">
        <v>0</v>
      </c>
      <c r="AX490" s="49">
        <v>0</v>
      </c>
      <c r="AY490" s="50">
        <v>0</v>
      </c>
      <c r="AZ490" s="49">
        <v>0</v>
      </c>
      <c r="BA490" s="50">
        <v>0</v>
      </c>
      <c r="BB490" s="49">
        <v>1</v>
      </c>
      <c r="BC490" s="50">
        <v>100</v>
      </c>
      <c r="BD490" s="49">
        <v>1</v>
      </c>
      <c r="BE490" s="49"/>
      <c r="BF490" s="49"/>
      <c r="BG490" s="49"/>
      <c r="BH490" s="49"/>
      <c r="BI490" s="49"/>
      <c r="BJ490" s="49"/>
      <c r="BK490" s="111" t="s">
        <v>4042</v>
      </c>
      <c r="BL490" s="111" t="s">
        <v>4042</v>
      </c>
      <c r="BM490" s="111" t="s">
        <v>2390</v>
      </c>
      <c r="BN490" s="111" t="s">
        <v>2390</v>
      </c>
      <c r="BO490" s="2"/>
      <c r="BP490" s="3"/>
      <c r="BQ490" s="3"/>
      <c r="BR490" s="3"/>
      <c r="BS490" s="3"/>
    </row>
    <row r="491" spans="1:71" ht="15">
      <c r="A491" s="65" t="s">
        <v>690</v>
      </c>
      <c r="B491" s="66"/>
      <c r="C491" s="66"/>
      <c r="D491" s="67">
        <v>150</v>
      </c>
      <c r="E491" s="69"/>
      <c r="F491" s="103" t="str">
        <f>HYPERLINK("https://yt3.ggpht.com/ytc/AAUvwnjvWqgCZ_lF1uZpN79fCblP0oUL65DaKedaEwk_=s88-c-k-c0x00ffffff-no-rj")</f>
        <v>https://yt3.ggpht.com/ytc/AAUvwnjvWqgCZ_lF1uZpN79fCblP0oUL65DaKedaEwk_=s88-c-k-c0x00ffffff-no-rj</v>
      </c>
      <c r="G491" s="66"/>
      <c r="H491" s="70" t="s">
        <v>2049</v>
      </c>
      <c r="I491" s="71"/>
      <c r="J491" s="71" t="s">
        <v>159</v>
      </c>
      <c r="K491" s="70" t="s">
        <v>2049</v>
      </c>
      <c r="L491" s="74">
        <v>1</v>
      </c>
      <c r="M491" s="75">
        <v>1986.3829345703125</v>
      </c>
      <c r="N491" s="75">
        <v>7952.51806640625</v>
      </c>
      <c r="O491" s="76"/>
      <c r="P491" s="77"/>
      <c r="Q491" s="77"/>
      <c r="R491" s="89"/>
      <c r="S491" s="49">
        <v>0</v>
      </c>
      <c r="T491" s="49">
        <v>1</v>
      </c>
      <c r="U491" s="50">
        <v>0</v>
      </c>
      <c r="V491" s="50">
        <v>0.002801</v>
      </c>
      <c r="W491" s="50">
        <v>0.008244</v>
      </c>
      <c r="X491" s="50">
        <v>0.512495</v>
      </c>
      <c r="Y491" s="50">
        <v>0</v>
      </c>
      <c r="Z491" s="50">
        <v>0</v>
      </c>
      <c r="AA491" s="72">
        <v>491</v>
      </c>
      <c r="AB491" s="72"/>
      <c r="AC491" s="73"/>
      <c r="AD491" s="80" t="s">
        <v>2049</v>
      </c>
      <c r="AE491" s="80"/>
      <c r="AF491" s="80"/>
      <c r="AG491" s="80"/>
      <c r="AH491" s="80"/>
      <c r="AI491" s="80"/>
      <c r="AJ491" s="87">
        <v>43495.76756944445</v>
      </c>
      <c r="AK491" s="85" t="str">
        <f>HYPERLINK("https://yt3.ggpht.com/ytc/AAUvwnjvWqgCZ_lF1uZpN79fCblP0oUL65DaKedaEwk_=s88-c-k-c0x00ffffff-no-rj")</f>
        <v>https://yt3.ggpht.com/ytc/AAUvwnjvWqgCZ_lF1uZpN79fCblP0oUL65DaKedaEwk_=s88-c-k-c0x00ffffff-no-rj</v>
      </c>
      <c r="AL491" s="80">
        <v>0</v>
      </c>
      <c r="AM491" s="80">
        <v>0</v>
      </c>
      <c r="AN491" s="80">
        <v>1</v>
      </c>
      <c r="AO491" s="80" t="b">
        <v>0</v>
      </c>
      <c r="AP491" s="80">
        <v>0</v>
      </c>
      <c r="AQ491" s="80"/>
      <c r="AR491" s="80"/>
      <c r="AS491" s="80" t="s">
        <v>2664</v>
      </c>
      <c r="AT491" s="85" t="str">
        <f>HYPERLINK("https://www.youtube.com/channel/UCbHzEdAZJb44oRiVIPitwgQ")</f>
        <v>https://www.youtube.com/channel/UCbHzEdAZJb44oRiVIPitwgQ</v>
      </c>
      <c r="AU491" s="80" t="str">
        <f>REPLACE(INDEX(GroupVertices[Group],MATCH(Vertices[[#This Row],[Vertex]],GroupVertices[Vertex],0)),1,1,"")</f>
        <v>1</v>
      </c>
      <c r="AV491" s="49">
        <v>1</v>
      </c>
      <c r="AW491" s="50">
        <v>6.25</v>
      </c>
      <c r="AX491" s="49">
        <v>0</v>
      </c>
      <c r="AY491" s="50">
        <v>0</v>
      </c>
      <c r="AZ491" s="49">
        <v>0</v>
      </c>
      <c r="BA491" s="50">
        <v>0</v>
      </c>
      <c r="BB491" s="49">
        <v>15</v>
      </c>
      <c r="BC491" s="50">
        <v>93.75</v>
      </c>
      <c r="BD491" s="49">
        <v>16</v>
      </c>
      <c r="BE491" s="49"/>
      <c r="BF491" s="49"/>
      <c r="BG491" s="49"/>
      <c r="BH491" s="49"/>
      <c r="BI491" s="49"/>
      <c r="BJ491" s="49"/>
      <c r="BK491" s="111" t="s">
        <v>4043</v>
      </c>
      <c r="BL491" s="111" t="s">
        <v>4043</v>
      </c>
      <c r="BM491" s="111" t="s">
        <v>4507</v>
      </c>
      <c r="BN491" s="111" t="s">
        <v>4507</v>
      </c>
      <c r="BO491" s="2"/>
      <c r="BP491" s="3"/>
      <c r="BQ491" s="3"/>
      <c r="BR491" s="3"/>
      <c r="BS491" s="3"/>
    </row>
    <row r="492" spans="1:71" ht="15">
      <c r="A492" s="65" t="s">
        <v>691</v>
      </c>
      <c r="B492" s="66"/>
      <c r="C492" s="66"/>
      <c r="D492" s="67">
        <v>150</v>
      </c>
      <c r="E492" s="69"/>
      <c r="F492" s="103" t="str">
        <f>HYPERLINK("https://yt3.ggpht.com/rlzTmCyZcPkFb5sGvmfLDMrd-BTQJ8n6Hvudv51v0DQf4Qu_IsyQzSoczprMVweqe5FEiKRbiw=s88-c-k-c0x00ffffff-no-rj")</f>
        <v>https://yt3.ggpht.com/rlzTmCyZcPkFb5sGvmfLDMrd-BTQJ8n6Hvudv51v0DQf4Qu_IsyQzSoczprMVweqe5FEiKRbiw=s88-c-k-c0x00ffffff-no-rj</v>
      </c>
      <c r="G492" s="66"/>
      <c r="H492" s="70" t="s">
        <v>2050</v>
      </c>
      <c r="I492" s="71"/>
      <c r="J492" s="71" t="s">
        <v>159</v>
      </c>
      <c r="K492" s="70" t="s">
        <v>2050</v>
      </c>
      <c r="L492" s="74">
        <v>1</v>
      </c>
      <c r="M492" s="75">
        <v>2461.206298828125</v>
      </c>
      <c r="N492" s="75">
        <v>6722.376953125</v>
      </c>
      <c r="O492" s="76"/>
      <c r="P492" s="77"/>
      <c r="Q492" s="77"/>
      <c r="R492" s="89"/>
      <c r="S492" s="49">
        <v>0</v>
      </c>
      <c r="T492" s="49">
        <v>1</v>
      </c>
      <c r="U492" s="50">
        <v>0</v>
      </c>
      <c r="V492" s="50">
        <v>0.002801</v>
      </c>
      <c r="W492" s="50">
        <v>0.008244</v>
      </c>
      <c r="X492" s="50">
        <v>0.512495</v>
      </c>
      <c r="Y492" s="50">
        <v>0</v>
      </c>
      <c r="Z492" s="50">
        <v>0</v>
      </c>
      <c r="AA492" s="72">
        <v>492</v>
      </c>
      <c r="AB492" s="72"/>
      <c r="AC492" s="73"/>
      <c r="AD492" s="80" t="s">
        <v>2050</v>
      </c>
      <c r="AE492" s="80"/>
      <c r="AF492" s="80"/>
      <c r="AG492" s="80"/>
      <c r="AH492" s="80"/>
      <c r="AI492" s="80"/>
      <c r="AJ492" s="87">
        <v>41087.01675925926</v>
      </c>
      <c r="AK492" s="85" t="str">
        <f>HYPERLINK("https://yt3.ggpht.com/rlzTmCyZcPkFb5sGvmfLDMrd-BTQJ8n6Hvudv51v0DQf4Qu_IsyQzSoczprMVweqe5FEiKRbiw=s88-c-k-c0x00ffffff-no-rj")</f>
        <v>https://yt3.ggpht.com/rlzTmCyZcPkFb5sGvmfLDMrd-BTQJ8n6Hvudv51v0DQf4Qu_IsyQzSoczprMVweqe5FEiKRbiw=s88-c-k-c0x00ffffff-no-rj</v>
      </c>
      <c r="AL492" s="80">
        <v>0</v>
      </c>
      <c r="AM492" s="80">
        <v>0</v>
      </c>
      <c r="AN492" s="80">
        <v>0</v>
      </c>
      <c r="AO492" s="80" t="b">
        <v>0</v>
      </c>
      <c r="AP492" s="80">
        <v>0</v>
      </c>
      <c r="AQ492" s="80"/>
      <c r="AR492" s="80"/>
      <c r="AS492" s="80" t="s">
        <v>2664</v>
      </c>
      <c r="AT492" s="85" t="str">
        <f>HYPERLINK("https://www.youtube.com/channel/UCcKHG9CH1LRU4yJIUyZw5-w")</f>
        <v>https://www.youtube.com/channel/UCcKHG9CH1LRU4yJIUyZw5-w</v>
      </c>
      <c r="AU492" s="80" t="str">
        <f>REPLACE(INDEX(GroupVertices[Group],MATCH(Vertices[[#This Row],[Vertex]],GroupVertices[Vertex],0)),1,1,"")</f>
        <v>1</v>
      </c>
      <c r="AV492" s="49">
        <v>0</v>
      </c>
      <c r="AW492" s="50">
        <v>0</v>
      </c>
      <c r="AX492" s="49">
        <v>1</v>
      </c>
      <c r="AY492" s="50">
        <v>5.2631578947368425</v>
      </c>
      <c r="AZ492" s="49">
        <v>0</v>
      </c>
      <c r="BA492" s="50">
        <v>0</v>
      </c>
      <c r="BB492" s="49">
        <v>18</v>
      </c>
      <c r="BC492" s="50">
        <v>94.73684210526316</v>
      </c>
      <c r="BD492" s="49">
        <v>19</v>
      </c>
      <c r="BE492" s="49"/>
      <c r="BF492" s="49"/>
      <c r="BG492" s="49"/>
      <c r="BH492" s="49"/>
      <c r="BI492" s="49"/>
      <c r="BJ492" s="49"/>
      <c r="BK492" s="111" t="s">
        <v>4044</v>
      </c>
      <c r="BL492" s="111" t="s">
        <v>4044</v>
      </c>
      <c r="BM492" s="111" t="s">
        <v>4508</v>
      </c>
      <c r="BN492" s="111" t="s">
        <v>4508</v>
      </c>
      <c r="BO492" s="2"/>
      <c r="BP492" s="3"/>
      <c r="BQ492" s="3"/>
      <c r="BR492" s="3"/>
      <c r="BS492" s="3"/>
    </row>
    <row r="493" spans="1:71" ht="15">
      <c r="A493" s="65" t="s">
        <v>692</v>
      </c>
      <c r="B493" s="66"/>
      <c r="C493" s="66"/>
      <c r="D493" s="67">
        <v>150</v>
      </c>
      <c r="E493" s="69"/>
      <c r="F493" s="103" t="str">
        <f>HYPERLINK("https://yt3.ggpht.com/Q30-9qH5M8XMalpa2cmJzjyKDZ1EYT0fN1ao3vC3xzvhmB54s-etoxUPQmREJp4sexRSdDSmCw=s88-c-k-c0x00ffffff-no-rj")</f>
        <v>https://yt3.ggpht.com/Q30-9qH5M8XMalpa2cmJzjyKDZ1EYT0fN1ao3vC3xzvhmB54s-etoxUPQmREJp4sexRSdDSmCw=s88-c-k-c0x00ffffff-no-rj</v>
      </c>
      <c r="G493" s="66"/>
      <c r="H493" s="70" t="s">
        <v>2051</v>
      </c>
      <c r="I493" s="71"/>
      <c r="J493" s="71" t="s">
        <v>159</v>
      </c>
      <c r="K493" s="70" t="s">
        <v>2051</v>
      </c>
      <c r="L493" s="74">
        <v>1</v>
      </c>
      <c r="M493" s="75">
        <v>2488.436279296875</v>
      </c>
      <c r="N493" s="75">
        <v>7290.6533203125</v>
      </c>
      <c r="O493" s="76"/>
      <c r="P493" s="77"/>
      <c r="Q493" s="77"/>
      <c r="R493" s="89"/>
      <c r="S493" s="49">
        <v>0</v>
      </c>
      <c r="T493" s="49">
        <v>1</v>
      </c>
      <c r="U493" s="50">
        <v>0</v>
      </c>
      <c r="V493" s="50">
        <v>0.002801</v>
      </c>
      <c r="W493" s="50">
        <v>0.008244</v>
      </c>
      <c r="X493" s="50">
        <v>0.512495</v>
      </c>
      <c r="Y493" s="50">
        <v>0</v>
      </c>
      <c r="Z493" s="50">
        <v>0</v>
      </c>
      <c r="AA493" s="72">
        <v>493</v>
      </c>
      <c r="AB493" s="72"/>
      <c r="AC493" s="73"/>
      <c r="AD493" s="80" t="s">
        <v>2051</v>
      </c>
      <c r="AE493" s="80"/>
      <c r="AF493" s="80"/>
      <c r="AG493" s="80"/>
      <c r="AH493" s="80"/>
      <c r="AI493" s="80"/>
      <c r="AJ493" s="87">
        <v>44146.76459490741</v>
      </c>
      <c r="AK493" s="85" t="str">
        <f>HYPERLINK("https://yt3.ggpht.com/Q30-9qH5M8XMalpa2cmJzjyKDZ1EYT0fN1ao3vC3xzvhmB54s-etoxUPQmREJp4sexRSdDSmCw=s88-c-k-c0x00ffffff-no-rj")</f>
        <v>https://yt3.ggpht.com/Q30-9qH5M8XMalpa2cmJzjyKDZ1EYT0fN1ao3vC3xzvhmB54s-etoxUPQmREJp4sexRSdDSmCw=s88-c-k-c0x00ffffff-no-rj</v>
      </c>
      <c r="AL493" s="80">
        <v>0</v>
      </c>
      <c r="AM493" s="80">
        <v>0</v>
      </c>
      <c r="AN493" s="80">
        <v>0</v>
      </c>
      <c r="AO493" s="80" t="b">
        <v>0</v>
      </c>
      <c r="AP493" s="80">
        <v>0</v>
      </c>
      <c r="AQ493" s="80"/>
      <c r="AR493" s="80"/>
      <c r="AS493" s="80" t="s">
        <v>2664</v>
      </c>
      <c r="AT493" s="85" t="str">
        <f>HYPERLINK("https://www.youtube.com/channel/UCRdsglSr8JV0jxanZ1wj0jg")</f>
        <v>https://www.youtube.com/channel/UCRdsglSr8JV0jxanZ1wj0jg</v>
      </c>
      <c r="AU493" s="80" t="str">
        <f>REPLACE(INDEX(GroupVertices[Group],MATCH(Vertices[[#This Row],[Vertex]],GroupVertices[Vertex],0)),1,1,"")</f>
        <v>1</v>
      </c>
      <c r="AV493" s="49">
        <v>1</v>
      </c>
      <c r="AW493" s="50">
        <v>7.6923076923076925</v>
      </c>
      <c r="AX493" s="49">
        <v>0</v>
      </c>
      <c r="AY493" s="50">
        <v>0</v>
      </c>
      <c r="AZ493" s="49">
        <v>0</v>
      </c>
      <c r="BA493" s="50">
        <v>0</v>
      </c>
      <c r="BB493" s="49">
        <v>12</v>
      </c>
      <c r="BC493" s="50">
        <v>92.3076923076923</v>
      </c>
      <c r="BD493" s="49">
        <v>13</v>
      </c>
      <c r="BE493" s="49"/>
      <c r="BF493" s="49"/>
      <c r="BG493" s="49"/>
      <c r="BH493" s="49"/>
      <c r="BI493" s="49"/>
      <c r="BJ493" s="49"/>
      <c r="BK493" s="111" t="s">
        <v>4045</v>
      </c>
      <c r="BL493" s="111" t="s">
        <v>4045</v>
      </c>
      <c r="BM493" s="111" t="s">
        <v>4509</v>
      </c>
      <c r="BN493" s="111" t="s">
        <v>4509</v>
      </c>
      <c r="BO493" s="2"/>
      <c r="BP493" s="3"/>
      <c r="BQ493" s="3"/>
      <c r="BR493" s="3"/>
      <c r="BS493" s="3"/>
    </row>
    <row r="494" spans="1:71" ht="15">
      <c r="A494" s="65" t="s">
        <v>693</v>
      </c>
      <c r="B494" s="66"/>
      <c r="C494" s="66"/>
      <c r="D494" s="67">
        <v>150</v>
      </c>
      <c r="E494" s="69"/>
      <c r="F494" s="103" t="str">
        <f>HYPERLINK("https://yt3.ggpht.com/ytc/AAUvwnhH8OtuQ_-2-nv7uMICrkQrd5dGuU9Eze_I9XsS=s88-c-k-c0x00ffffff-no-rj")</f>
        <v>https://yt3.ggpht.com/ytc/AAUvwnhH8OtuQ_-2-nv7uMICrkQrd5dGuU9Eze_I9XsS=s88-c-k-c0x00ffffff-no-rj</v>
      </c>
      <c r="G494" s="66"/>
      <c r="H494" s="70" t="s">
        <v>2052</v>
      </c>
      <c r="I494" s="71"/>
      <c r="J494" s="71" t="s">
        <v>159</v>
      </c>
      <c r="K494" s="70" t="s">
        <v>2052</v>
      </c>
      <c r="L494" s="74">
        <v>1</v>
      </c>
      <c r="M494" s="75">
        <v>2095.503173828125</v>
      </c>
      <c r="N494" s="75">
        <v>6695.77099609375</v>
      </c>
      <c r="O494" s="76"/>
      <c r="P494" s="77"/>
      <c r="Q494" s="77"/>
      <c r="R494" s="89"/>
      <c r="S494" s="49">
        <v>0</v>
      </c>
      <c r="T494" s="49">
        <v>1</v>
      </c>
      <c r="U494" s="50">
        <v>0</v>
      </c>
      <c r="V494" s="50">
        <v>0.002801</v>
      </c>
      <c r="W494" s="50">
        <v>0.008244</v>
      </c>
      <c r="X494" s="50">
        <v>0.512495</v>
      </c>
      <c r="Y494" s="50">
        <v>0</v>
      </c>
      <c r="Z494" s="50">
        <v>0</v>
      </c>
      <c r="AA494" s="72">
        <v>494</v>
      </c>
      <c r="AB494" s="72"/>
      <c r="AC494" s="73"/>
      <c r="AD494" s="80" t="s">
        <v>2052</v>
      </c>
      <c r="AE494" s="80"/>
      <c r="AF494" s="80"/>
      <c r="AG494" s="80"/>
      <c r="AH494" s="80"/>
      <c r="AI494" s="80"/>
      <c r="AJ494" s="87">
        <v>43203.67444444444</v>
      </c>
      <c r="AK494" s="85" t="str">
        <f>HYPERLINK("https://yt3.ggpht.com/ytc/AAUvwnhH8OtuQ_-2-nv7uMICrkQrd5dGuU9Eze_I9XsS=s88-c-k-c0x00ffffff-no-rj")</f>
        <v>https://yt3.ggpht.com/ytc/AAUvwnhH8OtuQ_-2-nv7uMICrkQrd5dGuU9Eze_I9XsS=s88-c-k-c0x00ffffff-no-rj</v>
      </c>
      <c r="AL494" s="80">
        <v>170</v>
      </c>
      <c r="AM494" s="80">
        <v>0</v>
      </c>
      <c r="AN494" s="80">
        <v>5</v>
      </c>
      <c r="AO494" s="80" t="b">
        <v>0</v>
      </c>
      <c r="AP494" s="80">
        <v>8</v>
      </c>
      <c r="AQ494" s="80"/>
      <c r="AR494" s="80"/>
      <c r="AS494" s="80" t="s">
        <v>2664</v>
      </c>
      <c r="AT494" s="85" t="str">
        <f>HYPERLINK("https://www.youtube.com/channel/UCPSwQNmbkvNuvPJRKmrci_A")</f>
        <v>https://www.youtube.com/channel/UCPSwQNmbkvNuvPJRKmrci_A</v>
      </c>
      <c r="AU494" s="80" t="str">
        <f>REPLACE(INDEX(GroupVertices[Group],MATCH(Vertices[[#This Row],[Vertex]],GroupVertices[Vertex],0)),1,1,"")</f>
        <v>1</v>
      </c>
      <c r="AV494" s="49">
        <v>0</v>
      </c>
      <c r="AW494" s="50">
        <v>0</v>
      </c>
      <c r="AX494" s="49">
        <v>0</v>
      </c>
      <c r="AY494" s="50">
        <v>0</v>
      </c>
      <c r="AZ494" s="49">
        <v>0</v>
      </c>
      <c r="BA494" s="50">
        <v>0</v>
      </c>
      <c r="BB494" s="49">
        <v>4</v>
      </c>
      <c r="BC494" s="50">
        <v>100</v>
      </c>
      <c r="BD494" s="49">
        <v>4</v>
      </c>
      <c r="BE494" s="49"/>
      <c r="BF494" s="49"/>
      <c r="BG494" s="49"/>
      <c r="BH494" s="49"/>
      <c r="BI494" s="49"/>
      <c r="BJ494" s="49"/>
      <c r="BK494" s="111" t="s">
        <v>4046</v>
      </c>
      <c r="BL494" s="111" t="s">
        <v>4046</v>
      </c>
      <c r="BM494" s="111" t="s">
        <v>4510</v>
      </c>
      <c r="BN494" s="111" t="s">
        <v>4510</v>
      </c>
      <c r="BO494" s="2"/>
      <c r="BP494" s="3"/>
      <c r="BQ494" s="3"/>
      <c r="BR494" s="3"/>
      <c r="BS494" s="3"/>
    </row>
    <row r="495" spans="1:71" ht="15">
      <c r="A495" s="65" t="s">
        <v>694</v>
      </c>
      <c r="B495" s="66"/>
      <c r="C495" s="66"/>
      <c r="D495" s="67">
        <v>150</v>
      </c>
      <c r="E495" s="69"/>
      <c r="F495" s="103" t="str">
        <f>HYPERLINK("https://yt3.ggpht.com/ytc/AAUvwnhr8wJqMrQSv1Pzq2_pyTd2RytFFdGsgxR-PTIWFA=s88-c-k-c0x00ffffff-no-rj")</f>
        <v>https://yt3.ggpht.com/ytc/AAUvwnhr8wJqMrQSv1Pzq2_pyTd2RytFFdGsgxR-PTIWFA=s88-c-k-c0x00ffffff-no-rj</v>
      </c>
      <c r="G495" s="66"/>
      <c r="H495" s="70" t="s">
        <v>2053</v>
      </c>
      <c r="I495" s="71"/>
      <c r="J495" s="71" t="s">
        <v>159</v>
      </c>
      <c r="K495" s="70" t="s">
        <v>2053</v>
      </c>
      <c r="L495" s="74">
        <v>1</v>
      </c>
      <c r="M495" s="75">
        <v>1496.0467529296875</v>
      </c>
      <c r="N495" s="75">
        <v>5922.04052734375</v>
      </c>
      <c r="O495" s="76"/>
      <c r="P495" s="77"/>
      <c r="Q495" s="77"/>
      <c r="R495" s="89"/>
      <c r="S495" s="49">
        <v>0</v>
      </c>
      <c r="T495" s="49">
        <v>1</v>
      </c>
      <c r="U495" s="50">
        <v>0</v>
      </c>
      <c r="V495" s="50">
        <v>0.002801</v>
      </c>
      <c r="W495" s="50">
        <v>0.008244</v>
      </c>
      <c r="X495" s="50">
        <v>0.512495</v>
      </c>
      <c r="Y495" s="50">
        <v>0</v>
      </c>
      <c r="Z495" s="50">
        <v>0</v>
      </c>
      <c r="AA495" s="72">
        <v>495</v>
      </c>
      <c r="AB495" s="72"/>
      <c r="AC495" s="73"/>
      <c r="AD495" s="80" t="s">
        <v>2053</v>
      </c>
      <c r="AE495" s="80" t="s">
        <v>2578</v>
      </c>
      <c r="AF495" s="80"/>
      <c r="AG495" s="80"/>
      <c r="AH495" s="80"/>
      <c r="AI495" s="80"/>
      <c r="AJ495" s="87">
        <v>43308.6603125</v>
      </c>
      <c r="AK495" s="85" t="str">
        <f>HYPERLINK("https://yt3.ggpht.com/ytc/AAUvwnhr8wJqMrQSv1Pzq2_pyTd2RytFFdGsgxR-PTIWFA=s88-c-k-c0x00ffffff-no-rj")</f>
        <v>https://yt3.ggpht.com/ytc/AAUvwnhr8wJqMrQSv1Pzq2_pyTd2RytFFdGsgxR-PTIWFA=s88-c-k-c0x00ffffff-no-rj</v>
      </c>
      <c r="AL495" s="80">
        <v>59</v>
      </c>
      <c r="AM495" s="80">
        <v>0</v>
      </c>
      <c r="AN495" s="80">
        <v>4</v>
      </c>
      <c r="AO495" s="80" t="b">
        <v>0</v>
      </c>
      <c r="AP495" s="80">
        <v>3</v>
      </c>
      <c r="AQ495" s="80"/>
      <c r="AR495" s="80"/>
      <c r="AS495" s="80" t="s">
        <v>2664</v>
      </c>
      <c r="AT495" s="85" t="str">
        <f>HYPERLINK("https://www.youtube.com/channel/UCWckxZngxxi1XK4vj-nQApg")</f>
        <v>https://www.youtube.com/channel/UCWckxZngxxi1XK4vj-nQApg</v>
      </c>
      <c r="AU495" s="80" t="str">
        <f>REPLACE(INDEX(GroupVertices[Group],MATCH(Vertices[[#This Row],[Vertex]],GroupVertices[Vertex],0)),1,1,"")</f>
        <v>1</v>
      </c>
      <c r="AV495" s="49">
        <v>0</v>
      </c>
      <c r="AW495" s="50">
        <v>0</v>
      </c>
      <c r="AX495" s="49">
        <v>0</v>
      </c>
      <c r="AY495" s="50">
        <v>0</v>
      </c>
      <c r="AZ495" s="49">
        <v>0</v>
      </c>
      <c r="BA495" s="50">
        <v>0</v>
      </c>
      <c r="BB495" s="49">
        <v>25</v>
      </c>
      <c r="BC495" s="50">
        <v>100</v>
      </c>
      <c r="BD495" s="49">
        <v>25</v>
      </c>
      <c r="BE495" s="49"/>
      <c r="BF495" s="49"/>
      <c r="BG495" s="49"/>
      <c r="BH495" s="49"/>
      <c r="BI495" s="49"/>
      <c r="BJ495" s="49"/>
      <c r="BK495" s="111" t="s">
        <v>4047</v>
      </c>
      <c r="BL495" s="111" t="s">
        <v>4047</v>
      </c>
      <c r="BM495" s="111" t="s">
        <v>4511</v>
      </c>
      <c r="BN495" s="111" t="s">
        <v>4511</v>
      </c>
      <c r="BO495" s="2"/>
      <c r="BP495" s="3"/>
      <c r="BQ495" s="3"/>
      <c r="BR495" s="3"/>
      <c r="BS495" s="3"/>
    </row>
    <row r="496" spans="1:71" ht="15">
      <c r="A496" s="65" t="s">
        <v>695</v>
      </c>
      <c r="B496" s="66"/>
      <c r="C496" s="66"/>
      <c r="D496" s="67">
        <v>150</v>
      </c>
      <c r="E496" s="69"/>
      <c r="F496" s="103" t="str">
        <f>HYPERLINK("https://yt3.ggpht.com/ytc/AAUvwnhqSX_FSPAgVlJllt22JQYLDpzp326WMuLw6Q=s88-c-k-c0x00ffffff-no-rj")</f>
        <v>https://yt3.ggpht.com/ytc/AAUvwnhqSX_FSPAgVlJllt22JQYLDpzp326WMuLw6Q=s88-c-k-c0x00ffffff-no-rj</v>
      </c>
      <c r="G496" s="66"/>
      <c r="H496" s="70" t="s">
        <v>2054</v>
      </c>
      <c r="I496" s="71"/>
      <c r="J496" s="71" t="s">
        <v>159</v>
      </c>
      <c r="K496" s="70" t="s">
        <v>2054</v>
      </c>
      <c r="L496" s="74">
        <v>1</v>
      </c>
      <c r="M496" s="75">
        <v>3111.42578125</v>
      </c>
      <c r="N496" s="75">
        <v>8574.4677734375</v>
      </c>
      <c r="O496" s="76"/>
      <c r="P496" s="77"/>
      <c r="Q496" s="77"/>
      <c r="R496" s="89"/>
      <c r="S496" s="49">
        <v>0</v>
      </c>
      <c r="T496" s="49">
        <v>1</v>
      </c>
      <c r="U496" s="50">
        <v>0</v>
      </c>
      <c r="V496" s="50">
        <v>0.001969</v>
      </c>
      <c r="W496" s="50">
        <v>0.000772</v>
      </c>
      <c r="X496" s="50">
        <v>0.575828</v>
      </c>
      <c r="Y496" s="50">
        <v>0</v>
      </c>
      <c r="Z496" s="50">
        <v>0</v>
      </c>
      <c r="AA496" s="72">
        <v>496</v>
      </c>
      <c r="AB496" s="72"/>
      <c r="AC496" s="73"/>
      <c r="AD496" s="80" t="s">
        <v>2054</v>
      </c>
      <c r="AE496" s="80"/>
      <c r="AF496" s="80"/>
      <c r="AG496" s="80"/>
      <c r="AH496" s="80"/>
      <c r="AI496" s="80"/>
      <c r="AJ496" s="87">
        <v>43624.88348379629</v>
      </c>
      <c r="AK496" s="85" t="str">
        <f>HYPERLINK("https://yt3.ggpht.com/ytc/AAUvwnhqSX_FSPAgVlJllt22JQYLDpzp326WMuLw6Q=s88-c-k-c0x00ffffff-no-rj")</f>
        <v>https://yt3.ggpht.com/ytc/AAUvwnhqSX_FSPAgVlJllt22JQYLDpzp326WMuLw6Q=s88-c-k-c0x00ffffff-no-rj</v>
      </c>
      <c r="AL496" s="80">
        <v>45</v>
      </c>
      <c r="AM496" s="80">
        <v>0</v>
      </c>
      <c r="AN496" s="80">
        <v>6</v>
      </c>
      <c r="AO496" s="80" t="b">
        <v>0</v>
      </c>
      <c r="AP496" s="80">
        <v>7</v>
      </c>
      <c r="AQ496" s="80"/>
      <c r="AR496" s="80"/>
      <c r="AS496" s="80" t="s">
        <v>2664</v>
      </c>
      <c r="AT496" s="85" t="str">
        <f>HYPERLINK("https://www.youtube.com/channel/UCA61Zbq3A1-s34jah9qzy5A")</f>
        <v>https://www.youtube.com/channel/UCA61Zbq3A1-s34jah9qzy5A</v>
      </c>
      <c r="AU496" s="80" t="str">
        <f>REPLACE(INDEX(GroupVertices[Group],MATCH(Vertices[[#This Row],[Vertex]],GroupVertices[Vertex],0)),1,1,"")</f>
        <v>1</v>
      </c>
      <c r="AV496" s="49">
        <v>0</v>
      </c>
      <c r="AW496" s="50">
        <v>0</v>
      </c>
      <c r="AX496" s="49">
        <v>0</v>
      </c>
      <c r="AY496" s="50">
        <v>0</v>
      </c>
      <c r="AZ496" s="49">
        <v>0</v>
      </c>
      <c r="BA496" s="50">
        <v>0</v>
      </c>
      <c r="BB496" s="49">
        <v>1</v>
      </c>
      <c r="BC496" s="50">
        <v>100</v>
      </c>
      <c r="BD496" s="49">
        <v>1</v>
      </c>
      <c r="BE496" s="49"/>
      <c r="BF496" s="49"/>
      <c r="BG496" s="49"/>
      <c r="BH496" s="49"/>
      <c r="BI496" s="49"/>
      <c r="BJ496" s="49"/>
      <c r="BK496" s="111" t="s">
        <v>4048</v>
      </c>
      <c r="BL496" s="111" t="s">
        <v>4048</v>
      </c>
      <c r="BM496" s="111" t="s">
        <v>2390</v>
      </c>
      <c r="BN496" s="111" t="s">
        <v>2390</v>
      </c>
      <c r="BO496" s="2"/>
      <c r="BP496" s="3"/>
      <c r="BQ496" s="3"/>
      <c r="BR496" s="3"/>
      <c r="BS496" s="3"/>
    </row>
    <row r="497" spans="1:71" ht="15">
      <c r="A497" s="65" t="s">
        <v>696</v>
      </c>
      <c r="B497" s="66"/>
      <c r="C497" s="66"/>
      <c r="D497" s="67">
        <v>291.66666666666663</v>
      </c>
      <c r="E497" s="69"/>
      <c r="F497" s="103" t="str">
        <f>HYPERLINK("https://yt3.ggpht.com/ytc/AAUvwnhDJ6NPBD-sPs8lRzJUblbvo_6FIe9T4v-_fJUk=s88-c-k-c0x00ffffff-no-rj")</f>
        <v>https://yt3.ggpht.com/ytc/AAUvwnhDJ6NPBD-sPs8lRzJUblbvo_6FIe9T4v-_fJUk=s88-c-k-c0x00ffffff-no-rj</v>
      </c>
      <c r="G497" s="66"/>
      <c r="H497" s="70" t="s">
        <v>2055</v>
      </c>
      <c r="I497" s="71"/>
      <c r="J497" s="71" t="s">
        <v>159</v>
      </c>
      <c r="K497" s="70" t="s">
        <v>2055</v>
      </c>
      <c r="L497" s="74">
        <v>96.21904761904761</v>
      </c>
      <c r="M497" s="75">
        <v>2292.7421875</v>
      </c>
      <c r="N497" s="75">
        <v>8156.91455078125</v>
      </c>
      <c r="O497" s="76"/>
      <c r="P497" s="77"/>
      <c r="Q497" s="77"/>
      <c r="R497" s="89"/>
      <c r="S497" s="49">
        <v>1</v>
      </c>
      <c r="T497" s="49">
        <v>1</v>
      </c>
      <c r="U497" s="50">
        <v>306</v>
      </c>
      <c r="V497" s="50">
        <v>0.002817</v>
      </c>
      <c r="W497" s="50">
        <v>0.008315</v>
      </c>
      <c r="X497" s="50">
        <v>1.001948</v>
      </c>
      <c r="Y497" s="50">
        <v>0</v>
      </c>
      <c r="Z497" s="50">
        <v>0</v>
      </c>
      <c r="AA497" s="72">
        <v>497</v>
      </c>
      <c r="AB497" s="72"/>
      <c r="AC497" s="73"/>
      <c r="AD497" s="80" t="s">
        <v>2055</v>
      </c>
      <c r="AE497" s="80"/>
      <c r="AF497" s="80"/>
      <c r="AG497" s="80"/>
      <c r="AH497" s="80"/>
      <c r="AI497" s="80"/>
      <c r="AJ497" s="87">
        <v>42997.49743055556</v>
      </c>
      <c r="AK497" s="85" t="str">
        <f>HYPERLINK("https://yt3.ggpht.com/ytc/AAUvwnhDJ6NPBD-sPs8lRzJUblbvo_6FIe9T4v-_fJUk=s88-c-k-c0x00ffffff-no-rj")</f>
        <v>https://yt3.ggpht.com/ytc/AAUvwnhDJ6NPBD-sPs8lRzJUblbvo_6FIe9T4v-_fJUk=s88-c-k-c0x00ffffff-no-rj</v>
      </c>
      <c r="AL497" s="80">
        <v>0</v>
      </c>
      <c r="AM497" s="80">
        <v>0</v>
      </c>
      <c r="AN497" s="80">
        <v>2</v>
      </c>
      <c r="AO497" s="80" t="b">
        <v>0</v>
      </c>
      <c r="AP497" s="80">
        <v>0</v>
      </c>
      <c r="AQ497" s="80"/>
      <c r="AR497" s="80"/>
      <c r="AS497" s="80" t="s">
        <v>2664</v>
      </c>
      <c r="AT497" s="85" t="str">
        <f>HYPERLINK("https://www.youtube.com/channel/UCtK2vyf8QbdpFJYOXCopQXQ")</f>
        <v>https://www.youtube.com/channel/UCtK2vyf8QbdpFJYOXCopQXQ</v>
      </c>
      <c r="AU497" s="80" t="str">
        <f>REPLACE(INDEX(GroupVertices[Group],MATCH(Vertices[[#This Row],[Vertex]],GroupVertices[Vertex],0)),1,1,"")</f>
        <v>1</v>
      </c>
      <c r="AV497" s="49">
        <v>0</v>
      </c>
      <c r="AW497" s="50">
        <v>0</v>
      </c>
      <c r="AX497" s="49">
        <v>0</v>
      </c>
      <c r="AY497" s="50">
        <v>0</v>
      </c>
      <c r="AZ497" s="49">
        <v>0</v>
      </c>
      <c r="BA497" s="50">
        <v>0</v>
      </c>
      <c r="BB497" s="49">
        <v>7</v>
      </c>
      <c r="BC497" s="50">
        <v>100</v>
      </c>
      <c r="BD497" s="49">
        <v>7</v>
      </c>
      <c r="BE497" s="49"/>
      <c r="BF497" s="49"/>
      <c r="BG497" s="49"/>
      <c r="BH497" s="49"/>
      <c r="BI497" s="49"/>
      <c r="BJ497" s="49"/>
      <c r="BK497" s="111" t="s">
        <v>4049</v>
      </c>
      <c r="BL497" s="111" t="s">
        <v>4049</v>
      </c>
      <c r="BM497" s="111" t="s">
        <v>4512</v>
      </c>
      <c r="BN497" s="111" t="s">
        <v>4512</v>
      </c>
      <c r="BO497" s="2"/>
      <c r="BP497" s="3"/>
      <c r="BQ497" s="3"/>
      <c r="BR497" s="3"/>
      <c r="BS497" s="3"/>
    </row>
    <row r="498" spans="1:71" ht="15">
      <c r="A498" s="65" t="s">
        <v>697</v>
      </c>
      <c r="B498" s="66"/>
      <c r="C498" s="66"/>
      <c r="D498" s="67">
        <v>150</v>
      </c>
      <c r="E498" s="69"/>
      <c r="F498" s="103" t="str">
        <f>HYPERLINK("https://yt3.ggpht.com/ytc/AAUvwnhSIjTxVXDSRt9s4_J1rJSIOnmzeBuaxceUlHEoBg=s88-c-k-c0x00ffffff-no-rj")</f>
        <v>https://yt3.ggpht.com/ytc/AAUvwnhSIjTxVXDSRt9s4_J1rJSIOnmzeBuaxceUlHEoBg=s88-c-k-c0x00ffffff-no-rj</v>
      </c>
      <c r="G498" s="66"/>
      <c r="H498" s="70" t="s">
        <v>2056</v>
      </c>
      <c r="I498" s="71"/>
      <c r="J498" s="71" t="s">
        <v>159</v>
      </c>
      <c r="K498" s="70" t="s">
        <v>2056</v>
      </c>
      <c r="L498" s="74">
        <v>1</v>
      </c>
      <c r="M498" s="75">
        <v>1343.5865478515625</v>
      </c>
      <c r="N498" s="75">
        <v>7063.18701171875</v>
      </c>
      <c r="O498" s="76"/>
      <c r="P498" s="77"/>
      <c r="Q498" s="77"/>
      <c r="R498" s="89"/>
      <c r="S498" s="49">
        <v>0</v>
      </c>
      <c r="T498" s="49">
        <v>1</v>
      </c>
      <c r="U498" s="50">
        <v>0</v>
      </c>
      <c r="V498" s="50">
        <v>0.002801</v>
      </c>
      <c r="W498" s="50">
        <v>0.008244</v>
      </c>
      <c r="X498" s="50">
        <v>0.512495</v>
      </c>
      <c r="Y498" s="50">
        <v>0</v>
      </c>
      <c r="Z498" s="50">
        <v>0</v>
      </c>
      <c r="AA498" s="72">
        <v>498</v>
      </c>
      <c r="AB498" s="72"/>
      <c r="AC498" s="73"/>
      <c r="AD498" s="80" t="s">
        <v>2056</v>
      </c>
      <c r="AE498" s="80" t="s">
        <v>2579</v>
      </c>
      <c r="AF498" s="80"/>
      <c r="AG498" s="80"/>
      <c r="AH498" s="80"/>
      <c r="AI498" s="80"/>
      <c r="AJ498" s="87">
        <v>43911.33741898148</v>
      </c>
      <c r="AK498" s="85" t="str">
        <f>HYPERLINK("https://yt3.ggpht.com/ytc/AAUvwnhSIjTxVXDSRt9s4_J1rJSIOnmzeBuaxceUlHEoBg=s88-c-k-c0x00ffffff-no-rj")</f>
        <v>https://yt3.ggpht.com/ytc/AAUvwnhSIjTxVXDSRt9s4_J1rJSIOnmzeBuaxceUlHEoBg=s88-c-k-c0x00ffffff-no-rj</v>
      </c>
      <c r="AL498" s="80">
        <v>99</v>
      </c>
      <c r="AM498" s="80">
        <v>0</v>
      </c>
      <c r="AN498" s="80">
        <v>861</v>
      </c>
      <c r="AO498" s="80" t="b">
        <v>0</v>
      </c>
      <c r="AP498" s="80">
        <v>3</v>
      </c>
      <c r="AQ498" s="80"/>
      <c r="AR498" s="80"/>
      <c r="AS498" s="80" t="s">
        <v>2664</v>
      </c>
      <c r="AT498" s="85" t="str">
        <f>HYPERLINK("https://www.youtube.com/channel/UC7l-KSyumktFziw8IDH6Szg")</f>
        <v>https://www.youtube.com/channel/UC7l-KSyumktFziw8IDH6Szg</v>
      </c>
      <c r="AU498" s="80" t="str">
        <f>REPLACE(INDEX(GroupVertices[Group],MATCH(Vertices[[#This Row],[Vertex]],GroupVertices[Vertex],0)),1,1,"")</f>
        <v>1</v>
      </c>
      <c r="AV498" s="49">
        <v>1</v>
      </c>
      <c r="AW498" s="50">
        <v>100</v>
      </c>
      <c r="AX498" s="49">
        <v>0</v>
      </c>
      <c r="AY498" s="50">
        <v>0</v>
      </c>
      <c r="AZ498" s="49">
        <v>0</v>
      </c>
      <c r="BA498" s="50">
        <v>0</v>
      </c>
      <c r="BB498" s="49">
        <v>0</v>
      </c>
      <c r="BC498" s="50">
        <v>0</v>
      </c>
      <c r="BD498" s="49">
        <v>1</v>
      </c>
      <c r="BE498" s="49"/>
      <c r="BF498" s="49"/>
      <c r="BG498" s="49"/>
      <c r="BH498" s="49"/>
      <c r="BI498" s="49"/>
      <c r="BJ498" s="49"/>
      <c r="BK498" s="111" t="s">
        <v>1421</v>
      </c>
      <c r="BL498" s="111" t="s">
        <v>1421</v>
      </c>
      <c r="BM498" s="111" t="s">
        <v>2390</v>
      </c>
      <c r="BN498" s="111" t="s">
        <v>2390</v>
      </c>
      <c r="BO498" s="2"/>
      <c r="BP498" s="3"/>
      <c r="BQ498" s="3"/>
      <c r="BR498" s="3"/>
      <c r="BS498" s="3"/>
    </row>
    <row r="499" spans="1:71" ht="15">
      <c r="A499" s="65" t="s">
        <v>698</v>
      </c>
      <c r="B499" s="66"/>
      <c r="C499" s="66"/>
      <c r="D499" s="67">
        <v>150</v>
      </c>
      <c r="E499" s="69"/>
      <c r="F499" s="103" t="str">
        <f>HYPERLINK("https://yt3.ggpht.com/ytc/AAUvwngzEuBuawb85dXftEuN3SxRsHWfVuoS7bIriEkW=s88-c-k-c0x00ffffff-no-rj")</f>
        <v>https://yt3.ggpht.com/ytc/AAUvwngzEuBuawb85dXftEuN3SxRsHWfVuoS7bIriEkW=s88-c-k-c0x00ffffff-no-rj</v>
      </c>
      <c r="G499" s="66"/>
      <c r="H499" s="70" t="s">
        <v>2057</v>
      </c>
      <c r="I499" s="71"/>
      <c r="J499" s="71" t="s">
        <v>159</v>
      </c>
      <c r="K499" s="70" t="s">
        <v>2057</v>
      </c>
      <c r="L499" s="74">
        <v>1</v>
      </c>
      <c r="M499" s="75">
        <v>1352.8673095703125</v>
      </c>
      <c r="N499" s="75">
        <v>8238.1083984375</v>
      </c>
      <c r="O499" s="76"/>
      <c r="P499" s="77"/>
      <c r="Q499" s="77"/>
      <c r="R499" s="89"/>
      <c r="S499" s="49">
        <v>0</v>
      </c>
      <c r="T499" s="49">
        <v>1</v>
      </c>
      <c r="U499" s="50">
        <v>0</v>
      </c>
      <c r="V499" s="50">
        <v>0.002801</v>
      </c>
      <c r="W499" s="50">
        <v>0.008244</v>
      </c>
      <c r="X499" s="50">
        <v>0.512495</v>
      </c>
      <c r="Y499" s="50">
        <v>0</v>
      </c>
      <c r="Z499" s="50">
        <v>0</v>
      </c>
      <c r="AA499" s="72">
        <v>499</v>
      </c>
      <c r="AB499" s="72"/>
      <c r="AC499" s="73"/>
      <c r="AD499" s="80" t="s">
        <v>2057</v>
      </c>
      <c r="AE499" s="80"/>
      <c r="AF499" s="80"/>
      <c r="AG499" s="80"/>
      <c r="AH499" s="80"/>
      <c r="AI499" s="80"/>
      <c r="AJ499" s="87">
        <v>43831.51540509259</v>
      </c>
      <c r="AK499" s="85" t="str">
        <f>HYPERLINK("https://yt3.ggpht.com/ytc/AAUvwngzEuBuawb85dXftEuN3SxRsHWfVuoS7bIriEkW=s88-c-k-c0x00ffffff-no-rj")</f>
        <v>https://yt3.ggpht.com/ytc/AAUvwngzEuBuawb85dXftEuN3SxRsHWfVuoS7bIriEkW=s88-c-k-c0x00ffffff-no-rj</v>
      </c>
      <c r="AL499" s="80">
        <v>0</v>
      </c>
      <c r="AM499" s="80">
        <v>0</v>
      </c>
      <c r="AN499" s="80">
        <v>0</v>
      </c>
      <c r="AO499" s="80" t="b">
        <v>0</v>
      </c>
      <c r="AP499" s="80">
        <v>0</v>
      </c>
      <c r="AQ499" s="80"/>
      <c r="AR499" s="80"/>
      <c r="AS499" s="80" t="s">
        <v>2664</v>
      </c>
      <c r="AT499" s="85" t="str">
        <f>HYPERLINK("https://www.youtube.com/channel/UCHssCzbLIeA_Hk82W9mAo3A")</f>
        <v>https://www.youtube.com/channel/UCHssCzbLIeA_Hk82W9mAo3A</v>
      </c>
      <c r="AU499" s="80" t="str">
        <f>REPLACE(INDEX(GroupVertices[Group],MATCH(Vertices[[#This Row],[Vertex]],GroupVertices[Vertex],0)),1,1,"")</f>
        <v>1</v>
      </c>
      <c r="AV499" s="49">
        <v>0</v>
      </c>
      <c r="AW499" s="50">
        <v>0</v>
      </c>
      <c r="AX499" s="49">
        <v>0</v>
      </c>
      <c r="AY499" s="50">
        <v>0</v>
      </c>
      <c r="AZ499" s="49">
        <v>0</v>
      </c>
      <c r="BA499" s="50">
        <v>0</v>
      </c>
      <c r="BB499" s="49">
        <v>10</v>
      </c>
      <c r="BC499" s="50">
        <v>100</v>
      </c>
      <c r="BD499" s="49">
        <v>10</v>
      </c>
      <c r="BE499" s="49"/>
      <c r="BF499" s="49"/>
      <c r="BG499" s="49"/>
      <c r="BH499" s="49"/>
      <c r="BI499" s="49"/>
      <c r="BJ499" s="49"/>
      <c r="BK499" s="111" t="s">
        <v>4050</v>
      </c>
      <c r="BL499" s="111" t="s">
        <v>4050</v>
      </c>
      <c r="BM499" s="111" t="s">
        <v>4513</v>
      </c>
      <c r="BN499" s="111" t="s">
        <v>4513</v>
      </c>
      <c r="BO499" s="2"/>
      <c r="BP499" s="3"/>
      <c r="BQ499" s="3"/>
      <c r="BR499" s="3"/>
      <c r="BS499" s="3"/>
    </row>
    <row r="500" spans="1:71" ht="15">
      <c r="A500" s="65" t="s">
        <v>699</v>
      </c>
      <c r="B500" s="66"/>
      <c r="C500" s="66"/>
      <c r="D500" s="67">
        <v>150</v>
      </c>
      <c r="E500" s="69"/>
      <c r="F500" s="103" t="str">
        <f>HYPERLINK("https://yt3.ggpht.com/ytc/AAUvwnjo346Ivqw68beXzXqH-H-VqXYApOoqg1uGVltG=s88-c-k-c0x00ffffff-no-rj")</f>
        <v>https://yt3.ggpht.com/ytc/AAUvwnjo346Ivqw68beXzXqH-H-VqXYApOoqg1uGVltG=s88-c-k-c0x00ffffff-no-rj</v>
      </c>
      <c r="G500" s="66"/>
      <c r="H500" s="70" t="s">
        <v>2058</v>
      </c>
      <c r="I500" s="71"/>
      <c r="J500" s="71" t="s">
        <v>159</v>
      </c>
      <c r="K500" s="70" t="s">
        <v>2058</v>
      </c>
      <c r="L500" s="74">
        <v>1</v>
      </c>
      <c r="M500" s="75">
        <v>1727.04833984375</v>
      </c>
      <c r="N500" s="75">
        <v>5977.96875</v>
      </c>
      <c r="O500" s="76"/>
      <c r="P500" s="77"/>
      <c r="Q500" s="77"/>
      <c r="R500" s="89"/>
      <c r="S500" s="49">
        <v>0</v>
      </c>
      <c r="T500" s="49">
        <v>1</v>
      </c>
      <c r="U500" s="50">
        <v>0</v>
      </c>
      <c r="V500" s="50">
        <v>0.002801</v>
      </c>
      <c r="W500" s="50">
        <v>0.008244</v>
      </c>
      <c r="X500" s="50">
        <v>0.512495</v>
      </c>
      <c r="Y500" s="50">
        <v>0</v>
      </c>
      <c r="Z500" s="50">
        <v>0</v>
      </c>
      <c r="AA500" s="72">
        <v>500</v>
      </c>
      <c r="AB500" s="72"/>
      <c r="AC500" s="73"/>
      <c r="AD500" s="80" t="s">
        <v>2058</v>
      </c>
      <c r="AE500" s="80"/>
      <c r="AF500" s="80"/>
      <c r="AG500" s="80"/>
      <c r="AH500" s="80"/>
      <c r="AI500" s="80"/>
      <c r="AJ500" s="87">
        <v>42701.78313657407</v>
      </c>
      <c r="AK500" s="85" t="str">
        <f>HYPERLINK("https://yt3.ggpht.com/ytc/AAUvwnjo346Ivqw68beXzXqH-H-VqXYApOoqg1uGVltG=s88-c-k-c0x00ffffff-no-rj")</f>
        <v>https://yt3.ggpht.com/ytc/AAUvwnjo346Ivqw68beXzXqH-H-VqXYApOoqg1uGVltG=s88-c-k-c0x00ffffff-no-rj</v>
      </c>
      <c r="AL500" s="80">
        <v>0</v>
      </c>
      <c r="AM500" s="80">
        <v>0</v>
      </c>
      <c r="AN500" s="80">
        <v>13</v>
      </c>
      <c r="AO500" s="80" t="b">
        <v>0</v>
      </c>
      <c r="AP500" s="80">
        <v>0</v>
      </c>
      <c r="AQ500" s="80"/>
      <c r="AR500" s="80"/>
      <c r="AS500" s="80" t="s">
        <v>2664</v>
      </c>
      <c r="AT500" s="85" t="str">
        <f>HYPERLINK("https://www.youtube.com/channel/UCJicsGvDt15udRUOzIS0Hfg")</f>
        <v>https://www.youtube.com/channel/UCJicsGvDt15udRUOzIS0Hfg</v>
      </c>
      <c r="AU500" s="80" t="str">
        <f>REPLACE(INDEX(GroupVertices[Group],MATCH(Vertices[[#This Row],[Vertex]],GroupVertices[Vertex],0)),1,1,"")</f>
        <v>1</v>
      </c>
      <c r="AV500" s="49">
        <v>1</v>
      </c>
      <c r="AW500" s="50">
        <v>7.6923076923076925</v>
      </c>
      <c r="AX500" s="49">
        <v>0</v>
      </c>
      <c r="AY500" s="50">
        <v>0</v>
      </c>
      <c r="AZ500" s="49">
        <v>0</v>
      </c>
      <c r="BA500" s="50">
        <v>0</v>
      </c>
      <c r="BB500" s="49">
        <v>12</v>
      </c>
      <c r="BC500" s="50">
        <v>92.3076923076923</v>
      </c>
      <c r="BD500" s="49">
        <v>13</v>
      </c>
      <c r="BE500" s="49"/>
      <c r="BF500" s="49"/>
      <c r="BG500" s="49"/>
      <c r="BH500" s="49"/>
      <c r="BI500" s="49"/>
      <c r="BJ500" s="49"/>
      <c r="BK500" s="111" t="s">
        <v>4051</v>
      </c>
      <c r="BL500" s="111" t="s">
        <v>4051</v>
      </c>
      <c r="BM500" s="111" t="s">
        <v>4514</v>
      </c>
      <c r="BN500" s="111" t="s">
        <v>4514</v>
      </c>
      <c r="BO500" s="2"/>
      <c r="BP500" s="3"/>
      <c r="BQ500" s="3"/>
      <c r="BR500" s="3"/>
      <c r="BS500" s="3"/>
    </row>
    <row r="501" spans="1:71" ht="15">
      <c r="A501" s="65" t="s">
        <v>700</v>
      </c>
      <c r="B501" s="66"/>
      <c r="C501" s="66"/>
      <c r="D501" s="67">
        <v>150</v>
      </c>
      <c r="E501" s="69"/>
      <c r="F501" s="103" t="str">
        <f>HYPERLINK("https://yt3.ggpht.com/ytc/AAUvwngA1C-P9A811jGKJsIlxNAi_24DxGF3I1hZLv92Sw=s88-c-k-c0x00ffffff-no-rj")</f>
        <v>https://yt3.ggpht.com/ytc/AAUvwngA1C-P9A811jGKJsIlxNAi_24DxGF3I1hZLv92Sw=s88-c-k-c0x00ffffff-no-rj</v>
      </c>
      <c r="G501" s="66"/>
      <c r="H501" s="70" t="s">
        <v>2059</v>
      </c>
      <c r="I501" s="71"/>
      <c r="J501" s="71" t="s">
        <v>159</v>
      </c>
      <c r="K501" s="70" t="s">
        <v>2059</v>
      </c>
      <c r="L501" s="74">
        <v>1</v>
      </c>
      <c r="M501" s="75">
        <v>1569.156982421875</v>
      </c>
      <c r="N501" s="75">
        <v>8295.0986328125</v>
      </c>
      <c r="O501" s="76"/>
      <c r="P501" s="77"/>
      <c r="Q501" s="77"/>
      <c r="R501" s="89"/>
      <c r="S501" s="49">
        <v>0</v>
      </c>
      <c r="T501" s="49">
        <v>1</v>
      </c>
      <c r="U501" s="50">
        <v>0</v>
      </c>
      <c r="V501" s="50">
        <v>0.002801</v>
      </c>
      <c r="W501" s="50">
        <v>0.008244</v>
      </c>
      <c r="X501" s="50">
        <v>0.512495</v>
      </c>
      <c r="Y501" s="50">
        <v>0</v>
      </c>
      <c r="Z501" s="50">
        <v>0</v>
      </c>
      <c r="AA501" s="72">
        <v>501</v>
      </c>
      <c r="AB501" s="72"/>
      <c r="AC501" s="73"/>
      <c r="AD501" s="80" t="s">
        <v>2059</v>
      </c>
      <c r="AE501" s="80" t="s">
        <v>2580</v>
      </c>
      <c r="AF501" s="80"/>
      <c r="AG501" s="80"/>
      <c r="AH501" s="80"/>
      <c r="AI501" s="80" t="s">
        <v>2652</v>
      </c>
      <c r="AJ501" s="87">
        <v>42895.86625</v>
      </c>
      <c r="AK501" s="85" t="str">
        <f>HYPERLINK("https://yt3.ggpht.com/ytc/AAUvwngA1C-P9A811jGKJsIlxNAi_24DxGF3I1hZLv92Sw=s88-c-k-c0x00ffffff-no-rj")</f>
        <v>https://yt3.ggpht.com/ytc/AAUvwngA1C-P9A811jGKJsIlxNAi_24DxGF3I1hZLv92Sw=s88-c-k-c0x00ffffff-no-rj</v>
      </c>
      <c r="AL501" s="80">
        <v>10896</v>
      </c>
      <c r="AM501" s="80">
        <v>0</v>
      </c>
      <c r="AN501" s="80">
        <v>277</v>
      </c>
      <c r="AO501" s="80" t="b">
        <v>0</v>
      </c>
      <c r="AP501" s="80">
        <v>51</v>
      </c>
      <c r="AQ501" s="80"/>
      <c r="AR501" s="80"/>
      <c r="AS501" s="80" t="s">
        <v>2664</v>
      </c>
      <c r="AT501" s="85" t="str">
        <f>HYPERLINK("https://www.youtube.com/channel/UCfNLaHk_QsjWBz4om0JH6UA")</f>
        <v>https://www.youtube.com/channel/UCfNLaHk_QsjWBz4om0JH6UA</v>
      </c>
      <c r="AU501" s="80" t="str">
        <f>REPLACE(INDEX(GroupVertices[Group],MATCH(Vertices[[#This Row],[Vertex]],GroupVertices[Vertex],0)),1,1,"")</f>
        <v>1</v>
      </c>
      <c r="AV501" s="49">
        <v>1</v>
      </c>
      <c r="AW501" s="50">
        <v>12.5</v>
      </c>
      <c r="AX501" s="49">
        <v>0</v>
      </c>
      <c r="AY501" s="50">
        <v>0</v>
      </c>
      <c r="AZ501" s="49">
        <v>0</v>
      </c>
      <c r="BA501" s="50">
        <v>0</v>
      </c>
      <c r="BB501" s="49">
        <v>7</v>
      </c>
      <c r="BC501" s="50">
        <v>87.5</v>
      </c>
      <c r="BD501" s="49">
        <v>8</v>
      </c>
      <c r="BE501" s="49"/>
      <c r="BF501" s="49"/>
      <c r="BG501" s="49"/>
      <c r="BH501" s="49"/>
      <c r="BI501" s="49"/>
      <c r="BJ501" s="49"/>
      <c r="BK501" s="111" t="s">
        <v>4052</v>
      </c>
      <c r="BL501" s="111" t="s">
        <v>4052</v>
      </c>
      <c r="BM501" s="111" t="s">
        <v>4515</v>
      </c>
      <c r="BN501" s="111" t="s">
        <v>4515</v>
      </c>
      <c r="BO501" s="2"/>
      <c r="BP501" s="3"/>
      <c r="BQ501" s="3"/>
      <c r="BR501" s="3"/>
      <c r="BS501" s="3"/>
    </row>
    <row r="502" spans="1:71" ht="15">
      <c r="A502" s="65" t="s">
        <v>701</v>
      </c>
      <c r="B502" s="66"/>
      <c r="C502" s="66"/>
      <c r="D502" s="67">
        <v>150</v>
      </c>
      <c r="E502" s="69"/>
      <c r="F502" s="103" t="str">
        <f>HYPERLINK("https://yt3.ggpht.com/ytc/AAUvwnhJoBAn3JwQ0hhkQv5TaQQsFxg5NgcEJSgBHamxwg=s88-c-k-c0x00ffffff-no-rj")</f>
        <v>https://yt3.ggpht.com/ytc/AAUvwnhJoBAn3JwQ0hhkQv5TaQQsFxg5NgcEJSgBHamxwg=s88-c-k-c0x00ffffff-no-rj</v>
      </c>
      <c r="G502" s="66"/>
      <c r="H502" s="70" t="s">
        <v>2060</v>
      </c>
      <c r="I502" s="71"/>
      <c r="J502" s="71" t="s">
        <v>159</v>
      </c>
      <c r="K502" s="70" t="s">
        <v>2060</v>
      </c>
      <c r="L502" s="74">
        <v>1</v>
      </c>
      <c r="M502" s="75">
        <v>2253.17919921875</v>
      </c>
      <c r="N502" s="75">
        <v>7764.7685546875</v>
      </c>
      <c r="O502" s="76"/>
      <c r="P502" s="77"/>
      <c r="Q502" s="77"/>
      <c r="R502" s="89"/>
      <c r="S502" s="49">
        <v>0</v>
      </c>
      <c r="T502" s="49">
        <v>1</v>
      </c>
      <c r="U502" s="50">
        <v>0</v>
      </c>
      <c r="V502" s="50">
        <v>0.002801</v>
      </c>
      <c r="W502" s="50">
        <v>0.008244</v>
      </c>
      <c r="X502" s="50">
        <v>0.512495</v>
      </c>
      <c r="Y502" s="50">
        <v>0</v>
      </c>
      <c r="Z502" s="50">
        <v>0</v>
      </c>
      <c r="AA502" s="72">
        <v>502</v>
      </c>
      <c r="AB502" s="72"/>
      <c r="AC502" s="73"/>
      <c r="AD502" s="80" t="s">
        <v>2060</v>
      </c>
      <c r="AE502" s="80" t="s">
        <v>2581</v>
      </c>
      <c r="AF502" s="80"/>
      <c r="AG502" s="80"/>
      <c r="AH502" s="80"/>
      <c r="AI502" s="80"/>
      <c r="AJ502" s="87">
        <v>43527.7677662037</v>
      </c>
      <c r="AK502" s="85" t="str">
        <f>HYPERLINK("https://yt3.ggpht.com/ytc/AAUvwnhJoBAn3JwQ0hhkQv5TaQQsFxg5NgcEJSgBHamxwg=s88-c-k-c0x00ffffff-no-rj")</f>
        <v>https://yt3.ggpht.com/ytc/AAUvwnhJoBAn3JwQ0hhkQv5TaQQsFxg5NgcEJSgBHamxwg=s88-c-k-c0x00ffffff-no-rj</v>
      </c>
      <c r="AL502" s="80">
        <v>849</v>
      </c>
      <c r="AM502" s="80">
        <v>0</v>
      </c>
      <c r="AN502" s="80">
        <v>26</v>
      </c>
      <c r="AO502" s="80" t="b">
        <v>0</v>
      </c>
      <c r="AP502" s="80">
        <v>5</v>
      </c>
      <c r="AQ502" s="80"/>
      <c r="AR502" s="80"/>
      <c r="AS502" s="80" t="s">
        <v>2664</v>
      </c>
      <c r="AT502" s="85" t="str">
        <f>HYPERLINK("https://www.youtube.com/channel/UC_XXoAre7VHpcNPstdvQnQA")</f>
        <v>https://www.youtube.com/channel/UC_XXoAre7VHpcNPstdvQnQA</v>
      </c>
      <c r="AU502" s="80" t="str">
        <f>REPLACE(INDEX(GroupVertices[Group],MATCH(Vertices[[#This Row],[Vertex]],GroupVertices[Vertex],0)),1,1,"")</f>
        <v>1</v>
      </c>
      <c r="AV502" s="49">
        <v>3</v>
      </c>
      <c r="AW502" s="50">
        <v>14.285714285714286</v>
      </c>
      <c r="AX502" s="49">
        <v>0</v>
      </c>
      <c r="AY502" s="50">
        <v>0</v>
      </c>
      <c r="AZ502" s="49">
        <v>0</v>
      </c>
      <c r="BA502" s="50">
        <v>0</v>
      </c>
      <c r="BB502" s="49">
        <v>18</v>
      </c>
      <c r="BC502" s="50">
        <v>85.71428571428571</v>
      </c>
      <c r="BD502" s="49">
        <v>21</v>
      </c>
      <c r="BE502" s="49"/>
      <c r="BF502" s="49"/>
      <c r="BG502" s="49"/>
      <c r="BH502" s="49"/>
      <c r="BI502" s="49"/>
      <c r="BJ502" s="49"/>
      <c r="BK502" s="111" t="s">
        <v>4053</v>
      </c>
      <c r="BL502" s="111" t="s">
        <v>4053</v>
      </c>
      <c r="BM502" s="111" t="s">
        <v>4516</v>
      </c>
      <c r="BN502" s="111" t="s">
        <v>4516</v>
      </c>
      <c r="BO502" s="2"/>
      <c r="BP502" s="3"/>
      <c r="BQ502" s="3"/>
      <c r="BR502" s="3"/>
      <c r="BS502" s="3"/>
    </row>
    <row r="503" spans="1:71" ht="15">
      <c r="A503" s="65" t="s">
        <v>702</v>
      </c>
      <c r="B503" s="66"/>
      <c r="C503" s="66"/>
      <c r="D503" s="67">
        <v>150</v>
      </c>
      <c r="E503" s="69"/>
      <c r="F503" s="103" t="str">
        <f>HYPERLINK("https://yt3.ggpht.com/ytc/AAUvwngu4NR0mQrbnK_iES6DnTGvYaPm1NjBN_iA75Rd=s88-c-k-c0x00ffffff-no-rj")</f>
        <v>https://yt3.ggpht.com/ytc/AAUvwngu4NR0mQrbnK_iES6DnTGvYaPm1NjBN_iA75Rd=s88-c-k-c0x00ffffff-no-rj</v>
      </c>
      <c r="G503" s="66"/>
      <c r="H503" s="70" t="s">
        <v>2061</v>
      </c>
      <c r="I503" s="71"/>
      <c r="J503" s="71" t="s">
        <v>159</v>
      </c>
      <c r="K503" s="70" t="s">
        <v>2061</v>
      </c>
      <c r="L503" s="74">
        <v>1</v>
      </c>
      <c r="M503" s="75">
        <v>1626.3541259765625</v>
      </c>
      <c r="N503" s="75">
        <v>6740.19775390625</v>
      </c>
      <c r="O503" s="76"/>
      <c r="P503" s="77"/>
      <c r="Q503" s="77"/>
      <c r="R503" s="89"/>
      <c r="S503" s="49">
        <v>0</v>
      </c>
      <c r="T503" s="49">
        <v>1</v>
      </c>
      <c r="U503" s="50">
        <v>0</v>
      </c>
      <c r="V503" s="50">
        <v>0.002801</v>
      </c>
      <c r="W503" s="50">
        <v>0.008244</v>
      </c>
      <c r="X503" s="50">
        <v>0.512495</v>
      </c>
      <c r="Y503" s="50">
        <v>0</v>
      </c>
      <c r="Z503" s="50">
        <v>0</v>
      </c>
      <c r="AA503" s="72">
        <v>503</v>
      </c>
      <c r="AB503" s="72"/>
      <c r="AC503" s="73"/>
      <c r="AD503" s="80" t="s">
        <v>2061</v>
      </c>
      <c r="AE503" s="80"/>
      <c r="AF503" s="80"/>
      <c r="AG503" s="80"/>
      <c r="AH503" s="80"/>
      <c r="AI503" s="80"/>
      <c r="AJ503" s="87">
        <v>42951.922534722224</v>
      </c>
      <c r="AK503" s="85" t="str">
        <f>HYPERLINK("https://yt3.ggpht.com/ytc/AAUvwngu4NR0mQrbnK_iES6DnTGvYaPm1NjBN_iA75Rd=s88-c-k-c0x00ffffff-no-rj")</f>
        <v>https://yt3.ggpht.com/ytc/AAUvwngu4NR0mQrbnK_iES6DnTGvYaPm1NjBN_iA75Rd=s88-c-k-c0x00ffffff-no-rj</v>
      </c>
      <c r="AL503" s="80">
        <v>0</v>
      </c>
      <c r="AM503" s="80">
        <v>0</v>
      </c>
      <c r="AN503" s="80">
        <v>18</v>
      </c>
      <c r="AO503" s="80" t="b">
        <v>0</v>
      </c>
      <c r="AP503" s="80">
        <v>0</v>
      </c>
      <c r="AQ503" s="80"/>
      <c r="AR503" s="80"/>
      <c r="AS503" s="80" t="s">
        <v>2664</v>
      </c>
      <c r="AT503" s="85" t="str">
        <f>HYPERLINK("https://www.youtube.com/channel/UC0i7LThQxYduRaEcYIdrU1g")</f>
        <v>https://www.youtube.com/channel/UC0i7LThQxYduRaEcYIdrU1g</v>
      </c>
      <c r="AU503" s="80" t="str">
        <f>REPLACE(INDEX(GroupVertices[Group],MATCH(Vertices[[#This Row],[Vertex]],GroupVertices[Vertex],0)),1,1,"")</f>
        <v>1</v>
      </c>
      <c r="AV503" s="49">
        <v>0</v>
      </c>
      <c r="AW503" s="50">
        <v>0</v>
      </c>
      <c r="AX503" s="49">
        <v>0</v>
      </c>
      <c r="AY503" s="50">
        <v>0</v>
      </c>
      <c r="AZ503" s="49">
        <v>0</v>
      </c>
      <c r="BA503" s="50">
        <v>0</v>
      </c>
      <c r="BB503" s="49">
        <v>4</v>
      </c>
      <c r="BC503" s="50">
        <v>100</v>
      </c>
      <c r="BD503" s="49">
        <v>4</v>
      </c>
      <c r="BE503" s="49"/>
      <c r="BF503" s="49"/>
      <c r="BG503" s="49"/>
      <c r="BH503" s="49"/>
      <c r="BI503" s="49"/>
      <c r="BJ503" s="49"/>
      <c r="BK503" s="111" t="s">
        <v>2728</v>
      </c>
      <c r="BL503" s="111" t="s">
        <v>2728</v>
      </c>
      <c r="BM503" s="111" t="s">
        <v>2390</v>
      </c>
      <c r="BN503" s="111" t="s">
        <v>2390</v>
      </c>
      <c r="BO503" s="2"/>
      <c r="BP503" s="3"/>
      <c r="BQ503" s="3"/>
      <c r="BR503" s="3"/>
      <c r="BS503" s="3"/>
    </row>
    <row r="504" spans="1:71" ht="15">
      <c r="A504" s="65" t="s">
        <v>703</v>
      </c>
      <c r="B504" s="66"/>
      <c r="C504" s="66"/>
      <c r="D504" s="67">
        <v>150</v>
      </c>
      <c r="E504" s="69"/>
      <c r="F504" s="103" t="str">
        <f>HYPERLINK("https://yt3.ggpht.com/ytc/AAUvwnhu4F_KQ_8t7oX8WaasExfMXTRm8Uuon-rqQjGspw=s88-c-k-c0x00ffffff-no-rj")</f>
        <v>https://yt3.ggpht.com/ytc/AAUvwnhu4F_KQ_8t7oX8WaasExfMXTRm8Uuon-rqQjGspw=s88-c-k-c0x00ffffff-no-rj</v>
      </c>
      <c r="G504" s="66"/>
      <c r="H504" s="70" t="s">
        <v>2062</v>
      </c>
      <c r="I504" s="71"/>
      <c r="J504" s="71" t="s">
        <v>159</v>
      </c>
      <c r="K504" s="70" t="s">
        <v>2062</v>
      </c>
      <c r="L504" s="74">
        <v>1</v>
      </c>
      <c r="M504" s="75">
        <v>1476.641845703125</v>
      </c>
      <c r="N504" s="75">
        <v>7689.06640625</v>
      </c>
      <c r="O504" s="76"/>
      <c r="P504" s="77"/>
      <c r="Q504" s="77"/>
      <c r="R504" s="89"/>
      <c r="S504" s="49">
        <v>0</v>
      </c>
      <c r="T504" s="49">
        <v>1</v>
      </c>
      <c r="U504" s="50">
        <v>0</v>
      </c>
      <c r="V504" s="50">
        <v>0.002801</v>
      </c>
      <c r="W504" s="50">
        <v>0.008244</v>
      </c>
      <c r="X504" s="50">
        <v>0.512495</v>
      </c>
      <c r="Y504" s="50">
        <v>0</v>
      </c>
      <c r="Z504" s="50">
        <v>0</v>
      </c>
      <c r="AA504" s="72">
        <v>504</v>
      </c>
      <c r="AB504" s="72"/>
      <c r="AC504" s="73"/>
      <c r="AD504" s="80" t="s">
        <v>2062</v>
      </c>
      <c r="AE504" s="80" t="s">
        <v>2582</v>
      </c>
      <c r="AF504" s="80"/>
      <c r="AG504" s="80"/>
      <c r="AH504" s="80"/>
      <c r="AI504" s="80"/>
      <c r="AJ504" s="87">
        <v>41996.79243055556</v>
      </c>
      <c r="AK504" s="85" t="str">
        <f>HYPERLINK("https://yt3.ggpht.com/ytc/AAUvwnhu4F_KQ_8t7oX8WaasExfMXTRm8Uuon-rqQjGspw=s88-c-k-c0x00ffffff-no-rj")</f>
        <v>https://yt3.ggpht.com/ytc/AAUvwnhu4F_KQ_8t7oX8WaasExfMXTRm8Uuon-rqQjGspw=s88-c-k-c0x00ffffff-no-rj</v>
      </c>
      <c r="AL504" s="80">
        <v>939</v>
      </c>
      <c r="AM504" s="80">
        <v>0</v>
      </c>
      <c r="AN504" s="80">
        <v>99</v>
      </c>
      <c r="AO504" s="80" t="b">
        <v>0</v>
      </c>
      <c r="AP504" s="80">
        <v>6</v>
      </c>
      <c r="AQ504" s="80"/>
      <c r="AR504" s="80"/>
      <c r="AS504" s="80" t="s">
        <v>2664</v>
      </c>
      <c r="AT504" s="85" t="str">
        <f>HYPERLINK("https://www.youtube.com/channel/UCZOI5uwoiAZBOOZGV8U8Awg")</f>
        <v>https://www.youtube.com/channel/UCZOI5uwoiAZBOOZGV8U8Awg</v>
      </c>
      <c r="AU504" s="80" t="str">
        <f>REPLACE(INDEX(GroupVertices[Group],MATCH(Vertices[[#This Row],[Vertex]],GroupVertices[Vertex],0)),1,1,"")</f>
        <v>1</v>
      </c>
      <c r="AV504" s="49">
        <v>0</v>
      </c>
      <c r="AW504" s="50">
        <v>0</v>
      </c>
      <c r="AX504" s="49">
        <v>0</v>
      </c>
      <c r="AY504" s="50">
        <v>0</v>
      </c>
      <c r="AZ504" s="49">
        <v>0</v>
      </c>
      <c r="BA504" s="50">
        <v>0</v>
      </c>
      <c r="BB504" s="49">
        <v>4</v>
      </c>
      <c r="BC504" s="50">
        <v>100</v>
      </c>
      <c r="BD504" s="49">
        <v>4</v>
      </c>
      <c r="BE504" s="49"/>
      <c r="BF504" s="49"/>
      <c r="BG504" s="49"/>
      <c r="BH504" s="49"/>
      <c r="BI504" s="49"/>
      <c r="BJ504" s="49"/>
      <c r="BK504" s="111" t="s">
        <v>4054</v>
      </c>
      <c r="BL504" s="111" t="s">
        <v>4054</v>
      </c>
      <c r="BM504" s="111" t="s">
        <v>4517</v>
      </c>
      <c r="BN504" s="111" t="s">
        <v>4517</v>
      </c>
      <c r="BO504" s="2"/>
      <c r="BP504" s="3"/>
      <c r="BQ504" s="3"/>
      <c r="BR504" s="3"/>
      <c r="BS504" s="3"/>
    </row>
    <row r="505" spans="1:71" ht="15">
      <c r="A505" s="65" t="s">
        <v>704</v>
      </c>
      <c r="B505" s="66"/>
      <c r="C505" s="66"/>
      <c r="D505" s="67">
        <v>150</v>
      </c>
      <c r="E505" s="69"/>
      <c r="F505" s="103" t="str">
        <f>HYPERLINK("https://yt3.ggpht.com/ytc/AAUvwnhGCsJeytb6CLmC6Jd-S7F3U2IC1Y_vDuhZBw=s88-c-k-c0x00ffffff-no-rj")</f>
        <v>https://yt3.ggpht.com/ytc/AAUvwnhGCsJeytb6CLmC6Jd-S7F3U2IC1Y_vDuhZBw=s88-c-k-c0x00ffffff-no-rj</v>
      </c>
      <c r="G505" s="66"/>
      <c r="H505" s="70" t="s">
        <v>2063</v>
      </c>
      <c r="I505" s="71"/>
      <c r="J505" s="71" t="s">
        <v>159</v>
      </c>
      <c r="K505" s="70" t="s">
        <v>2063</v>
      </c>
      <c r="L505" s="74">
        <v>1</v>
      </c>
      <c r="M505" s="75">
        <v>4559.54248046875</v>
      </c>
      <c r="N505" s="75">
        <v>4550.72412109375</v>
      </c>
      <c r="O505" s="76"/>
      <c r="P505" s="77"/>
      <c r="Q505" s="77"/>
      <c r="R505" s="89"/>
      <c r="S505" s="49">
        <v>0</v>
      </c>
      <c r="T505" s="49">
        <v>1</v>
      </c>
      <c r="U505" s="50">
        <v>0</v>
      </c>
      <c r="V505" s="50">
        <v>0.011236</v>
      </c>
      <c r="W505" s="50">
        <v>0</v>
      </c>
      <c r="X505" s="50">
        <v>0.502584</v>
      </c>
      <c r="Y505" s="50">
        <v>0</v>
      </c>
      <c r="Z505" s="50">
        <v>0</v>
      </c>
      <c r="AA505" s="72">
        <v>505</v>
      </c>
      <c r="AB505" s="72"/>
      <c r="AC505" s="73"/>
      <c r="AD505" s="80" t="s">
        <v>2063</v>
      </c>
      <c r="AE505" s="80"/>
      <c r="AF505" s="80"/>
      <c r="AG505" s="80"/>
      <c r="AH505" s="80"/>
      <c r="AI505" s="80"/>
      <c r="AJ505" s="87">
        <v>40207.70055555556</v>
      </c>
      <c r="AK505" s="85" t="str">
        <f>HYPERLINK("https://yt3.ggpht.com/ytc/AAUvwnhGCsJeytb6CLmC6Jd-S7F3U2IC1Y_vDuhZBw=s88-c-k-c0x00ffffff-no-rj")</f>
        <v>https://yt3.ggpht.com/ytc/AAUvwnhGCsJeytb6CLmC6Jd-S7F3U2IC1Y_vDuhZBw=s88-c-k-c0x00ffffff-no-rj</v>
      </c>
      <c r="AL505" s="80">
        <v>0</v>
      </c>
      <c r="AM505" s="80">
        <v>0</v>
      </c>
      <c r="AN505" s="80">
        <v>0</v>
      </c>
      <c r="AO505" s="80" t="b">
        <v>0</v>
      </c>
      <c r="AP505" s="80">
        <v>0</v>
      </c>
      <c r="AQ505" s="80"/>
      <c r="AR505" s="80"/>
      <c r="AS505" s="80" t="s">
        <v>2664</v>
      </c>
      <c r="AT505" s="85" t="str">
        <f>HYPERLINK("https://www.youtube.com/channel/UCMixeMb71H5JegR4sF3O8_Q")</f>
        <v>https://www.youtube.com/channel/UCMixeMb71H5JegR4sF3O8_Q</v>
      </c>
      <c r="AU505" s="80" t="str">
        <f>REPLACE(INDEX(GroupVertices[Group],MATCH(Vertices[[#This Row],[Vertex]],GroupVertices[Vertex],0)),1,1,"")</f>
        <v>5</v>
      </c>
      <c r="AV505" s="49">
        <v>0</v>
      </c>
      <c r="AW505" s="50">
        <v>0</v>
      </c>
      <c r="AX505" s="49">
        <v>0</v>
      </c>
      <c r="AY505" s="50">
        <v>0</v>
      </c>
      <c r="AZ505" s="49">
        <v>0</v>
      </c>
      <c r="BA505" s="50">
        <v>0</v>
      </c>
      <c r="BB505" s="49">
        <v>1</v>
      </c>
      <c r="BC505" s="50">
        <v>100</v>
      </c>
      <c r="BD505" s="49">
        <v>1</v>
      </c>
      <c r="BE505" s="49"/>
      <c r="BF505" s="49"/>
      <c r="BG505" s="49"/>
      <c r="BH505" s="49"/>
      <c r="BI505" s="49"/>
      <c r="BJ505" s="49"/>
      <c r="BK505" s="111" t="s">
        <v>4055</v>
      </c>
      <c r="BL505" s="111" t="s">
        <v>4055</v>
      </c>
      <c r="BM505" s="111" t="s">
        <v>2390</v>
      </c>
      <c r="BN505" s="111" t="s">
        <v>2390</v>
      </c>
      <c r="BO505" s="2"/>
      <c r="BP505" s="3"/>
      <c r="BQ505" s="3"/>
      <c r="BR505" s="3"/>
      <c r="BS505" s="3"/>
    </row>
    <row r="506" spans="1:71" ht="15">
      <c r="A506" s="65" t="s">
        <v>705</v>
      </c>
      <c r="B506" s="66"/>
      <c r="C506" s="66"/>
      <c r="D506" s="67">
        <v>150</v>
      </c>
      <c r="E506" s="69"/>
      <c r="F506" s="103" t="str">
        <f>HYPERLINK("https://yt3.ggpht.com/ytc/AAUvwnhAThCxonT4KEHRuqx1MQMKviz4CEiCTqxPY60EAw=s88-c-k-c0x00ffffff-no-rj")</f>
        <v>https://yt3.ggpht.com/ytc/AAUvwnhAThCxonT4KEHRuqx1MQMKviz4CEiCTqxPY60EAw=s88-c-k-c0x00ffffff-no-rj</v>
      </c>
      <c r="G506" s="66"/>
      <c r="H506" s="70" t="s">
        <v>2064</v>
      </c>
      <c r="I506" s="71"/>
      <c r="J506" s="71" t="s">
        <v>159</v>
      </c>
      <c r="K506" s="70" t="s">
        <v>2064</v>
      </c>
      <c r="L506" s="74">
        <v>1</v>
      </c>
      <c r="M506" s="75">
        <v>4698.76318359375</v>
      </c>
      <c r="N506" s="75">
        <v>4694.98681640625</v>
      </c>
      <c r="O506" s="76"/>
      <c r="P506" s="77"/>
      <c r="Q506" s="77"/>
      <c r="R506" s="89"/>
      <c r="S506" s="49">
        <v>0</v>
      </c>
      <c r="T506" s="49">
        <v>1</v>
      </c>
      <c r="U506" s="50">
        <v>0</v>
      </c>
      <c r="V506" s="50">
        <v>0.011236</v>
      </c>
      <c r="W506" s="50">
        <v>0</v>
      </c>
      <c r="X506" s="50">
        <v>0.502584</v>
      </c>
      <c r="Y506" s="50">
        <v>0</v>
      </c>
      <c r="Z506" s="50">
        <v>0</v>
      </c>
      <c r="AA506" s="72">
        <v>506</v>
      </c>
      <c r="AB506" s="72"/>
      <c r="AC506" s="73"/>
      <c r="AD506" s="80" t="s">
        <v>2064</v>
      </c>
      <c r="AE506" s="80" t="s">
        <v>2583</v>
      </c>
      <c r="AF506" s="80"/>
      <c r="AG506" s="80"/>
      <c r="AH506" s="80"/>
      <c r="AI506" s="80" t="s">
        <v>2653</v>
      </c>
      <c r="AJ506" s="87">
        <v>39953.159733796296</v>
      </c>
      <c r="AK506" s="85" t="str">
        <f>HYPERLINK("https://yt3.ggpht.com/ytc/AAUvwnhAThCxonT4KEHRuqx1MQMKviz4CEiCTqxPY60EAw=s88-c-k-c0x00ffffff-no-rj")</f>
        <v>https://yt3.ggpht.com/ytc/AAUvwnhAThCxonT4KEHRuqx1MQMKviz4CEiCTqxPY60EAw=s88-c-k-c0x00ffffff-no-rj</v>
      </c>
      <c r="AL506" s="80">
        <v>138345</v>
      </c>
      <c r="AM506" s="80">
        <v>0</v>
      </c>
      <c r="AN506" s="80">
        <v>533</v>
      </c>
      <c r="AO506" s="80" t="b">
        <v>0</v>
      </c>
      <c r="AP506" s="80">
        <v>171</v>
      </c>
      <c r="AQ506" s="80"/>
      <c r="AR506" s="80"/>
      <c r="AS506" s="80" t="s">
        <v>2664</v>
      </c>
      <c r="AT506" s="85" t="str">
        <f>HYPERLINK("https://www.youtube.com/channel/UCLyTiWHuzU_EuTFdfAAD-EA")</f>
        <v>https://www.youtube.com/channel/UCLyTiWHuzU_EuTFdfAAD-EA</v>
      </c>
      <c r="AU506" s="80" t="str">
        <f>REPLACE(INDEX(GroupVertices[Group],MATCH(Vertices[[#This Row],[Vertex]],GroupVertices[Vertex],0)),1,1,"")</f>
        <v>5</v>
      </c>
      <c r="AV506" s="49">
        <v>0</v>
      </c>
      <c r="AW506" s="50">
        <v>0</v>
      </c>
      <c r="AX506" s="49">
        <v>0</v>
      </c>
      <c r="AY506" s="50">
        <v>0</v>
      </c>
      <c r="AZ506" s="49">
        <v>0</v>
      </c>
      <c r="BA506" s="50">
        <v>0</v>
      </c>
      <c r="BB506" s="49">
        <v>10</v>
      </c>
      <c r="BC506" s="50">
        <v>100</v>
      </c>
      <c r="BD506" s="49">
        <v>10</v>
      </c>
      <c r="BE506" s="49"/>
      <c r="BF506" s="49"/>
      <c r="BG506" s="49"/>
      <c r="BH506" s="49"/>
      <c r="BI506" s="49"/>
      <c r="BJ506" s="49"/>
      <c r="BK506" s="111" t="s">
        <v>4056</v>
      </c>
      <c r="BL506" s="111" t="s">
        <v>4056</v>
      </c>
      <c r="BM506" s="111" t="s">
        <v>4518</v>
      </c>
      <c r="BN506" s="111" t="s">
        <v>4518</v>
      </c>
      <c r="BO506" s="2"/>
      <c r="BP506" s="3"/>
      <c r="BQ506" s="3"/>
      <c r="BR506" s="3"/>
      <c r="BS506" s="3"/>
    </row>
    <row r="507" spans="1:71" ht="15">
      <c r="A507" s="65" t="s">
        <v>706</v>
      </c>
      <c r="B507" s="66"/>
      <c r="C507" s="66"/>
      <c r="D507" s="67">
        <v>150</v>
      </c>
      <c r="E507" s="69"/>
      <c r="F507" s="103" t="str">
        <f>HYPERLINK("https://yt3.ggpht.com/ytc/AAUvwnhrXAtDzLa5U-esG_gFqWoGQ7E1zEHzt1VslK8YgeQ=s88-c-k-c0x00ffffff-no-rj")</f>
        <v>https://yt3.ggpht.com/ytc/AAUvwnhrXAtDzLa5U-esG_gFqWoGQ7E1zEHzt1VslK8YgeQ=s88-c-k-c0x00ffffff-no-rj</v>
      </c>
      <c r="G507" s="66"/>
      <c r="H507" s="70" t="s">
        <v>2065</v>
      </c>
      <c r="I507" s="71"/>
      <c r="J507" s="71" t="s">
        <v>159</v>
      </c>
      <c r="K507" s="70" t="s">
        <v>2065</v>
      </c>
      <c r="L507" s="74">
        <v>1</v>
      </c>
      <c r="M507" s="75">
        <v>9415.1943359375</v>
      </c>
      <c r="N507" s="75">
        <v>281.76373291015625</v>
      </c>
      <c r="O507" s="76"/>
      <c r="P507" s="77"/>
      <c r="Q507" s="77"/>
      <c r="R507" s="89"/>
      <c r="S507" s="49">
        <v>0</v>
      </c>
      <c r="T507" s="49">
        <v>1</v>
      </c>
      <c r="U507" s="50">
        <v>0</v>
      </c>
      <c r="V507" s="50">
        <v>1</v>
      </c>
      <c r="W507" s="50">
        <v>0</v>
      </c>
      <c r="X507" s="50">
        <v>0.701754</v>
      </c>
      <c r="Y507" s="50">
        <v>0</v>
      </c>
      <c r="Z507" s="50">
        <v>0</v>
      </c>
      <c r="AA507" s="72">
        <v>507</v>
      </c>
      <c r="AB507" s="72"/>
      <c r="AC507" s="73"/>
      <c r="AD507" s="80" t="s">
        <v>2065</v>
      </c>
      <c r="AE507" s="80" t="s">
        <v>2584</v>
      </c>
      <c r="AF507" s="80"/>
      <c r="AG507" s="80"/>
      <c r="AH507" s="80"/>
      <c r="AI507" s="80"/>
      <c r="AJ507" s="87">
        <v>40790.6128125</v>
      </c>
      <c r="AK507" s="85" t="str">
        <f>HYPERLINK("https://yt3.ggpht.com/ytc/AAUvwnhrXAtDzLa5U-esG_gFqWoGQ7E1zEHzt1VslK8YgeQ=s88-c-k-c0x00ffffff-no-rj")</f>
        <v>https://yt3.ggpht.com/ytc/AAUvwnhrXAtDzLa5U-esG_gFqWoGQ7E1zEHzt1VslK8YgeQ=s88-c-k-c0x00ffffff-no-rj</v>
      </c>
      <c r="AL507" s="80">
        <v>7765855</v>
      </c>
      <c r="AM507" s="80">
        <v>0</v>
      </c>
      <c r="AN507" s="80">
        <v>40600</v>
      </c>
      <c r="AO507" s="80" t="b">
        <v>0</v>
      </c>
      <c r="AP507" s="80">
        <v>473</v>
      </c>
      <c r="AQ507" s="80"/>
      <c r="AR507" s="80"/>
      <c r="AS507" s="80" t="s">
        <v>2664</v>
      </c>
      <c r="AT507" s="85" t="str">
        <f>HYPERLINK("https://www.youtube.com/channel/UCpyxjvX8EybTbZlnyoubqKQ")</f>
        <v>https://www.youtube.com/channel/UCpyxjvX8EybTbZlnyoubqKQ</v>
      </c>
      <c r="AU507" s="80" t="str">
        <f>REPLACE(INDEX(GroupVertices[Group],MATCH(Vertices[[#This Row],[Vertex]],GroupVertices[Vertex],0)),1,1,"")</f>
        <v>22</v>
      </c>
      <c r="AV507" s="49">
        <v>0</v>
      </c>
      <c r="AW507" s="50">
        <v>0</v>
      </c>
      <c r="AX507" s="49">
        <v>0</v>
      </c>
      <c r="AY507" s="50">
        <v>0</v>
      </c>
      <c r="AZ507" s="49">
        <v>0</v>
      </c>
      <c r="BA507" s="50">
        <v>0</v>
      </c>
      <c r="BB507" s="49">
        <v>3</v>
      </c>
      <c r="BC507" s="50">
        <v>100</v>
      </c>
      <c r="BD507" s="49">
        <v>3</v>
      </c>
      <c r="BE507" s="49"/>
      <c r="BF507" s="49"/>
      <c r="BG507" s="49"/>
      <c r="BH507" s="49"/>
      <c r="BI507" s="49"/>
      <c r="BJ507" s="49"/>
      <c r="BK507" s="111" t="s">
        <v>2390</v>
      </c>
      <c r="BL507" s="111" t="s">
        <v>2390</v>
      </c>
      <c r="BM507" s="111" t="s">
        <v>2390</v>
      </c>
      <c r="BN507" s="111" t="s">
        <v>2390</v>
      </c>
      <c r="BO507" s="2"/>
      <c r="BP507" s="3"/>
      <c r="BQ507" s="3"/>
      <c r="BR507" s="3"/>
      <c r="BS507" s="3"/>
    </row>
    <row r="508" spans="1:71" ht="15">
      <c r="A508" s="65" t="s">
        <v>839</v>
      </c>
      <c r="B508" s="66"/>
      <c r="C508" s="66"/>
      <c r="D508" s="67">
        <v>433.3333333333333</v>
      </c>
      <c r="E508" s="69"/>
      <c r="F508" s="103" t="str">
        <f>HYPERLINK("https://yt3.ggpht.com/ytc/AAUvwngpj9myNaRi5Q3UpHicHKrhOwYp4no94DyJ30ZRLg=s88-c-k-c0x00ffffff-no-rj")</f>
        <v>https://yt3.ggpht.com/ytc/AAUvwngpj9myNaRi5Q3UpHicHKrhOwYp4no94DyJ30ZRLg=s88-c-k-c0x00ffffff-no-rj</v>
      </c>
      <c r="G508" s="66"/>
      <c r="H508" s="70" t="s">
        <v>2412</v>
      </c>
      <c r="I508" s="71"/>
      <c r="J508" s="71" t="s">
        <v>75</v>
      </c>
      <c r="K508" s="70" t="s">
        <v>2412</v>
      </c>
      <c r="L508" s="74">
        <v>191.43809523809523</v>
      </c>
      <c r="M508" s="75">
        <v>9733.6337890625</v>
      </c>
      <c r="N508" s="75">
        <v>281.76373291015625</v>
      </c>
      <c r="O508" s="76"/>
      <c r="P508" s="77"/>
      <c r="Q508" s="77"/>
      <c r="R508" s="89"/>
      <c r="S508" s="49">
        <v>2</v>
      </c>
      <c r="T508" s="49">
        <v>1</v>
      </c>
      <c r="U508" s="50">
        <v>0</v>
      </c>
      <c r="V508" s="50">
        <v>1</v>
      </c>
      <c r="W508" s="50">
        <v>0</v>
      </c>
      <c r="X508" s="50">
        <v>1.298244</v>
      </c>
      <c r="Y508" s="50">
        <v>0</v>
      </c>
      <c r="Z508" s="50">
        <v>0</v>
      </c>
      <c r="AA508" s="72">
        <v>508</v>
      </c>
      <c r="AB508" s="72"/>
      <c r="AC508" s="73"/>
      <c r="AD508" s="80" t="s">
        <v>2412</v>
      </c>
      <c r="AE508" s="80" t="s">
        <v>2585</v>
      </c>
      <c r="AF508" s="80"/>
      <c r="AG508" s="80"/>
      <c r="AH508" s="80"/>
      <c r="AI508" s="80" t="s">
        <v>2654</v>
      </c>
      <c r="AJ508" s="87">
        <v>42430.455775462964</v>
      </c>
      <c r="AK508" s="85" t="str">
        <f>HYPERLINK("https://yt3.ggpht.com/ytc/AAUvwngpj9myNaRi5Q3UpHicHKrhOwYp4no94DyJ30ZRLg=s88-c-k-c0x00ffffff-no-rj")</f>
        <v>https://yt3.ggpht.com/ytc/AAUvwngpj9myNaRi5Q3UpHicHKrhOwYp4no94DyJ30ZRLg=s88-c-k-c0x00ffffff-no-rj</v>
      </c>
      <c r="AL508" s="80">
        <v>2909900</v>
      </c>
      <c r="AM508" s="80">
        <v>0</v>
      </c>
      <c r="AN508" s="80">
        <v>24000</v>
      </c>
      <c r="AO508" s="80" t="b">
        <v>0</v>
      </c>
      <c r="AP508" s="80">
        <v>623</v>
      </c>
      <c r="AQ508" s="80"/>
      <c r="AR508" s="80"/>
      <c r="AS508" s="80" t="s">
        <v>2664</v>
      </c>
      <c r="AT508" s="85" t="str">
        <f>HYPERLINK("https://www.youtube.com/channel/UCT7a_fVlSrjOs9jyvtH-uhA")</f>
        <v>https://www.youtube.com/channel/UCT7a_fVlSrjOs9jyvtH-uhA</v>
      </c>
      <c r="AU508" s="80" t="str">
        <f>REPLACE(INDEX(GroupVertices[Group],MATCH(Vertices[[#This Row],[Vertex]],GroupVertices[Vertex],0)),1,1,"")</f>
        <v>22</v>
      </c>
      <c r="AV508" s="49"/>
      <c r="AW508" s="50"/>
      <c r="AX508" s="49"/>
      <c r="AY508" s="50"/>
      <c r="AZ508" s="49"/>
      <c r="BA508" s="50"/>
      <c r="BB508" s="49"/>
      <c r="BC508" s="50"/>
      <c r="BD508" s="49"/>
      <c r="BE508" s="49"/>
      <c r="BF508" s="49"/>
      <c r="BG508" s="49"/>
      <c r="BH508" s="49"/>
      <c r="BI508" s="49"/>
      <c r="BJ508" s="49"/>
      <c r="BK508" s="111" t="s">
        <v>2390</v>
      </c>
      <c r="BL508" s="111" t="s">
        <v>2390</v>
      </c>
      <c r="BM508" s="111" t="s">
        <v>2390</v>
      </c>
      <c r="BN508" s="111" t="s">
        <v>2390</v>
      </c>
      <c r="BO508" s="2"/>
      <c r="BP508" s="3"/>
      <c r="BQ508" s="3"/>
      <c r="BR508" s="3"/>
      <c r="BS508" s="3"/>
    </row>
    <row r="509" spans="1:71" ht="15">
      <c r="A509" s="65" t="s">
        <v>707</v>
      </c>
      <c r="B509" s="66"/>
      <c r="C509" s="66"/>
      <c r="D509" s="67">
        <v>150</v>
      </c>
      <c r="E509" s="69"/>
      <c r="F509" s="103" t="str">
        <f>HYPERLINK("https://yt3.ggpht.com/ytc/AAUvwnj-ZjXoZuLuJcggEXyYKeCog1YiH6MEvHSqE_Rg=s88-c-k-c0x00ffffff-no-rj")</f>
        <v>https://yt3.ggpht.com/ytc/AAUvwnj-ZjXoZuLuJcggEXyYKeCog1YiH6MEvHSqE_Rg=s88-c-k-c0x00ffffff-no-rj</v>
      </c>
      <c r="G509" s="66"/>
      <c r="H509" s="70" t="s">
        <v>2066</v>
      </c>
      <c r="I509" s="71"/>
      <c r="J509" s="71" t="s">
        <v>159</v>
      </c>
      <c r="K509" s="70" t="s">
        <v>2066</v>
      </c>
      <c r="L509" s="74">
        <v>1</v>
      </c>
      <c r="M509" s="75">
        <v>8506.4921875</v>
      </c>
      <c r="N509" s="75">
        <v>8575.306640625</v>
      </c>
      <c r="O509" s="76"/>
      <c r="P509" s="77"/>
      <c r="Q509" s="77"/>
      <c r="R509" s="89"/>
      <c r="S509" s="49">
        <v>0</v>
      </c>
      <c r="T509" s="49">
        <v>1</v>
      </c>
      <c r="U509" s="50">
        <v>0</v>
      </c>
      <c r="V509" s="50">
        <v>0.000859</v>
      </c>
      <c r="W509" s="50">
        <v>0</v>
      </c>
      <c r="X509" s="50">
        <v>0.50924</v>
      </c>
      <c r="Y509" s="50">
        <v>0</v>
      </c>
      <c r="Z509" s="50">
        <v>0</v>
      </c>
      <c r="AA509" s="72">
        <v>509</v>
      </c>
      <c r="AB509" s="72"/>
      <c r="AC509" s="73"/>
      <c r="AD509" s="80" t="s">
        <v>2066</v>
      </c>
      <c r="AE509" s="80"/>
      <c r="AF509" s="80"/>
      <c r="AG509" s="80"/>
      <c r="AH509" s="80"/>
      <c r="AI509" s="80"/>
      <c r="AJ509" s="87">
        <v>42006.57931712963</v>
      </c>
      <c r="AK509" s="85" t="str">
        <f>HYPERLINK("https://yt3.ggpht.com/ytc/AAUvwnj-ZjXoZuLuJcggEXyYKeCog1YiH6MEvHSqE_Rg=s88-c-k-c0x00ffffff-no-rj")</f>
        <v>https://yt3.ggpht.com/ytc/AAUvwnj-ZjXoZuLuJcggEXyYKeCog1YiH6MEvHSqE_Rg=s88-c-k-c0x00ffffff-no-rj</v>
      </c>
      <c r="AL509" s="80">
        <v>0</v>
      </c>
      <c r="AM509" s="80">
        <v>0</v>
      </c>
      <c r="AN509" s="80">
        <v>0</v>
      </c>
      <c r="AO509" s="80" t="b">
        <v>0</v>
      </c>
      <c r="AP509" s="80">
        <v>0</v>
      </c>
      <c r="AQ509" s="80"/>
      <c r="AR509" s="80"/>
      <c r="AS509" s="80" t="s">
        <v>2664</v>
      </c>
      <c r="AT509" s="85" t="str">
        <f>HYPERLINK("https://www.youtube.com/channel/UCJCl1Qw-Uor9xnVdfuhcH0Q")</f>
        <v>https://www.youtube.com/channel/UCJCl1Qw-Uor9xnVdfuhcH0Q</v>
      </c>
      <c r="AU509" s="80" t="str">
        <f>REPLACE(INDEX(GroupVertices[Group],MATCH(Vertices[[#This Row],[Vertex]],GroupVertices[Vertex],0)),1,1,"")</f>
        <v>4</v>
      </c>
      <c r="AV509" s="49">
        <v>0</v>
      </c>
      <c r="AW509" s="50">
        <v>0</v>
      </c>
      <c r="AX509" s="49">
        <v>0</v>
      </c>
      <c r="AY509" s="50">
        <v>0</v>
      </c>
      <c r="AZ509" s="49">
        <v>0</v>
      </c>
      <c r="BA509" s="50">
        <v>0</v>
      </c>
      <c r="BB509" s="49">
        <v>6</v>
      </c>
      <c r="BC509" s="50">
        <v>100</v>
      </c>
      <c r="BD509" s="49">
        <v>6</v>
      </c>
      <c r="BE509" s="49"/>
      <c r="BF509" s="49"/>
      <c r="BG509" s="49"/>
      <c r="BH509" s="49"/>
      <c r="BI509" s="49"/>
      <c r="BJ509" s="49"/>
      <c r="BK509" s="111" t="s">
        <v>2817</v>
      </c>
      <c r="BL509" s="111" t="s">
        <v>2817</v>
      </c>
      <c r="BM509" s="111" t="s">
        <v>2390</v>
      </c>
      <c r="BN509" s="111" t="s">
        <v>2390</v>
      </c>
      <c r="BO509" s="2"/>
      <c r="BP509" s="3"/>
      <c r="BQ509" s="3"/>
      <c r="BR509" s="3"/>
      <c r="BS509" s="3"/>
    </row>
    <row r="510" spans="1:71" ht="15">
      <c r="A510" s="65" t="s">
        <v>708</v>
      </c>
      <c r="B510" s="66"/>
      <c r="C510" s="66"/>
      <c r="D510" s="67">
        <v>150</v>
      </c>
      <c r="E510" s="69"/>
      <c r="F510" s="103" t="str">
        <f>HYPERLINK("https://yt3.ggpht.com/ytc/AAUvwnhvPX-JM5HYx0KeRAgxOVbt7nmaIoNH1Qz2Vw=s88-c-k-c0x00ffffff-no-rj")</f>
        <v>https://yt3.ggpht.com/ytc/AAUvwnhvPX-JM5HYx0KeRAgxOVbt7nmaIoNH1Qz2Vw=s88-c-k-c0x00ffffff-no-rj</v>
      </c>
      <c r="G510" s="66"/>
      <c r="H510" s="70" t="s">
        <v>2067</v>
      </c>
      <c r="I510" s="71"/>
      <c r="J510" s="71" t="s">
        <v>159</v>
      </c>
      <c r="K510" s="70" t="s">
        <v>2067</v>
      </c>
      <c r="L510" s="74">
        <v>1</v>
      </c>
      <c r="M510" s="75">
        <v>7753.48828125</v>
      </c>
      <c r="N510" s="75">
        <v>8224.1640625</v>
      </c>
      <c r="O510" s="76"/>
      <c r="P510" s="77"/>
      <c r="Q510" s="77"/>
      <c r="R510" s="89"/>
      <c r="S510" s="49">
        <v>0</v>
      </c>
      <c r="T510" s="49">
        <v>1</v>
      </c>
      <c r="U510" s="50">
        <v>0</v>
      </c>
      <c r="V510" s="50">
        <v>0.000859</v>
      </c>
      <c r="W510" s="50">
        <v>0</v>
      </c>
      <c r="X510" s="50">
        <v>0.50924</v>
      </c>
      <c r="Y510" s="50">
        <v>0</v>
      </c>
      <c r="Z510" s="50">
        <v>0</v>
      </c>
      <c r="AA510" s="72">
        <v>510</v>
      </c>
      <c r="AB510" s="72"/>
      <c r="AC510" s="73"/>
      <c r="AD510" s="80" t="s">
        <v>2067</v>
      </c>
      <c r="AE510" s="80"/>
      <c r="AF510" s="80"/>
      <c r="AG510" s="80"/>
      <c r="AH510" s="80"/>
      <c r="AI510" s="80"/>
      <c r="AJ510" s="87">
        <v>41542.33988425926</v>
      </c>
      <c r="AK510" s="85" t="str">
        <f>HYPERLINK("https://yt3.ggpht.com/ytc/AAUvwnhvPX-JM5HYx0KeRAgxOVbt7nmaIoNH1Qz2Vw=s88-c-k-c0x00ffffff-no-rj")</f>
        <v>https://yt3.ggpht.com/ytc/AAUvwnhvPX-JM5HYx0KeRAgxOVbt7nmaIoNH1Qz2Vw=s88-c-k-c0x00ffffff-no-rj</v>
      </c>
      <c r="AL510" s="80">
        <v>0</v>
      </c>
      <c r="AM510" s="80">
        <v>0</v>
      </c>
      <c r="AN510" s="80">
        <v>0</v>
      </c>
      <c r="AO510" s="80" t="b">
        <v>0</v>
      </c>
      <c r="AP510" s="80">
        <v>0</v>
      </c>
      <c r="AQ510" s="80"/>
      <c r="AR510" s="80"/>
      <c r="AS510" s="80" t="s">
        <v>2664</v>
      </c>
      <c r="AT510" s="85" t="str">
        <f>HYPERLINK("https://www.youtube.com/channel/UC7rNPh7zNnIm-1yWgTKmYrw")</f>
        <v>https://www.youtube.com/channel/UC7rNPh7zNnIm-1yWgTKmYrw</v>
      </c>
      <c r="AU510" s="80" t="str">
        <f>REPLACE(INDEX(GroupVertices[Group],MATCH(Vertices[[#This Row],[Vertex]],GroupVertices[Vertex],0)),1,1,"")</f>
        <v>4</v>
      </c>
      <c r="AV510" s="49">
        <v>0</v>
      </c>
      <c r="AW510" s="50">
        <v>0</v>
      </c>
      <c r="AX510" s="49">
        <v>0</v>
      </c>
      <c r="AY510" s="50">
        <v>0</v>
      </c>
      <c r="AZ510" s="49">
        <v>0</v>
      </c>
      <c r="BA510" s="50">
        <v>0</v>
      </c>
      <c r="BB510" s="49">
        <v>3</v>
      </c>
      <c r="BC510" s="50">
        <v>100</v>
      </c>
      <c r="BD510" s="49">
        <v>3</v>
      </c>
      <c r="BE510" s="49"/>
      <c r="BF510" s="49"/>
      <c r="BG510" s="49"/>
      <c r="BH510" s="49"/>
      <c r="BI510" s="49"/>
      <c r="BJ510" s="49"/>
      <c r="BK510" s="111" t="s">
        <v>2962</v>
      </c>
      <c r="BL510" s="111" t="s">
        <v>2962</v>
      </c>
      <c r="BM510" s="111" t="s">
        <v>2390</v>
      </c>
      <c r="BN510" s="111" t="s">
        <v>2390</v>
      </c>
      <c r="BO510" s="2"/>
      <c r="BP510" s="3"/>
      <c r="BQ510" s="3"/>
      <c r="BR510" s="3"/>
      <c r="BS510" s="3"/>
    </row>
    <row r="511" spans="1:71" ht="15">
      <c r="A511" s="65" t="s">
        <v>709</v>
      </c>
      <c r="B511" s="66"/>
      <c r="C511" s="66"/>
      <c r="D511" s="67">
        <v>150</v>
      </c>
      <c r="E511" s="69"/>
      <c r="F511" s="103" t="str">
        <f>HYPERLINK("https://yt3.ggpht.com/ytc/AAUvwnj8QLiarwbs2FNJaaTBVlLsp_9i6n1IAguF6w=s88-c-k-c0x00ffffff-no-rj")</f>
        <v>https://yt3.ggpht.com/ytc/AAUvwnj8QLiarwbs2FNJaaTBVlLsp_9i6n1IAguF6w=s88-c-k-c0x00ffffff-no-rj</v>
      </c>
      <c r="G511" s="66"/>
      <c r="H511" s="70" t="s">
        <v>2068</v>
      </c>
      <c r="I511" s="71"/>
      <c r="J511" s="71" t="s">
        <v>159</v>
      </c>
      <c r="K511" s="70" t="s">
        <v>2068</v>
      </c>
      <c r="L511" s="74">
        <v>1</v>
      </c>
      <c r="M511" s="75">
        <v>8080.92138671875</v>
      </c>
      <c r="N511" s="75">
        <v>7269.38720703125</v>
      </c>
      <c r="O511" s="76"/>
      <c r="P511" s="77"/>
      <c r="Q511" s="77"/>
      <c r="R511" s="89"/>
      <c r="S511" s="49">
        <v>0</v>
      </c>
      <c r="T511" s="49">
        <v>1</v>
      </c>
      <c r="U511" s="50">
        <v>0</v>
      </c>
      <c r="V511" s="50">
        <v>0.000859</v>
      </c>
      <c r="W511" s="50">
        <v>0</v>
      </c>
      <c r="X511" s="50">
        <v>0.50924</v>
      </c>
      <c r="Y511" s="50">
        <v>0</v>
      </c>
      <c r="Z511" s="50">
        <v>0</v>
      </c>
      <c r="AA511" s="72">
        <v>511</v>
      </c>
      <c r="AB511" s="72"/>
      <c r="AC511" s="73"/>
      <c r="AD511" s="80" t="s">
        <v>2068</v>
      </c>
      <c r="AE511" s="80"/>
      <c r="AF511" s="80"/>
      <c r="AG511" s="80"/>
      <c r="AH511" s="80"/>
      <c r="AI511" s="80"/>
      <c r="AJ511" s="87">
        <v>42780.63148148148</v>
      </c>
      <c r="AK511" s="85" t="str">
        <f>HYPERLINK("https://yt3.ggpht.com/ytc/AAUvwnj8QLiarwbs2FNJaaTBVlLsp_9i6n1IAguF6w=s88-c-k-c0x00ffffff-no-rj")</f>
        <v>https://yt3.ggpht.com/ytc/AAUvwnj8QLiarwbs2FNJaaTBVlLsp_9i6n1IAguF6w=s88-c-k-c0x00ffffff-no-rj</v>
      </c>
      <c r="AL511" s="80">
        <v>0</v>
      </c>
      <c r="AM511" s="80">
        <v>0</v>
      </c>
      <c r="AN511" s="80">
        <v>1</v>
      </c>
      <c r="AO511" s="80" t="b">
        <v>0</v>
      </c>
      <c r="AP511" s="80">
        <v>0</v>
      </c>
      <c r="AQ511" s="80"/>
      <c r="AR511" s="80"/>
      <c r="AS511" s="80" t="s">
        <v>2664</v>
      </c>
      <c r="AT511" s="85" t="str">
        <f>HYPERLINK("https://www.youtube.com/channel/UC5f6Lx2sf0O43HKt0G5_4YA")</f>
        <v>https://www.youtube.com/channel/UC5f6Lx2sf0O43HKt0G5_4YA</v>
      </c>
      <c r="AU511" s="80" t="str">
        <f>REPLACE(INDEX(GroupVertices[Group],MATCH(Vertices[[#This Row],[Vertex]],GroupVertices[Vertex],0)),1,1,"")</f>
        <v>4</v>
      </c>
      <c r="AV511" s="49">
        <v>1</v>
      </c>
      <c r="AW511" s="50">
        <v>50</v>
      </c>
      <c r="AX511" s="49">
        <v>0</v>
      </c>
      <c r="AY511" s="50">
        <v>0</v>
      </c>
      <c r="AZ511" s="49">
        <v>0</v>
      </c>
      <c r="BA511" s="50">
        <v>0</v>
      </c>
      <c r="BB511" s="49">
        <v>1</v>
      </c>
      <c r="BC511" s="50">
        <v>50</v>
      </c>
      <c r="BD511" s="49">
        <v>2</v>
      </c>
      <c r="BE511" s="49"/>
      <c r="BF511" s="49"/>
      <c r="BG511" s="49"/>
      <c r="BH511" s="49"/>
      <c r="BI511" s="49"/>
      <c r="BJ511" s="49"/>
      <c r="BK511" s="111" t="s">
        <v>2877</v>
      </c>
      <c r="BL511" s="111" t="s">
        <v>2877</v>
      </c>
      <c r="BM511" s="111" t="s">
        <v>2390</v>
      </c>
      <c r="BN511" s="111" t="s">
        <v>2390</v>
      </c>
      <c r="BO511" s="2"/>
      <c r="BP511" s="3"/>
      <c r="BQ511" s="3"/>
      <c r="BR511" s="3"/>
      <c r="BS511" s="3"/>
    </row>
    <row r="512" spans="1:71" ht="15">
      <c r="A512" s="65" t="s">
        <v>710</v>
      </c>
      <c r="B512" s="66"/>
      <c r="C512" s="66"/>
      <c r="D512" s="67">
        <v>150</v>
      </c>
      <c r="E512" s="69"/>
      <c r="F512" s="103" t="str">
        <f>HYPERLINK("https://yt3.ggpht.com/ytc/AAUvwnghf5xShfTQki_MVGSA3FhpZ8kpKo74TREo-g=s88-c-k-c0x00ffffff-no-rj")</f>
        <v>https://yt3.ggpht.com/ytc/AAUvwnghf5xShfTQki_MVGSA3FhpZ8kpKo74TREo-g=s88-c-k-c0x00ffffff-no-rj</v>
      </c>
      <c r="G512" s="66"/>
      <c r="H512" s="70" t="s">
        <v>2069</v>
      </c>
      <c r="I512" s="71"/>
      <c r="J512" s="71" t="s">
        <v>159</v>
      </c>
      <c r="K512" s="70" t="s">
        <v>2069</v>
      </c>
      <c r="L512" s="74">
        <v>1</v>
      </c>
      <c r="M512" s="75">
        <v>7935.95361328125</v>
      </c>
      <c r="N512" s="75">
        <v>7644.97314453125</v>
      </c>
      <c r="O512" s="76"/>
      <c r="P512" s="77"/>
      <c r="Q512" s="77"/>
      <c r="R512" s="89"/>
      <c r="S512" s="49">
        <v>0</v>
      </c>
      <c r="T512" s="49">
        <v>1</v>
      </c>
      <c r="U512" s="50">
        <v>0</v>
      </c>
      <c r="V512" s="50">
        <v>0.000859</v>
      </c>
      <c r="W512" s="50">
        <v>0</v>
      </c>
      <c r="X512" s="50">
        <v>0.50924</v>
      </c>
      <c r="Y512" s="50">
        <v>0</v>
      </c>
      <c r="Z512" s="50">
        <v>0</v>
      </c>
      <c r="AA512" s="72">
        <v>512</v>
      </c>
      <c r="AB512" s="72"/>
      <c r="AC512" s="73"/>
      <c r="AD512" s="80" t="s">
        <v>2069</v>
      </c>
      <c r="AE512" s="80"/>
      <c r="AF512" s="80"/>
      <c r="AG512" s="80"/>
      <c r="AH512" s="80"/>
      <c r="AI512" s="80"/>
      <c r="AJ512" s="87">
        <v>42987.562048611115</v>
      </c>
      <c r="AK512" s="85" t="str">
        <f>HYPERLINK("https://yt3.ggpht.com/ytc/AAUvwnghf5xShfTQki_MVGSA3FhpZ8kpKo74TREo-g=s88-c-k-c0x00ffffff-no-rj")</f>
        <v>https://yt3.ggpht.com/ytc/AAUvwnghf5xShfTQki_MVGSA3FhpZ8kpKo74TREo-g=s88-c-k-c0x00ffffff-no-rj</v>
      </c>
      <c r="AL512" s="80">
        <v>0</v>
      </c>
      <c r="AM512" s="80">
        <v>0</v>
      </c>
      <c r="AN512" s="80">
        <v>1</v>
      </c>
      <c r="AO512" s="80" t="b">
        <v>0</v>
      </c>
      <c r="AP512" s="80">
        <v>0</v>
      </c>
      <c r="AQ512" s="80"/>
      <c r="AR512" s="80"/>
      <c r="AS512" s="80" t="s">
        <v>2664</v>
      </c>
      <c r="AT512" s="85" t="str">
        <f>HYPERLINK("https://www.youtube.com/channel/UC2m5BR47ai-hasWinpJQIrQ")</f>
        <v>https://www.youtube.com/channel/UC2m5BR47ai-hasWinpJQIrQ</v>
      </c>
      <c r="AU512" s="80" t="str">
        <f>REPLACE(INDEX(GroupVertices[Group],MATCH(Vertices[[#This Row],[Vertex]],GroupVertices[Vertex],0)),1,1,"")</f>
        <v>4</v>
      </c>
      <c r="AV512" s="49">
        <v>1</v>
      </c>
      <c r="AW512" s="50">
        <v>50</v>
      </c>
      <c r="AX512" s="49">
        <v>0</v>
      </c>
      <c r="AY512" s="50">
        <v>0</v>
      </c>
      <c r="AZ512" s="49">
        <v>0</v>
      </c>
      <c r="BA512" s="50">
        <v>0</v>
      </c>
      <c r="BB512" s="49">
        <v>1</v>
      </c>
      <c r="BC512" s="50">
        <v>50</v>
      </c>
      <c r="BD512" s="49">
        <v>2</v>
      </c>
      <c r="BE512" s="49"/>
      <c r="BF512" s="49"/>
      <c r="BG512" s="49"/>
      <c r="BH512" s="49"/>
      <c r="BI512" s="49"/>
      <c r="BJ512" s="49"/>
      <c r="BK512" s="111" t="s">
        <v>1110</v>
      </c>
      <c r="BL512" s="111" t="s">
        <v>1110</v>
      </c>
      <c r="BM512" s="111" t="s">
        <v>2390</v>
      </c>
      <c r="BN512" s="111" t="s">
        <v>2390</v>
      </c>
      <c r="BO512" s="2"/>
      <c r="BP512" s="3"/>
      <c r="BQ512" s="3"/>
      <c r="BR512" s="3"/>
      <c r="BS512" s="3"/>
    </row>
    <row r="513" spans="1:71" ht="15">
      <c r="A513" s="65" t="s">
        <v>711</v>
      </c>
      <c r="B513" s="66"/>
      <c r="C513" s="66"/>
      <c r="D513" s="67">
        <v>291.66666666666663</v>
      </c>
      <c r="E513" s="69"/>
      <c r="F513" s="103" t="str">
        <f>HYPERLINK("https://yt3.ggpht.com/ytc/AAUvwnjt3bZAgXDU6AXmxJ5y88qAEGQqYKem-KEo5JL-Aw=s88-c-k-c0x00ffffff-no-rj")</f>
        <v>https://yt3.ggpht.com/ytc/AAUvwnjt3bZAgXDU6AXmxJ5y88qAEGQqYKem-KEo5JL-Aw=s88-c-k-c0x00ffffff-no-rj</v>
      </c>
      <c r="G513" s="66"/>
      <c r="H513" s="70" t="s">
        <v>2070</v>
      </c>
      <c r="I513" s="71"/>
      <c r="J513" s="71" t="s">
        <v>159</v>
      </c>
      <c r="K513" s="70" t="s">
        <v>2070</v>
      </c>
      <c r="L513" s="74">
        <v>96.21904761904761</v>
      </c>
      <c r="M513" s="75">
        <v>6676.61474609375</v>
      </c>
      <c r="N513" s="75">
        <v>7001.876953125</v>
      </c>
      <c r="O513" s="76"/>
      <c r="P513" s="77"/>
      <c r="Q513" s="77"/>
      <c r="R513" s="89"/>
      <c r="S513" s="49">
        <v>1</v>
      </c>
      <c r="T513" s="49">
        <v>1</v>
      </c>
      <c r="U513" s="50">
        <v>7085.933333</v>
      </c>
      <c r="V513" s="50">
        <v>0.000982</v>
      </c>
      <c r="W513" s="50">
        <v>0</v>
      </c>
      <c r="X513" s="50">
        <v>0.866901</v>
      </c>
      <c r="Y513" s="50">
        <v>0</v>
      </c>
      <c r="Z513" s="50">
        <v>0</v>
      </c>
      <c r="AA513" s="72">
        <v>513</v>
      </c>
      <c r="AB513" s="72"/>
      <c r="AC513" s="73"/>
      <c r="AD513" s="80" t="s">
        <v>2070</v>
      </c>
      <c r="AE513" s="80"/>
      <c r="AF513" s="80"/>
      <c r="AG513" s="80"/>
      <c r="AH513" s="80"/>
      <c r="AI513" s="80"/>
      <c r="AJ513" s="87">
        <v>41786.243159722224</v>
      </c>
      <c r="AK513" s="85" t="str">
        <f>HYPERLINK("https://yt3.ggpht.com/ytc/AAUvwnjt3bZAgXDU6AXmxJ5y88qAEGQqYKem-KEo5JL-Aw=s88-c-k-c0x00ffffff-no-rj")</f>
        <v>https://yt3.ggpht.com/ytc/AAUvwnjt3bZAgXDU6AXmxJ5y88qAEGQqYKem-KEo5JL-Aw=s88-c-k-c0x00ffffff-no-rj</v>
      </c>
      <c r="AL513" s="80">
        <v>0</v>
      </c>
      <c r="AM513" s="80">
        <v>0</v>
      </c>
      <c r="AN513" s="80">
        <v>0</v>
      </c>
      <c r="AO513" s="80" t="b">
        <v>0</v>
      </c>
      <c r="AP513" s="80">
        <v>0</v>
      </c>
      <c r="AQ513" s="80"/>
      <c r="AR513" s="80"/>
      <c r="AS513" s="80" t="s">
        <v>2664</v>
      </c>
      <c r="AT513" s="85" t="str">
        <f>HYPERLINK("https://www.youtube.com/channel/UC4NI7ilrRqfiK8xMUG1dZ0w")</f>
        <v>https://www.youtube.com/channel/UC4NI7ilrRqfiK8xMUG1dZ0w</v>
      </c>
      <c r="AU513" s="80" t="str">
        <f>REPLACE(INDEX(GroupVertices[Group],MATCH(Vertices[[#This Row],[Vertex]],GroupVertices[Vertex],0)),1,1,"")</f>
        <v>3</v>
      </c>
      <c r="AV513" s="49">
        <v>0</v>
      </c>
      <c r="AW513" s="50">
        <v>0</v>
      </c>
      <c r="AX513" s="49">
        <v>0</v>
      </c>
      <c r="AY513" s="50">
        <v>0</v>
      </c>
      <c r="AZ513" s="49">
        <v>0</v>
      </c>
      <c r="BA513" s="50">
        <v>0</v>
      </c>
      <c r="BB513" s="49">
        <v>10</v>
      </c>
      <c r="BC513" s="50">
        <v>100</v>
      </c>
      <c r="BD513" s="49">
        <v>10</v>
      </c>
      <c r="BE513" s="49"/>
      <c r="BF513" s="49"/>
      <c r="BG513" s="49"/>
      <c r="BH513" s="49"/>
      <c r="BI513" s="49"/>
      <c r="BJ513" s="49"/>
      <c r="BK513" s="111" t="s">
        <v>4057</v>
      </c>
      <c r="BL513" s="111" t="s">
        <v>4057</v>
      </c>
      <c r="BM513" s="111" t="s">
        <v>4519</v>
      </c>
      <c r="BN513" s="111" t="s">
        <v>4519</v>
      </c>
      <c r="BO513" s="2"/>
      <c r="BP513" s="3"/>
      <c r="BQ513" s="3"/>
      <c r="BR513" s="3"/>
      <c r="BS513" s="3"/>
    </row>
    <row r="514" spans="1:71" ht="15">
      <c r="A514" s="65" t="s">
        <v>712</v>
      </c>
      <c r="B514" s="66"/>
      <c r="C514" s="66"/>
      <c r="D514" s="67">
        <v>150</v>
      </c>
      <c r="E514" s="69"/>
      <c r="F514" s="103" t="str">
        <f>HYPERLINK("https://yt3.ggpht.com/ytc/AAUvwnhbsqXk6VZh8lORlk-Q99SqYMHEfBIS5fE-GhggJw=s88-c-k-c0x00ffffff-no-rj")</f>
        <v>https://yt3.ggpht.com/ytc/AAUvwnhbsqXk6VZh8lORlk-Q99SqYMHEfBIS5fE-GhggJw=s88-c-k-c0x00ffffff-no-rj</v>
      </c>
      <c r="G514" s="66"/>
      <c r="H514" s="70" t="s">
        <v>2071</v>
      </c>
      <c r="I514" s="71"/>
      <c r="J514" s="71" t="s">
        <v>159</v>
      </c>
      <c r="K514" s="70" t="s">
        <v>2071</v>
      </c>
      <c r="L514" s="74">
        <v>1</v>
      </c>
      <c r="M514" s="75">
        <v>8950.369140625</v>
      </c>
      <c r="N514" s="75">
        <v>8012.09375</v>
      </c>
      <c r="O514" s="76"/>
      <c r="P514" s="77"/>
      <c r="Q514" s="77"/>
      <c r="R514" s="89"/>
      <c r="S514" s="49">
        <v>0</v>
      </c>
      <c r="T514" s="49">
        <v>1</v>
      </c>
      <c r="U514" s="50">
        <v>0</v>
      </c>
      <c r="V514" s="50">
        <v>0.000859</v>
      </c>
      <c r="W514" s="50">
        <v>0</v>
      </c>
      <c r="X514" s="50">
        <v>0.50924</v>
      </c>
      <c r="Y514" s="50">
        <v>0</v>
      </c>
      <c r="Z514" s="50">
        <v>0</v>
      </c>
      <c r="AA514" s="72">
        <v>514</v>
      </c>
      <c r="AB514" s="72"/>
      <c r="AC514" s="73"/>
      <c r="AD514" s="80" t="s">
        <v>2071</v>
      </c>
      <c r="AE514" s="80"/>
      <c r="AF514" s="80"/>
      <c r="AG514" s="80"/>
      <c r="AH514" s="80"/>
      <c r="AI514" s="80"/>
      <c r="AJ514" s="87">
        <v>42498.743310185186</v>
      </c>
      <c r="AK514" s="85" t="str">
        <f>HYPERLINK("https://yt3.ggpht.com/ytc/AAUvwnhbsqXk6VZh8lORlk-Q99SqYMHEfBIS5fE-GhggJw=s88-c-k-c0x00ffffff-no-rj")</f>
        <v>https://yt3.ggpht.com/ytc/AAUvwnhbsqXk6VZh8lORlk-Q99SqYMHEfBIS5fE-GhggJw=s88-c-k-c0x00ffffff-no-rj</v>
      </c>
      <c r="AL514" s="80">
        <v>0</v>
      </c>
      <c r="AM514" s="80">
        <v>0</v>
      </c>
      <c r="AN514" s="80">
        <v>1</v>
      </c>
      <c r="AO514" s="80" t="b">
        <v>0</v>
      </c>
      <c r="AP514" s="80">
        <v>0</v>
      </c>
      <c r="AQ514" s="80"/>
      <c r="AR514" s="80"/>
      <c r="AS514" s="80" t="s">
        <v>2664</v>
      </c>
      <c r="AT514" s="85" t="str">
        <f>HYPERLINK("https://www.youtube.com/channel/UCEQkX3yQvmG-23u9b8lvmuw")</f>
        <v>https://www.youtube.com/channel/UCEQkX3yQvmG-23u9b8lvmuw</v>
      </c>
      <c r="AU514" s="80" t="str">
        <f>REPLACE(INDEX(GroupVertices[Group],MATCH(Vertices[[#This Row],[Vertex]],GroupVertices[Vertex],0)),1,1,"")</f>
        <v>4</v>
      </c>
      <c r="AV514" s="49">
        <v>2</v>
      </c>
      <c r="AW514" s="50">
        <v>22.22222222222222</v>
      </c>
      <c r="AX514" s="49">
        <v>0</v>
      </c>
      <c r="AY514" s="50">
        <v>0</v>
      </c>
      <c r="AZ514" s="49">
        <v>0</v>
      </c>
      <c r="BA514" s="50">
        <v>0</v>
      </c>
      <c r="BB514" s="49">
        <v>7</v>
      </c>
      <c r="BC514" s="50">
        <v>77.77777777777777</v>
      </c>
      <c r="BD514" s="49">
        <v>9</v>
      </c>
      <c r="BE514" s="49"/>
      <c r="BF514" s="49"/>
      <c r="BG514" s="49"/>
      <c r="BH514" s="49"/>
      <c r="BI514" s="49"/>
      <c r="BJ514" s="49"/>
      <c r="BK514" s="111" t="s">
        <v>2732</v>
      </c>
      <c r="BL514" s="111" t="s">
        <v>2732</v>
      </c>
      <c r="BM514" s="111" t="s">
        <v>2390</v>
      </c>
      <c r="BN514" s="111" t="s">
        <v>2390</v>
      </c>
      <c r="BO514" s="2"/>
      <c r="BP514" s="3"/>
      <c r="BQ514" s="3"/>
      <c r="BR514" s="3"/>
      <c r="BS514" s="3"/>
    </row>
    <row r="515" spans="1:71" ht="15">
      <c r="A515" s="65" t="s">
        <v>713</v>
      </c>
      <c r="B515" s="66"/>
      <c r="C515" s="66"/>
      <c r="D515" s="67">
        <v>150</v>
      </c>
      <c r="E515" s="69"/>
      <c r="F515" s="103" t="str">
        <f>HYPERLINK("https://yt3.ggpht.com/ytc/AAUvwnjLLRAv8LJbO25SskKqeJ3nFyHyxHWPzn-ILEAG=s88-c-k-c0x00ffffff-no-rj")</f>
        <v>https://yt3.ggpht.com/ytc/AAUvwnjLLRAv8LJbO25SskKqeJ3nFyHyxHWPzn-ILEAG=s88-c-k-c0x00ffffff-no-rj</v>
      </c>
      <c r="G515" s="66"/>
      <c r="H515" s="70" t="s">
        <v>2072</v>
      </c>
      <c r="I515" s="71"/>
      <c r="J515" s="71" t="s">
        <v>159</v>
      </c>
      <c r="K515" s="70" t="s">
        <v>2072</v>
      </c>
      <c r="L515" s="74">
        <v>1</v>
      </c>
      <c r="M515" s="75">
        <v>8047.2001953125</v>
      </c>
      <c r="N515" s="75">
        <v>8887.6083984375</v>
      </c>
      <c r="O515" s="76"/>
      <c r="P515" s="77"/>
      <c r="Q515" s="77"/>
      <c r="R515" s="89"/>
      <c r="S515" s="49">
        <v>0</v>
      </c>
      <c r="T515" s="49">
        <v>1</v>
      </c>
      <c r="U515" s="50">
        <v>0</v>
      </c>
      <c r="V515" s="50">
        <v>0.000859</v>
      </c>
      <c r="W515" s="50">
        <v>0</v>
      </c>
      <c r="X515" s="50">
        <v>0.50924</v>
      </c>
      <c r="Y515" s="50">
        <v>0</v>
      </c>
      <c r="Z515" s="50">
        <v>0</v>
      </c>
      <c r="AA515" s="72">
        <v>515</v>
      </c>
      <c r="AB515" s="72"/>
      <c r="AC515" s="73"/>
      <c r="AD515" s="80" t="s">
        <v>2072</v>
      </c>
      <c r="AE515" s="80"/>
      <c r="AF515" s="80"/>
      <c r="AG515" s="80"/>
      <c r="AH515" s="80"/>
      <c r="AI515" s="80"/>
      <c r="AJ515" s="87">
        <v>43504.825740740744</v>
      </c>
      <c r="AK515" s="85" t="str">
        <f>HYPERLINK("https://yt3.ggpht.com/ytc/AAUvwnjLLRAv8LJbO25SskKqeJ3nFyHyxHWPzn-ILEAG=s88-c-k-c0x00ffffff-no-rj")</f>
        <v>https://yt3.ggpht.com/ytc/AAUvwnjLLRAv8LJbO25SskKqeJ3nFyHyxHWPzn-ILEAG=s88-c-k-c0x00ffffff-no-rj</v>
      </c>
      <c r="AL515" s="80">
        <v>0</v>
      </c>
      <c r="AM515" s="80">
        <v>0</v>
      </c>
      <c r="AN515" s="80">
        <v>2</v>
      </c>
      <c r="AO515" s="80" t="b">
        <v>0</v>
      </c>
      <c r="AP515" s="80">
        <v>0</v>
      </c>
      <c r="AQ515" s="80"/>
      <c r="AR515" s="80"/>
      <c r="AS515" s="80" t="s">
        <v>2664</v>
      </c>
      <c r="AT515" s="85" t="str">
        <f>HYPERLINK("https://www.youtube.com/channel/UCNpJn9ONNVoW_DGiP6khUFg")</f>
        <v>https://www.youtube.com/channel/UCNpJn9ONNVoW_DGiP6khUFg</v>
      </c>
      <c r="AU515" s="80" t="str">
        <f>REPLACE(INDEX(GroupVertices[Group],MATCH(Vertices[[#This Row],[Vertex]],GroupVertices[Vertex],0)),1,1,"")</f>
        <v>4</v>
      </c>
      <c r="AV515" s="49">
        <v>1</v>
      </c>
      <c r="AW515" s="50">
        <v>25</v>
      </c>
      <c r="AX515" s="49">
        <v>0</v>
      </c>
      <c r="AY515" s="50">
        <v>0</v>
      </c>
      <c r="AZ515" s="49">
        <v>0</v>
      </c>
      <c r="BA515" s="50">
        <v>0</v>
      </c>
      <c r="BB515" s="49">
        <v>3</v>
      </c>
      <c r="BC515" s="50">
        <v>75</v>
      </c>
      <c r="BD515" s="49">
        <v>4</v>
      </c>
      <c r="BE515" s="49"/>
      <c r="BF515" s="49"/>
      <c r="BG515" s="49"/>
      <c r="BH515" s="49"/>
      <c r="BI515" s="49"/>
      <c r="BJ515" s="49"/>
      <c r="BK515" s="111" t="s">
        <v>4058</v>
      </c>
      <c r="BL515" s="111" t="s">
        <v>4058</v>
      </c>
      <c r="BM515" s="111" t="s">
        <v>4520</v>
      </c>
      <c r="BN515" s="111" t="s">
        <v>4520</v>
      </c>
      <c r="BO515" s="2"/>
      <c r="BP515" s="3"/>
      <c r="BQ515" s="3"/>
      <c r="BR515" s="3"/>
      <c r="BS515" s="3"/>
    </row>
    <row r="516" spans="1:71" ht="15">
      <c r="A516" s="65" t="s">
        <v>714</v>
      </c>
      <c r="B516" s="66"/>
      <c r="C516" s="66"/>
      <c r="D516" s="67">
        <v>150</v>
      </c>
      <c r="E516" s="69"/>
      <c r="F516" s="103" t="str">
        <f>HYPERLINK("https://yt3.ggpht.com/ytc/AAUvwnjit83kDbNhNTwZVZHl_Qe54jWfAFvmB9AIoLdmBA=s88-c-k-c0x00ffffff-no-rj")</f>
        <v>https://yt3.ggpht.com/ytc/AAUvwnjit83kDbNhNTwZVZHl_Qe54jWfAFvmB9AIoLdmBA=s88-c-k-c0x00ffffff-no-rj</v>
      </c>
      <c r="G516" s="66"/>
      <c r="H516" s="70" t="s">
        <v>2073</v>
      </c>
      <c r="I516" s="71"/>
      <c r="J516" s="71" t="s">
        <v>159</v>
      </c>
      <c r="K516" s="70" t="s">
        <v>2073</v>
      </c>
      <c r="L516" s="74">
        <v>1</v>
      </c>
      <c r="M516" s="75">
        <v>7524.2841796875</v>
      </c>
      <c r="N516" s="75">
        <v>7993.04833984375</v>
      </c>
      <c r="O516" s="76"/>
      <c r="P516" s="77"/>
      <c r="Q516" s="77"/>
      <c r="R516" s="89"/>
      <c r="S516" s="49">
        <v>0</v>
      </c>
      <c r="T516" s="49">
        <v>1</v>
      </c>
      <c r="U516" s="50">
        <v>0</v>
      </c>
      <c r="V516" s="50">
        <v>0.000859</v>
      </c>
      <c r="W516" s="50">
        <v>0</v>
      </c>
      <c r="X516" s="50">
        <v>0.50924</v>
      </c>
      <c r="Y516" s="50">
        <v>0</v>
      </c>
      <c r="Z516" s="50">
        <v>0</v>
      </c>
      <c r="AA516" s="72">
        <v>516</v>
      </c>
      <c r="AB516" s="72"/>
      <c r="AC516" s="73"/>
      <c r="AD516" s="80" t="s">
        <v>2073</v>
      </c>
      <c r="AE516" s="80"/>
      <c r="AF516" s="80"/>
      <c r="AG516" s="80"/>
      <c r="AH516" s="80"/>
      <c r="AI516" s="80"/>
      <c r="AJ516" s="87">
        <v>43069.27369212963</v>
      </c>
      <c r="AK516" s="85" t="str">
        <f>HYPERLINK("https://yt3.ggpht.com/ytc/AAUvwnjit83kDbNhNTwZVZHl_Qe54jWfAFvmB9AIoLdmBA=s88-c-k-c0x00ffffff-no-rj")</f>
        <v>https://yt3.ggpht.com/ytc/AAUvwnjit83kDbNhNTwZVZHl_Qe54jWfAFvmB9AIoLdmBA=s88-c-k-c0x00ffffff-no-rj</v>
      </c>
      <c r="AL516" s="80">
        <v>0</v>
      </c>
      <c r="AM516" s="80">
        <v>0</v>
      </c>
      <c r="AN516" s="80">
        <v>7</v>
      </c>
      <c r="AO516" s="80" t="b">
        <v>0</v>
      </c>
      <c r="AP516" s="80">
        <v>0</v>
      </c>
      <c r="AQ516" s="80"/>
      <c r="AR516" s="80"/>
      <c r="AS516" s="80" t="s">
        <v>2664</v>
      </c>
      <c r="AT516" s="85" t="str">
        <f>HYPERLINK("https://www.youtube.com/channel/UCzIbFH6UUwsRNVzmNkSUjiw")</f>
        <v>https://www.youtube.com/channel/UCzIbFH6UUwsRNVzmNkSUjiw</v>
      </c>
      <c r="AU516" s="80" t="str">
        <f>REPLACE(INDEX(GroupVertices[Group],MATCH(Vertices[[#This Row],[Vertex]],GroupVertices[Vertex],0)),1,1,"")</f>
        <v>4</v>
      </c>
      <c r="AV516" s="49">
        <v>1</v>
      </c>
      <c r="AW516" s="50">
        <v>50</v>
      </c>
      <c r="AX516" s="49">
        <v>0</v>
      </c>
      <c r="AY516" s="50">
        <v>0</v>
      </c>
      <c r="AZ516" s="49">
        <v>0</v>
      </c>
      <c r="BA516" s="50">
        <v>0</v>
      </c>
      <c r="BB516" s="49">
        <v>1</v>
      </c>
      <c r="BC516" s="50">
        <v>50</v>
      </c>
      <c r="BD516" s="49">
        <v>2</v>
      </c>
      <c r="BE516" s="49"/>
      <c r="BF516" s="49"/>
      <c r="BG516" s="49"/>
      <c r="BH516" s="49"/>
      <c r="BI516" s="49"/>
      <c r="BJ516" s="49"/>
      <c r="BK516" s="111" t="s">
        <v>2725</v>
      </c>
      <c r="BL516" s="111" t="s">
        <v>2725</v>
      </c>
      <c r="BM516" s="111" t="s">
        <v>2390</v>
      </c>
      <c r="BN516" s="111" t="s">
        <v>2390</v>
      </c>
      <c r="BO516" s="2"/>
      <c r="BP516" s="3"/>
      <c r="BQ516" s="3"/>
      <c r="BR516" s="3"/>
      <c r="BS516" s="3"/>
    </row>
    <row r="517" spans="1:71" ht="15">
      <c r="A517" s="65" t="s">
        <v>715</v>
      </c>
      <c r="B517" s="66"/>
      <c r="C517" s="66"/>
      <c r="D517" s="67">
        <v>150</v>
      </c>
      <c r="E517" s="69"/>
      <c r="F517" s="103" t="str">
        <f>HYPERLINK("https://yt3.ggpht.com/ytc/AAUvwngnZZ2y-A6fKjo-5Mt6tIDOmTspu985QeV1SSFLsQ=s88-c-k-c0x00ffffff-no-rj")</f>
        <v>https://yt3.ggpht.com/ytc/AAUvwngnZZ2y-A6fKjo-5Mt6tIDOmTspu985QeV1SSFLsQ=s88-c-k-c0x00ffffff-no-rj</v>
      </c>
      <c r="G517" s="66"/>
      <c r="H517" s="70" t="s">
        <v>2074</v>
      </c>
      <c r="I517" s="71"/>
      <c r="J517" s="71" t="s">
        <v>159</v>
      </c>
      <c r="K517" s="70" t="s">
        <v>2074</v>
      </c>
      <c r="L517" s="74">
        <v>1</v>
      </c>
      <c r="M517" s="75">
        <v>8229.041015625</v>
      </c>
      <c r="N517" s="75">
        <v>8770.59375</v>
      </c>
      <c r="O517" s="76"/>
      <c r="P517" s="77"/>
      <c r="Q517" s="77"/>
      <c r="R517" s="89"/>
      <c r="S517" s="49">
        <v>0</v>
      </c>
      <c r="T517" s="49">
        <v>1</v>
      </c>
      <c r="U517" s="50">
        <v>0</v>
      </c>
      <c r="V517" s="50">
        <v>0.000859</v>
      </c>
      <c r="W517" s="50">
        <v>0</v>
      </c>
      <c r="X517" s="50">
        <v>0.50924</v>
      </c>
      <c r="Y517" s="50">
        <v>0</v>
      </c>
      <c r="Z517" s="50">
        <v>0</v>
      </c>
      <c r="AA517" s="72">
        <v>517</v>
      </c>
      <c r="AB517" s="72"/>
      <c r="AC517" s="73"/>
      <c r="AD517" s="80" t="s">
        <v>2074</v>
      </c>
      <c r="AE517" s="80"/>
      <c r="AF517" s="80"/>
      <c r="AG517" s="80"/>
      <c r="AH517" s="80"/>
      <c r="AI517" s="80"/>
      <c r="AJ517" s="87">
        <v>44064.566469907404</v>
      </c>
      <c r="AK517" s="85" t="str">
        <f>HYPERLINK("https://yt3.ggpht.com/ytc/AAUvwngnZZ2y-A6fKjo-5Mt6tIDOmTspu985QeV1SSFLsQ=s88-c-k-c0x00ffffff-no-rj")</f>
        <v>https://yt3.ggpht.com/ytc/AAUvwngnZZ2y-A6fKjo-5Mt6tIDOmTspu985QeV1SSFLsQ=s88-c-k-c0x00ffffff-no-rj</v>
      </c>
      <c r="AL517" s="80">
        <v>0</v>
      </c>
      <c r="AM517" s="80">
        <v>0</v>
      </c>
      <c r="AN517" s="80">
        <v>0</v>
      </c>
      <c r="AO517" s="80" t="b">
        <v>0</v>
      </c>
      <c r="AP517" s="80">
        <v>0</v>
      </c>
      <c r="AQ517" s="80"/>
      <c r="AR517" s="80"/>
      <c r="AS517" s="80" t="s">
        <v>2664</v>
      </c>
      <c r="AT517" s="85" t="str">
        <f>HYPERLINK("https://www.youtube.com/channel/UC4v9ixY7tjtvkKVlE8vXygQ")</f>
        <v>https://www.youtube.com/channel/UC4v9ixY7tjtvkKVlE8vXygQ</v>
      </c>
      <c r="AU517" s="80" t="str">
        <f>REPLACE(INDEX(GroupVertices[Group],MATCH(Vertices[[#This Row],[Vertex]],GroupVertices[Vertex],0)),1,1,"")</f>
        <v>4</v>
      </c>
      <c r="AV517" s="49">
        <v>0</v>
      </c>
      <c r="AW517" s="50">
        <v>0</v>
      </c>
      <c r="AX517" s="49">
        <v>1</v>
      </c>
      <c r="AY517" s="50">
        <v>50</v>
      </c>
      <c r="AZ517" s="49">
        <v>0</v>
      </c>
      <c r="BA517" s="50">
        <v>0</v>
      </c>
      <c r="BB517" s="49">
        <v>1</v>
      </c>
      <c r="BC517" s="50">
        <v>50</v>
      </c>
      <c r="BD517" s="49">
        <v>2</v>
      </c>
      <c r="BE517" s="49"/>
      <c r="BF517" s="49"/>
      <c r="BG517" s="49"/>
      <c r="BH517" s="49"/>
      <c r="BI517" s="49"/>
      <c r="BJ517" s="49"/>
      <c r="BK517" s="111" t="s">
        <v>4059</v>
      </c>
      <c r="BL517" s="111" t="s">
        <v>4059</v>
      </c>
      <c r="BM517" s="111" t="s">
        <v>2390</v>
      </c>
      <c r="BN517" s="111" t="s">
        <v>2390</v>
      </c>
      <c r="BO517" s="2"/>
      <c r="BP517" s="3"/>
      <c r="BQ517" s="3"/>
      <c r="BR517" s="3"/>
      <c r="BS517" s="3"/>
    </row>
    <row r="518" spans="1:71" ht="15">
      <c r="A518" s="65" t="s">
        <v>716</v>
      </c>
      <c r="B518" s="66"/>
      <c r="C518" s="66"/>
      <c r="D518" s="67">
        <v>150</v>
      </c>
      <c r="E518" s="69"/>
      <c r="F518" s="103" t="str">
        <f>HYPERLINK("https://yt3.ggpht.com/ytc/AAUvwniFISy--z4Fhgg6HeOEF-oo1zQ36DSDRcepqQ=s88-c-k-c0x00ffffff-no-rj")</f>
        <v>https://yt3.ggpht.com/ytc/AAUvwniFISy--z4Fhgg6HeOEF-oo1zQ36DSDRcepqQ=s88-c-k-c0x00ffffff-no-rj</v>
      </c>
      <c r="G518" s="66"/>
      <c r="H518" s="70" t="s">
        <v>2075</v>
      </c>
      <c r="I518" s="71"/>
      <c r="J518" s="71" t="s">
        <v>159</v>
      </c>
      <c r="K518" s="70" t="s">
        <v>2075</v>
      </c>
      <c r="L518" s="74">
        <v>1</v>
      </c>
      <c r="M518" s="75">
        <v>8244.6220703125</v>
      </c>
      <c r="N518" s="75">
        <v>7498.09521484375</v>
      </c>
      <c r="O518" s="76"/>
      <c r="P518" s="77"/>
      <c r="Q518" s="77"/>
      <c r="R518" s="89"/>
      <c r="S518" s="49">
        <v>0</v>
      </c>
      <c r="T518" s="49">
        <v>1</v>
      </c>
      <c r="U518" s="50">
        <v>0</v>
      </c>
      <c r="V518" s="50">
        <v>0.000859</v>
      </c>
      <c r="W518" s="50">
        <v>0</v>
      </c>
      <c r="X518" s="50">
        <v>0.50924</v>
      </c>
      <c r="Y518" s="50">
        <v>0</v>
      </c>
      <c r="Z518" s="50">
        <v>0</v>
      </c>
      <c r="AA518" s="72">
        <v>518</v>
      </c>
      <c r="AB518" s="72"/>
      <c r="AC518" s="73"/>
      <c r="AD518" s="80" t="s">
        <v>2075</v>
      </c>
      <c r="AE518" s="80"/>
      <c r="AF518" s="80"/>
      <c r="AG518" s="80"/>
      <c r="AH518" s="80"/>
      <c r="AI518" s="80"/>
      <c r="AJ518" s="87">
        <v>43919.25074074074</v>
      </c>
      <c r="AK518" s="85" t="str">
        <f>HYPERLINK("https://yt3.ggpht.com/ytc/AAUvwniFISy--z4Fhgg6HeOEF-oo1zQ36DSDRcepqQ=s88-c-k-c0x00ffffff-no-rj")</f>
        <v>https://yt3.ggpht.com/ytc/AAUvwniFISy--z4Fhgg6HeOEF-oo1zQ36DSDRcepqQ=s88-c-k-c0x00ffffff-no-rj</v>
      </c>
      <c r="AL518" s="80">
        <v>0</v>
      </c>
      <c r="AM518" s="80">
        <v>0</v>
      </c>
      <c r="AN518" s="80">
        <v>0</v>
      </c>
      <c r="AO518" s="80" t="b">
        <v>0</v>
      </c>
      <c r="AP518" s="80">
        <v>0</v>
      </c>
      <c r="AQ518" s="80"/>
      <c r="AR518" s="80"/>
      <c r="AS518" s="80" t="s">
        <v>2664</v>
      </c>
      <c r="AT518" s="85" t="str">
        <f>HYPERLINK("https://www.youtube.com/channel/UCR035xkdm31BkKQVhUyqB9g")</f>
        <v>https://www.youtube.com/channel/UCR035xkdm31BkKQVhUyqB9g</v>
      </c>
      <c r="AU518" s="80" t="str">
        <f>REPLACE(INDEX(GroupVertices[Group],MATCH(Vertices[[#This Row],[Vertex]],GroupVertices[Vertex],0)),1,1,"")</f>
        <v>4</v>
      </c>
      <c r="AV518" s="49">
        <v>1</v>
      </c>
      <c r="AW518" s="50">
        <v>100</v>
      </c>
      <c r="AX518" s="49">
        <v>0</v>
      </c>
      <c r="AY518" s="50">
        <v>0</v>
      </c>
      <c r="AZ518" s="49">
        <v>0</v>
      </c>
      <c r="BA518" s="50">
        <v>0</v>
      </c>
      <c r="BB518" s="49">
        <v>0</v>
      </c>
      <c r="BC518" s="50">
        <v>0</v>
      </c>
      <c r="BD518" s="49">
        <v>1</v>
      </c>
      <c r="BE518" s="49"/>
      <c r="BF518" s="49"/>
      <c r="BG518" s="49"/>
      <c r="BH518" s="49"/>
      <c r="BI518" s="49"/>
      <c r="BJ518" s="49"/>
      <c r="BK518" s="111" t="s">
        <v>1421</v>
      </c>
      <c r="BL518" s="111" t="s">
        <v>1421</v>
      </c>
      <c r="BM518" s="111" t="s">
        <v>2390</v>
      </c>
      <c r="BN518" s="111" t="s">
        <v>2390</v>
      </c>
      <c r="BO518" s="2"/>
      <c r="BP518" s="3"/>
      <c r="BQ518" s="3"/>
      <c r="BR518" s="3"/>
      <c r="BS518" s="3"/>
    </row>
    <row r="519" spans="1:71" ht="15">
      <c r="A519" s="65" t="s">
        <v>717</v>
      </c>
      <c r="B519" s="66"/>
      <c r="C519" s="66"/>
      <c r="D519" s="67">
        <v>150</v>
      </c>
      <c r="E519" s="69"/>
      <c r="F519" s="103" t="str">
        <f>HYPERLINK("https://yt3.ggpht.com/ytc/AAUvwnjvmRK8hl7AjJQOtKF3uJbCM_2a6GQJDYNYq930=s88-c-k-c0x00ffffff-no-rj")</f>
        <v>https://yt3.ggpht.com/ytc/AAUvwnjvmRK8hl7AjJQOtKF3uJbCM_2a6GQJDYNYq930=s88-c-k-c0x00ffffff-no-rj</v>
      </c>
      <c r="G519" s="66"/>
      <c r="H519" s="70" t="s">
        <v>2076</v>
      </c>
      <c r="I519" s="71"/>
      <c r="J519" s="71" t="s">
        <v>159</v>
      </c>
      <c r="K519" s="70" t="s">
        <v>2076</v>
      </c>
      <c r="L519" s="74">
        <v>1</v>
      </c>
      <c r="M519" s="75">
        <v>7643.80859375</v>
      </c>
      <c r="N519" s="75">
        <v>8425.013671875</v>
      </c>
      <c r="O519" s="76"/>
      <c r="P519" s="77"/>
      <c r="Q519" s="77"/>
      <c r="R519" s="89"/>
      <c r="S519" s="49">
        <v>0</v>
      </c>
      <c r="T519" s="49">
        <v>1</v>
      </c>
      <c r="U519" s="50">
        <v>0</v>
      </c>
      <c r="V519" s="50">
        <v>0.000859</v>
      </c>
      <c r="W519" s="50">
        <v>0</v>
      </c>
      <c r="X519" s="50">
        <v>0.50924</v>
      </c>
      <c r="Y519" s="50">
        <v>0</v>
      </c>
      <c r="Z519" s="50">
        <v>0</v>
      </c>
      <c r="AA519" s="72">
        <v>519</v>
      </c>
      <c r="AB519" s="72"/>
      <c r="AC519" s="73"/>
      <c r="AD519" s="80" t="s">
        <v>2076</v>
      </c>
      <c r="AE519" s="80" t="s">
        <v>2586</v>
      </c>
      <c r="AF519" s="80"/>
      <c r="AG519" s="80"/>
      <c r="AH519" s="80"/>
      <c r="AI519" s="80" t="s">
        <v>2655</v>
      </c>
      <c r="AJ519" s="87">
        <v>42604.113541666666</v>
      </c>
      <c r="AK519" s="85" t="str">
        <f>HYPERLINK("https://yt3.ggpht.com/ytc/AAUvwnjvmRK8hl7AjJQOtKF3uJbCM_2a6GQJDYNYq930=s88-c-k-c0x00ffffff-no-rj")</f>
        <v>https://yt3.ggpht.com/ytc/AAUvwnjvmRK8hl7AjJQOtKF3uJbCM_2a6GQJDYNYq930=s88-c-k-c0x00ffffff-no-rj</v>
      </c>
      <c r="AL519" s="80">
        <v>447110</v>
      </c>
      <c r="AM519" s="80">
        <v>0</v>
      </c>
      <c r="AN519" s="80">
        <v>739</v>
      </c>
      <c r="AO519" s="80" t="b">
        <v>0</v>
      </c>
      <c r="AP519" s="80">
        <v>368</v>
      </c>
      <c r="AQ519" s="80"/>
      <c r="AR519" s="80"/>
      <c r="AS519" s="80" t="s">
        <v>2664</v>
      </c>
      <c r="AT519" s="85" t="str">
        <f>HYPERLINK("https://www.youtube.com/channel/UCZjlaVgXMjuKH5ebn207-lQ")</f>
        <v>https://www.youtube.com/channel/UCZjlaVgXMjuKH5ebn207-lQ</v>
      </c>
      <c r="AU519" s="80" t="str">
        <f>REPLACE(INDEX(GroupVertices[Group],MATCH(Vertices[[#This Row],[Vertex]],GroupVertices[Vertex],0)),1,1,"")</f>
        <v>4</v>
      </c>
      <c r="AV519" s="49">
        <v>0</v>
      </c>
      <c r="AW519" s="50">
        <v>0</v>
      </c>
      <c r="AX519" s="49">
        <v>0</v>
      </c>
      <c r="AY519" s="50">
        <v>0</v>
      </c>
      <c r="AZ519" s="49">
        <v>0</v>
      </c>
      <c r="BA519" s="50">
        <v>0</v>
      </c>
      <c r="BB519" s="49">
        <v>1</v>
      </c>
      <c r="BC519" s="50">
        <v>100</v>
      </c>
      <c r="BD519" s="49">
        <v>1</v>
      </c>
      <c r="BE519" s="49"/>
      <c r="BF519" s="49"/>
      <c r="BG519" s="49"/>
      <c r="BH519" s="49"/>
      <c r="BI519" s="49"/>
      <c r="BJ519" s="49"/>
      <c r="BK519" s="111" t="s">
        <v>2733</v>
      </c>
      <c r="BL519" s="111" t="s">
        <v>2733</v>
      </c>
      <c r="BM519" s="111" t="s">
        <v>2390</v>
      </c>
      <c r="BN519" s="111" t="s">
        <v>2390</v>
      </c>
      <c r="BO519" s="2"/>
      <c r="BP519" s="3"/>
      <c r="BQ519" s="3"/>
      <c r="BR519" s="3"/>
      <c r="BS519" s="3"/>
    </row>
    <row r="520" spans="1:71" ht="15">
      <c r="A520" s="65" t="s">
        <v>718</v>
      </c>
      <c r="B520" s="66"/>
      <c r="C520" s="66"/>
      <c r="D520" s="67">
        <v>150</v>
      </c>
      <c r="E520" s="69"/>
      <c r="F520" s="103" t="str">
        <f>HYPERLINK("https://yt3.ggpht.com/ytc/AAUvwnjrgIGykYehDsELDZxr4ECOUWzbcLnY9CC-iA=s88-c-k-c0x00ffffff-no-rj")</f>
        <v>https://yt3.ggpht.com/ytc/AAUvwnjrgIGykYehDsELDZxr4ECOUWzbcLnY9CC-iA=s88-c-k-c0x00ffffff-no-rj</v>
      </c>
      <c r="G520" s="66"/>
      <c r="H520" s="70" t="s">
        <v>2077</v>
      </c>
      <c r="I520" s="71"/>
      <c r="J520" s="71" t="s">
        <v>159</v>
      </c>
      <c r="K520" s="70" t="s">
        <v>2077</v>
      </c>
      <c r="L520" s="74">
        <v>1</v>
      </c>
      <c r="M520" s="75">
        <v>9031.1474609375</v>
      </c>
      <c r="N520" s="75">
        <v>8661.365234375</v>
      </c>
      <c r="O520" s="76"/>
      <c r="P520" s="77"/>
      <c r="Q520" s="77"/>
      <c r="R520" s="89"/>
      <c r="S520" s="49">
        <v>0</v>
      </c>
      <c r="T520" s="49">
        <v>1</v>
      </c>
      <c r="U520" s="50">
        <v>0</v>
      </c>
      <c r="V520" s="50">
        <v>0.000859</v>
      </c>
      <c r="W520" s="50">
        <v>0</v>
      </c>
      <c r="X520" s="50">
        <v>0.50924</v>
      </c>
      <c r="Y520" s="50">
        <v>0</v>
      </c>
      <c r="Z520" s="50">
        <v>0</v>
      </c>
      <c r="AA520" s="72">
        <v>520</v>
      </c>
      <c r="AB520" s="72"/>
      <c r="AC520" s="73"/>
      <c r="AD520" s="80" t="s">
        <v>2077</v>
      </c>
      <c r="AE520" s="80"/>
      <c r="AF520" s="80"/>
      <c r="AG520" s="80"/>
      <c r="AH520" s="80"/>
      <c r="AI520" s="80"/>
      <c r="AJ520" s="87">
        <v>43872.65603009259</v>
      </c>
      <c r="AK520" s="85" t="str">
        <f>HYPERLINK("https://yt3.ggpht.com/ytc/AAUvwnjrgIGykYehDsELDZxr4ECOUWzbcLnY9CC-iA=s88-c-k-c0x00ffffff-no-rj")</f>
        <v>https://yt3.ggpht.com/ytc/AAUvwnjrgIGykYehDsELDZxr4ECOUWzbcLnY9CC-iA=s88-c-k-c0x00ffffff-no-rj</v>
      </c>
      <c r="AL520" s="80">
        <v>0</v>
      </c>
      <c r="AM520" s="80">
        <v>0</v>
      </c>
      <c r="AN520" s="80">
        <v>0</v>
      </c>
      <c r="AO520" s="80" t="b">
        <v>0</v>
      </c>
      <c r="AP520" s="80">
        <v>0</v>
      </c>
      <c r="AQ520" s="80"/>
      <c r="AR520" s="80"/>
      <c r="AS520" s="80" t="s">
        <v>2664</v>
      </c>
      <c r="AT520" s="85" t="str">
        <f>HYPERLINK("https://www.youtube.com/channel/UCgTNsNpvgKhJTjwXB7aU01w")</f>
        <v>https://www.youtube.com/channel/UCgTNsNpvgKhJTjwXB7aU01w</v>
      </c>
      <c r="AU520" s="80" t="str">
        <f>REPLACE(INDEX(GroupVertices[Group],MATCH(Vertices[[#This Row],[Vertex]],GroupVertices[Vertex],0)),1,1,"")</f>
        <v>4</v>
      </c>
      <c r="AV520" s="49">
        <v>1</v>
      </c>
      <c r="AW520" s="50">
        <v>33.333333333333336</v>
      </c>
      <c r="AX520" s="49">
        <v>0</v>
      </c>
      <c r="AY520" s="50">
        <v>0</v>
      </c>
      <c r="AZ520" s="49">
        <v>0</v>
      </c>
      <c r="BA520" s="50">
        <v>0</v>
      </c>
      <c r="BB520" s="49">
        <v>2</v>
      </c>
      <c r="BC520" s="50">
        <v>66.66666666666667</v>
      </c>
      <c r="BD520" s="49">
        <v>3</v>
      </c>
      <c r="BE520" s="49"/>
      <c r="BF520" s="49"/>
      <c r="BG520" s="49"/>
      <c r="BH520" s="49"/>
      <c r="BI520" s="49"/>
      <c r="BJ520" s="49"/>
      <c r="BK520" s="111" t="s">
        <v>2736</v>
      </c>
      <c r="BL520" s="111" t="s">
        <v>2736</v>
      </c>
      <c r="BM520" s="111" t="s">
        <v>2390</v>
      </c>
      <c r="BN520" s="111" t="s">
        <v>2390</v>
      </c>
      <c r="BO520" s="2"/>
      <c r="BP520" s="3"/>
      <c r="BQ520" s="3"/>
      <c r="BR520" s="3"/>
      <c r="BS520" s="3"/>
    </row>
    <row r="521" spans="1:71" ht="15">
      <c r="A521" s="65" t="s">
        <v>719</v>
      </c>
      <c r="B521" s="66"/>
      <c r="C521" s="66"/>
      <c r="D521" s="67">
        <v>150</v>
      </c>
      <c r="E521" s="69"/>
      <c r="F521" s="103" t="str">
        <f>HYPERLINK("https://yt3.ggpht.com/ytc/AAUvwnjMyUjqSKQCdQAWO4-pTb9of7EEP8nFYjId3g=s88-c-k-c0x00ffffff-no-rj")</f>
        <v>https://yt3.ggpht.com/ytc/AAUvwnjMyUjqSKQCdQAWO4-pTb9of7EEP8nFYjId3g=s88-c-k-c0x00ffffff-no-rj</v>
      </c>
      <c r="G521" s="66"/>
      <c r="H521" s="70" t="s">
        <v>2078</v>
      </c>
      <c r="I521" s="71"/>
      <c r="J521" s="71" t="s">
        <v>159</v>
      </c>
      <c r="K521" s="70" t="s">
        <v>2078</v>
      </c>
      <c r="L521" s="74">
        <v>1</v>
      </c>
      <c r="M521" s="75">
        <v>7603.2587890625</v>
      </c>
      <c r="N521" s="75">
        <v>7821.958984375</v>
      </c>
      <c r="O521" s="76"/>
      <c r="P521" s="77"/>
      <c r="Q521" s="77"/>
      <c r="R521" s="89"/>
      <c r="S521" s="49">
        <v>0</v>
      </c>
      <c r="T521" s="49">
        <v>1</v>
      </c>
      <c r="U521" s="50">
        <v>0</v>
      </c>
      <c r="V521" s="50">
        <v>0.000859</v>
      </c>
      <c r="W521" s="50">
        <v>0</v>
      </c>
      <c r="X521" s="50">
        <v>0.50924</v>
      </c>
      <c r="Y521" s="50">
        <v>0</v>
      </c>
      <c r="Z521" s="50">
        <v>0</v>
      </c>
      <c r="AA521" s="72">
        <v>521</v>
      </c>
      <c r="AB521" s="72"/>
      <c r="AC521" s="73"/>
      <c r="AD521" s="80" t="s">
        <v>2078</v>
      </c>
      <c r="AE521" s="80"/>
      <c r="AF521" s="80"/>
      <c r="AG521" s="80"/>
      <c r="AH521" s="80"/>
      <c r="AI521" s="80"/>
      <c r="AJ521" s="87">
        <v>44223.08053240741</v>
      </c>
      <c r="AK521" s="85" t="str">
        <f>HYPERLINK("https://yt3.ggpht.com/ytc/AAUvwnjMyUjqSKQCdQAWO4-pTb9of7EEP8nFYjId3g=s88-c-k-c0x00ffffff-no-rj")</f>
        <v>https://yt3.ggpht.com/ytc/AAUvwnjMyUjqSKQCdQAWO4-pTb9of7EEP8nFYjId3g=s88-c-k-c0x00ffffff-no-rj</v>
      </c>
      <c r="AL521" s="80">
        <v>0</v>
      </c>
      <c r="AM521" s="80">
        <v>0</v>
      </c>
      <c r="AN521" s="80">
        <v>0</v>
      </c>
      <c r="AO521" s="80" t="b">
        <v>0</v>
      </c>
      <c r="AP521" s="80">
        <v>0</v>
      </c>
      <c r="AQ521" s="80"/>
      <c r="AR521" s="80"/>
      <c r="AS521" s="80" t="s">
        <v>2664</v>
      </c>
      <c r="AT521" s="85" t="str">
        <f>HYPERLINK("https://www.youtube.com/channel/UCvE3AycU51EI-M1VKvfL2QA")</f>
        <v>https://www.youtube.com/channel/UCvE3AycU51EI-M1VKvfL2QA</v>
      </c>
      <c r="AU521" s="80" t="str">
        <f>REPLACE(INDEX(GroupVertices[Group],MATCH(Vertices[[#This Row],[Vertex]],GroupVertices[Vertex],0)),1,1,"")</f>
        <v>4</v>
      </c>
      <c r="AV521" s="49">
        <v>1</v>
      </c>
      <c r="AW521" s="50">
        <v>50</v>
      </c>
      <c r="AX521" s="49">
        <v>0</v>
      </c>
      <c r="AY521" s="50">
        <v>0</v>
      </c>
      <c r="AZ521" s="49">
        <v>0</v>
      </c>
      <c r="BA521" s="50">
        <v>0</v>
      </c>
      <c r="BB521" s="49">
        <v>1</v>
      </c>
      <c r="BC521" s="50">
        <v>50</v>
      </c>
      <c r="BD521" s="49">
        <v>2</v>
      </c>
      <c r="BE521" s="49"/>
      <c r="BF521" s="49"/>
      <c r="BG521" s="49"/>
      <c r="BH521" s="49"/>
      <c r="BI521" s="49"/>
      <c r="BJ521" s="49"/>
      <c r="BK521" s="111" t="s">
        <v>1110</v>
      </c>
      <c r="BL521" s="111" t="s">
        <v>1110</v>
      </c>
      <c r="BM521" s="111" t="s">
        <v>2390</v>
      </c>
      <c r="BN521" s="111" t="s">
        <v>2390</v>
      </c>
      <c r="BO521" s="2"/>
      <c r="BP521" s="3"/>
      <c r="BQ521" s="3"/>
      <c r="BR521" s="3"/>
      <c r="BS521" s="3"/>
    </row>
    <row r="522" spans="1:71" ht="15">
      <c r="A522" s="65" t="s">
        <v>720</v>
      </c>
      <c r="B522" s="66"/>
      <c r="C522" s="66"/>
      <c r="D522" s="67">
        <v>150</v>
      </c>
      <c r="E522" s="69"/>
      <c r="F522" s="103" t="str">
        <f>HYPERLINK("https://yt3.ggpht.com/ytc/AAUvwngMAORKv8GIERmYgb5KerFyagiszkZ15FXVvaOG=s88-c-k-c0x00ffffff-no-rj")</f>
        <v>https://yt3.ggpht.com/ytc/AAUvwngMAORKv8GIERmYgb5KerFyagiszkZ15FXVvaOG=s88-c-k-c0x00ffffff-no-rj</v>
      </c>
      <c r="G522" s="66"/>
      <c r="H522" s="70" t="s">
        <v>2079</v>
      </c>
      <c r="I522" s="71"/>
      <c r="J522" s="71" t="s">
        <v>159</v>
      </c>
      <c r="K522" s="70" t="s">
        <v>2079</v>
      </c>
      <c r="L522" s="74">
        <v>1</v>
      </c>
      <c r="M522" s="75">
        <v>8516.84765625</v>
      </c>
      <c r="N522" s="75">
        <v>8990.0224609375</v>
      </c>
      <c r="O522" s="76"/>
      <c r="P522" s="77"/>
      <c r="Q522" s="77"/>
      <c r="R522" s="89"/>
      <c r="S522" s="49">
        <v>0</v>
      </c>
      <c r="T522" s="49">
        <v>1</v>
      </c>
      <c r="U522" s="50">
        <v>0</v>
      </c>
      <c r="V522" s="50">
        <v>0.000859</v>
      </c>
      <c r="W522" s="50">
        <v>0</v>
      </c>
      <c r="X522" s="50">
        <v>0.50924</v>
      </c>
      <c r="Y522" s="50">
        <v>0</v>
      </c>
      <c r="Z522" s="50">
        <v>0</v>
      </c>
      <c r="AA522" s="72">
        <v>522</v>
      </c>
      <c r="AB522" s="72"/>
      <c r="AC522" s="73"/>
      <c r="AD522" s="80" t="s">
        <v>2079</v>
      </c>
      <c r="AE522" s="80"/>
      <c r="AF522" s="80"/>
      <c r="AG522" s="80"/>
      <c r="AH522" s="80"/>
      <c r="AI522" s="80"/>
      <c r="AJ522" s="87">
        <v>43160.117731481485</v>
      </c>
      <c r="AK522" s="85" t="str">
        <f>HYPERLINK("https://yt3.ggpht.com/ytc/AAUvwngMAORKv8GIERmYgb5KerFyagiszkZ15FXVvaOG=s88-c-k-c0x00ffffff-no-rj")</f>
        <v>https://yt3.ggpht.com/ytc/AAUvwngMAORKv8GIERmYgb5KerFyagiszkZ15FXVvaOG=s88-c-k-c0x00ffffff-no-rj</v>
      </c>
      <c r="AL522" s="80">
        <v>0</v>
      </c>
      <c r="AM522" s="80">
        <v>0</v>
      </c>
      <c r="AN522" s="80">
        <v>0</v>
      </c>
      <c r="AO522" s="80" t="b">
        <v>0</v>
      </c>
      <c r="AP522" s="80">
        <v>0</v>
      </c>
      <c r="AQ522" s="80"/>
      <c r="AR522" s="80"/>
      <c r="AS522" s="80" t="s">
        <v>2664</v>
      </c>
      <c r="AT522" s="85" t="str">
        <f>HYPERLINK("https://www.youtube.com/channel/UCAjsfSZRjfSov7JeArnUf4Q")</f>
        <v>https://www.youtube.com/channel/UCAjsfSZRjfSov7JeArnUf4Q</v>
      </c>
      <c r="AU522" s="80" t="str">
        <f>REPLACE(INDEX(GroupVertices[Group],MATCH(Vertices[[#This Row],[Vertex]],GroupVertices[Vertex],0)),1,1,"")</f>
        <v>4</v>
      </c>
      <c r="AV522" s="49">
        <v>0</v>
      </c>
      <c r="AW522" s="50">
        <v>0</v>
      </c>
      <c r="AX522" s="49">
        <v>0</v>
      </c>
      <c r="AY522" s="50">
        <v>0</v>
      </c>
      <c r="AZ522" s="49">
        <v>0</v>
      </c>
      <c r="BA522" s="50">
        <v>0</v>
      </c>
      <c r="BB522" s="49">
        <v>1</v>
      </c>
      <c r="BC522" s="50">
        <v>100</v>
      </c>
      <c r="BD522" s="49">
        <v>1</v>
      </c>
      <c r="BE522" s="49"/>
      <c r="BF522" s="49"/>
      <c r="BG522" s="49"/>
      <c r="BH522" s="49"/>
      <c r="BI522" s="49"/>
      <c r="BJ522" s="49"/>
      <c r="BK522" s="111" t="s">
        <v>2390</v>
      </c>
      <c r="BL522" s="111" t="s">
        <v>2390</v>
      </c>
      <c r="BM522" s="111" t="s">
        <v>2390</v>
      </c>
      <c r="BN522" s="111" t="s">
        <v>2390</v>
      </c>
      <c r="BO522" s="2"/>
      <c r="BP522" s="3"/>
      <c r="BQ522" s="3"/>
      <c r="BR522" s="3"/>
      <c r="BS522" s="3"/>
    </row>
    <row r="523" spans="1:71" ht="15">
      <c r="A523" s="65" t="s">
        <v>721</v>
      </c>
      <c r="B523" s="66"/>
      <c r="C523" s="66"/>
      <c r="D523" s="67">
        <v>150</v>
      </c>
      <c r="E523" s="69"/>
      <c r="F523" s="103" t="str">
        <f>HYPERLINK("https://yt3.ggpht.com/ytc/AAUvwngJ9nhWIJOEZP445Be8Z3ue0giz5C04HSyScDGh=s88-c-k-c0x00ffffff-no-rj")</f>
        <v>https://yt3.ggpht.com/ytc/AAUvwngJ9nhWIJOEZP445Be8Z3ue0giz5C04HSyScDGh=s88-c-k-c0x00ffffff-no-rj</v>
      </c>
      <c r="G523" s="66"/>
      <c r="H523" s="70" t="s">
        <v>2080</v>
      </c>
      <c r="I523" s="71"/>
      <c r="J523" s="71" t="s">
        <v>159</v>
      </c>
      <c r="K523" s="70" t="s">
        <v>2080</v>
      </c>
      <c r="L523" s="74">
        <v>1</v>
      </c>
      <c r="M523" s="75">
        <v>8614.412109375</v>
      </c>
      <c r="N523" s="75">
        <v>7974.59765625</v>
      </c>
      <c r="O523" s="76"/>
      <c r="P523" s="77"/>
      <c r="Q523" s="77"/>
      <c r="R523" s="89"/>
      <c r="S523" s="49">
        <v>0</v>
      </c>
      <c r="T523" s="49">
        <v>1</v>
      </c>
      <c r="U523" s="50">
        <v>0</v>
      </c>
      <c r="V523" s="50">
        <v>0.000859</v>
      </c>
      <c r="W523" s="50">
        <v>0</v>
      </c>
      <c r="X523" s="50">
        <v>0.50924</v>
      </c>
      <c r="Y523" s="50">
        <v>0</v>
      </c>
      <c r="Z523" s="50">
        <v>0</v>
      </c>
      <c r="AA523" s="72">
        <v>523</v>
      </c>
      <c r="AB523" s="72"/>
      <c r="AC523" s="73"/>
      <c r="AD523" s="80" t="s">
        <v>2080</v>
      </c>
      <c r="AE523" s="80"/>
      <c r="AF523" s="80"/>
      <c r="AG523" s="80"/>
      <c r="AH523" s="80"/>
      <c r="AI523" s="80"/>
      <c r="AJ523" s="87">
        <v>44234.93047453704</v>
      </c>
      <c r="AK523" s="85" t="str">
        <f>HYPERLINK("https://yt3.ggpht.com/ytc/AAUvwngJ9nhWIJOEZP445Be8Z3ue0giz5C04HSyScDGh=s88-c-k-c0x00ffffff-no-rj")</f>
        <v>https://yt3.ggpht.com/ytc/AAUvwngJ9nhWIJOEZP445Be8Z3ue0giz5C04HSyScDGh=s88-c-k-c0x00ffffff-no-rj</v>
      </c>
      <c r="AL523" s="80">
        <v>0</v>
      </c>
      <c r="AM523" s="80">
        <v>0</v>
      </c>
      <c r="AN523" s="80">
        <v>6</v>
      </c>
      <c r="AO523" s="80" t="b">
        <v>0</v>
      </c>
      <c r="AP523" s="80">
        <v>0</v>
      </c>
      <c r="AQ523" s="80"/>
      <c r="AR523" s="80"/>
      <c r="AS523" s="80" t="s">
        <v>2664</v>
      </c>
      <c r="AT523" s="85" t="str">
        <f>HYPERLINK("https://www.youtube.com/channel/UCHprdtYyCzc5-fcSNXCUd7A")</f>
        <v>https://www.youtube.com/channel/UCHprdtYyCzc5-fcSNXCUd7A</v>
      </c>
      <c r="AU523" s="80" t="str">
        <f>REPLACE(INDEX(GroupVertices[Group],MATCH(Vertices[[#This Row],[Vertex]],GroupVertices[Vertex],0)),1,1,"")</f>
        <v>4</v>
      </c>
      <c r="AV523" s="49">
        <v>4</v>
      </c>
      <c r="AW523" s="50">
        <v>9.523809523809524</v>
      </c>
      <c r="AX523" s="49">
        <v>0</v>
      </c>
      <c r="AY523" s="50">
        <v>0</v>
      </c>
      <c r="AZ523" s="49">
        <v>0</v>
      </c>
      <c r="BA523" s="50">
        <v>0</v>
      </c>
      <c r="BB523" s="49">
        <v>38</v>
      </c>
      <c r="BC523" s="50">
        <v>90.47619047619048</v>
      </c>
      <c r="BD523" s="49">
        <v>42</v>
      </c>
      <c r="BE523" s="49"/>
      <c r="BF523" s="49"/>
      <c r="BG523" s="49"/>
      <c r="BH523" s="49"/>
      <c r="BI523" s="49"/>
      <c r="BJ523" s="49"/>
      <c r="BK523" s="111" t="s">
        <v>4060</v>
      </c>
      <c r="BL523" s="111" t="s">
        <v>4060</v>
      </c>
      <c r="BM523" s="111" t="s">
        <v>4521</v>
      </c>
      <c r="BN523" s="111" t="s">
        <v>4521</v>
      </c>
      <c r="BO523" s="2"/>
      <c r="BP523" s="3"/>
      <c r="BQ523" s="3"/>
      <c r="BR523" s="3"/>
      <c r="BS523" s="3"/>
    </row>
    <row r="524" spans="1:71" ht="15">
      <c r="A524" s="65" t="s">
        <v>722</v>
      </c>
      <c r="B524" s="66"/>
      <c r="C524" s="66"/>
      <c r="D524" s="67">
        <v>150</v>
      </c>
      <c r="E524" s="69"/>
      <c r="F524" s="103" t="str">
        <f>HYPERLINK("https://yt3.ggpht.com/ytc/AAUvwnigWTHr_BuyMWuI5dB-ZgnjpOZracsw5c4FFwLu=s88-c-k-c0x00ffffff-no-rj")</f>
        <v>https://yt3.ggpht.com/ytc/AAUvwnigWTHr_BuyMWuI5dB-ZgnjpOZracsw5c4FFwLu=s88-c-k-c0x00ffffff-no-rj</v>
      </c>
      <c r="G524" s="66"/>
      <c r="H524" s="70" t="s">
        <v>2081</v>
      </c>
      <c r="I524" s="71"/>
      <c r="J524" s="71" t="s">
        <v>159</v>
      </c>
      <c r="K524" s="70" t="s">
        <v>2081</v>
      </c>
      <c r="L524" s="74">
        <v>1</v>
      </c>
      <c r="M524" s="75">
        <v>8491.0703125</v>
      </c>
      <c r="N524" s="75">
        <v>8790.4873046875</v>
      </c>
      <c r="O524" s="76"/>
      <c r="P524" s="77"/>
      <c r="Q524" s="77"/>
      <c r="R524" s="89"/>
      <c r="S524" s="49">
        <v>0</v>
      </c>
      <c r="T524" s="49">
        <v>1</v>
      </c>
      <c r="U524" s="50">
        <v>0</v>
      </c>
      <c r="V524" s="50">
        <v>0.000859</v>
      </c>
      <c r="W524" s="50">
        <v>0</v>
      </c>
      <c r="X524" s="50">
        <v>0.50924</v>
      </c>
      <c r="Y524" s="50">
        <v>0</v>
      </c>
      <c r="Z524" s="50">
        <v>0</v>
      </c>
      <c r="AA524" s="72">
        <v>524</v>
      </c>
      <c r="AB524" s="72"/>
      <c r="AC524" s="73"/>
      <c r="AD524" s="80" t="s">
        <v>2081</v>
      </c>
      <c r="AE524" s="80" t="s">
        <v>2587</v>
      </c>
      <c r="AF524" s="80"/>
      <c r="AG524" s="80"/>
      <c r="AH524" s="80"/>
      <c r="AI524" s="80"/>
      <c r="AJ524" s="87">
        <v>43974.12232638889</v>
      </c>
      <c r="AK524" s="85" t="str">
        <f>HYPERLINK("https://yt3.ggpht.com/ytc/AAUvwnigWTHr_BuyMWuI5dB-ZgnjpOZracsw5c4FFwLu=s88-c-k-c0x00ffffff-no-rj")</f>
        <v>https://yt3.ggpht.com/ytc/AAUvwnigWTHr_BuyMWuI5dB-ZgnjpOZracsw5c4FFwLu=s88-c-k-c0x00ffffff-no-rj</v>
      </c>
      <c r="AL524" s="80">
        <v>57653</v>
      </c>
      <c r="AM524" s="80">
        <v>0</v>
      </c>
      <c r="AN524" s="80">
        <v>728</v>
      </c>
      <c r="AO524" s="80" t="b">
        <v>0</v>
      </c>
      <c r="AP524" s="80">
        <v>209</v>
      </c>
      <c r="AQ524" s="80"/>
      <c r="AR524" s="80"/>
      <c r="AS524" s="80" t="s">
        <v>2664</v>
      </c>
      <c r="AT524" s="85" t="str">
        <f>HYPERLINK("https://www.youtube.com/channel/UCHwSZKulthy0a03ykIPVEOQ")</f>
        <v>https://www.youtube.com/channel/UCHwSZKulthy0a03ykIPVEOQ</v>
      </c>
      <c r="AU524" s="80" t="str">
        <f>REPLACE(INDEX(GroupVertices[Group],MATCH(Vertices[[#This Row],[Vertex]],GroupVertices[Vertex],0)),1,1,"")</f>
        <v>4</v>
      </c>
      <c r="AV524" s="49">
        <v>1</v>
      </c>
      <c r="AW524" s="50">
        <v>20</v>
      </c>
      <c r="AX524" s="49">
        <v>0</v>
      </c>
      <c r="AY524" s="50">
        <v>0</v>
      </c>
      <c r="AZ524" s="49">
        <v>0</v>
      </c>
      <c r="BA524" s="50">
        <v>0</v>
      </c>
      <c r="BB524" s="49">
        <v>4</v>
      </c>
      <c r="BC524" s="50">
        <v>80</v>
      </c>
      <c r="BD524" s="49">
        <v>5</v>
      </c>
      <c r="BE524" s="49"/>
      <c r="BF524" s="49"/>
      <c r="BG524" s="49"/>
      <c r="BH524" s="49"/>
      <c r="BI524" s="49"/>
      <c r="BJ524" s="49"/>
      <c r="BK524" s="111" t="s">
        <v>2390</v>
      </c>
      <c r="BL524" s="111" t="s">
        <v>2390</v>
      </c>
      <c r="BM524" s="111" t="s">
        <v>2390</v>
      </c>
      <c r="BN524" s="111" t="s">
        <v>2390</v>
      </c>
      <c r="BO524" s="2"/>
      <c r="BP524" s="3"/>
      <c r="BQ524" s="3"/>
      <c r="BR524" s="3"/>
      <c r="BS524" s="3"/>
    </row>
    <row r="525" spans="1:71" ht="15">
      <c r="A525" s="65" t="s">
        <v>723</v>
      </c>
      <c r="B525" s="66"/>
      <c r="C525" s="66"/>
      <c r="D525" s="67">
        <v>150</v>
      </c>
      <c r="E525" s="69"/>
      <c r="F525" s="103" t="str">
        <f>HYPERLINK("https://yt3.ggpht.com/ytc/AAUvwngqS5wx91npIfPornJP8GEYGqzjurW439F0KDBy=s88-c-k-c0x00ffffff-no-rj")</f>
        <v>https://yt3.ggpht.com/ytc/AAUvwngqS5wx91npIfPornJP8GEYGqzjurW439F0KDBy=s88-c-k-c0x00ffffff-no-rj</v>
      </c>
      <c r="G525" s="66"/>
      <c r="H525" s="70" t="s">
        <v>2082</v>
      </c>
      <c r="I525" s="71"/>
      <c r="J525" s="71" t="s">
        <v>159</v>
      </c>
      <c r="K525" s="70" t="s">
        <v>2082</v>
      </c>
      <c r="L525" s="74">
        <v>1</v>
      </c>
      <c r="M525" s="75">
        <v>8324.1201171875</v>
      </c>
      <c r="N525" s="75">
        <v>8936.7578125</v>
      </c>
      <c r="O525" s="76"/>
      <c r="P525" s="77"/>
      <c r="Q525" s="77"/>
      <c r="R525" s="89"/>
      <c r="S525" s="49">
        <v>0</v>
      </c>
      <c r="T525" s="49">
        <v>1</v>
      </c>
      <c r="U525" s="50">
        <v>0</v>
      </c>
      <c r="V525" s="50">
        <v>0.000859</v>
      </c>
      <c r="W525" s="50">
        <v>0</v>
      </c>
      <c r="X525" s="50">
        <v>0.50924</v>
      </c>
      <c r="Y525" s="50">
        <v>0</v>
      </c>
      <c r="Z525" s="50">
        <v>0</v>
      </c>
      <c r="AA525" s="72">
        <v>525</v>
      </c>
      <c r="AB525" s="72"/>
      <c r="AC525" s="73"/>
      <c r="AD525" s="80" t="s">
        <v>2082</v>
      </c>
      <c r="AE525" s="80"/>
      <c r="AF525" s="80"/>
      <c r="AG525" s="80"/>
      <c r="AH525" s="80"/>
      <c r="AI525" s="80"/>
      <c r="AJ525" s="87">
        <v>44314.563564814816</v>
      </c>
      <c r="AK525" s="85" t="str">
        <f>HYPERLINK("https://yt3.ggpht.com/ytc/AAUvwngqS5wx91npIfPornJP8GEYGqzjurW439F0KDBy=s88-c-k-c0x00ffffff-no-rj")</f>
        <v>https://yt3.ggpht.com/ytc/AAUvwngqS5wx91npIfPornJP8GEYGqzjurW439F0KDBy=s88-c-k-c0x00ffffff-no-rj</v>
      </c>
      <c r="AL525" s="80">
        <v>0</v>
      </c>
      <c r="AM525" s="80">
        <v>0</v>
      </c>
      <c r="AN525" s="80">
        <v>2</v>
      </c>
      <c r="AO525" s="80" t="b">
        <v>0</v>
      </c>
      <c r="AP525" s="80">
        <v>0</v>
      </c>
      <c r="AQ525" s="80"/>
      <c r="AR525" s="80"/>
      <c r="AS525" s="80" t="s">
        <v>2664</v>
      </c>
      <c r="AT525" s="85" t="str">
        <f>HYPERLINK("https://www.youtube.com/channel/UCX49f7UWiH1B6rW18m9Rhlw")</f>
        <v>https://www.youtube.com/channel/UCX49f7UWiH1B6rW18m9Rhlw</v>
      </c>
      <c r="AU525" s="80" t="str">
        <f>REPLACE(INDEX(GroupVertices[Group],MATCH(Vertices[[#This Row],[Vertex]],GroupVertices[Vertex],0)),1,1,"")</f>
        <v>4</v>
      </c>
      <c r="AV525" s="49">
        <v>2</v>
      </c>
      <c r="AW525" s="50">
        <v>8.695652173913043</v>
      </c>
      <c r="AX525" s="49">
        <v>1</v>
      </c>
      <c r="AY525" s="50">
        <v>4.3478260869565215</v>
      </c>
      <c r="AZ525" s="49">
        <v>0</v>
      </c>
      <c r="BA525" s="50">
        <v>0</v>
      </c>
      <c r="BB525" s="49">
        <v>20</v>
      </c>
      <c r="BC525" s="50">
        <v>86.95652173913044</v>
      </c>
      <c r="BD525" s="49">
        <v>23</v>
      </c>
      <c r="BE525" s="49"/>
      <c r="BF525" s="49"/>
      <c r="BG525" s="49"/>
      <c r="BH525" s="49"/>
      <c r="BI525" s="49"/>
      <c r="BJ525" s="49"/>
      <c r="BK525" s="111" t="s">
        <v>4061</v>
      </c>
      <c r="BL525" s="111" t="s">
        <v>4061</v>
      </c>
      <c r="BM525" s="111" t="s">
        <v>4522</v>
      </c>
      <c r="BN525" s="111" t="s">
        <v>4522</v>
      </c>
      <c r="BO525" s="2"/>
      <c r="BP525" s="3"/>
      <c r="BQ525" s="3"/>
      <c r="BR525" s="3"/>
      <c r="BS525" s="3"/>
    </row>
    <row r="526" spans="1:71" ht="15">
      <c r="A526" s="65" t="s">
        <v>724</v>
      </c>
      <c r="B526" s="66"/>
      <c r="C526" s="66"/>
      <c r="D526" s="67">
        <v>150</v>
      </c>
      <c r="E526" s="69"/>
      <c r="F526" s="103" t="str">
        <f>HYPERLINK("https://yt3.ggpht.com/ytc/AAUvwnh_W37oijKp-jb123pHLzUtLf5LLN8ZpnzjG6aW=s88-c-k-c0x00ffffff-no-rj")</f>
        <v>https://yt3.ggpht.com/ytc/AAUvwnh_W37oijKp-jb123pHLzUtLf5LLN8ZpnzjG6aW=s88-c-k-c0x00ffffff-no-rj</v>
      </c>
      <c r="G526" s="66"/>
      <c r="H526" s="70" t="s">
        <v>2083</v>
      </c>
      <c r="I526" s="71"/>
      <c r="J526" s="71" t="s">
        <v>159</v>
      </c>
      <c r="K526" s="70" t="s">
        <v>2083</v>
      </c>
      <c r="L526" s="74">
        <v>1</v>
      </c>
      <c r="M526" s="75">
        <v>3945.217529296875</v>
      </c>
      <c r="N526" s="75">
        <v>4134.8603515625</v>
      </c>
      <c r="O526" s="76"/>
      <c r="P526" s="77"/>
      <c r="Q526" s="77"/>
      <c r="R526" s="89"/>
      <c r="S526" s="49">
        <v>0</v>
      </c>
      <c r="T526" s="49">
        <v>1</v>
      </c>
      <c r="U526" s="50">
        <v>0</v>
      </c>
      <c r="V526" s="50">
        <v>0.011236</v>
      </c>
      <c r="W526" s="50">
        <v>0</v>
      </c>
      <c r="X526" s="50">
        <v>0.502584</v>
      </c>
      <c r="Y526" s="50">
        <v>0</v>
      </c>
      <c r="Z526" s="50">
        <v>0</v>
      </c>
      <c r="AA526" s="72">
        <v>526</v>
      </c>
      <c r="AB526" s="72"/>
      <c r="AC526" s="73"/>
      <c r="AD526" s="80" t="s">
        <v>2083</v>
      </c>
      <c r="AE526" s="80" t="s">
        <v>2588</v>
      </c>
      <c r="AF526" s="80"/>
      <c r="AG526" s="80"/>
      <c r="AH526" s="80"/>
      <c r="AI526" s="80"/>
      <c r="AJ526" s="87">
        <v>42650.89895833333</v>
      </c>
      <c r="AK526" s="85" t="str">
        <f>HYPERLINK("https://yt3.ggpht.com/ytc/AAUvwnh_W37oijKp-jb123pHLzUtLf5LLN8ZpnzjG6aW=s88-c-k-c0x00ffffff-no-rj")</f>
        <v>https://yt3.ggpht.com/ytc/AAUvwnh_W37oijKp-jb123pHLzUtLf5LLN8ZpnzjG6aW=s88-c-k-c0x00ffffff-no-rj</v>
      </c>
      <c r="AL526" s="80">
        <v>0</v>
      </c>
      <c r="AM526" s="80">
        <v>0</v>
      </c>
      <c r="AN526" s="80">
        <v>3</v>
      </c>
      <c r="AO526" s="80" t="b">
        <v>0</v>
      </c>
      <c r="AP526" s="80">
        <v>0</v>
      </c>
      <c r="AQ526" s="80"/>
      <c r="AR526" s="80"/>
      <c r="AS526" s="80" t="s">
        <v>2664</v>
      </c>
      <c r="AT526" s="85" t="str">
        <f>HYPERLINK("https://www.youtube.com/channel/UCAmn8fQuS8x3TBLBRXr4QYQ")</f>
        <v>https://www.youtube.com/channel/UCAmn8fQuS8x3TBLBRXr4QYQ</v>
      </c>
      <c r="AU526" s="80" t="str">
        <f>REPLACE(INDEX(GroupVertices[Group],MATCH(Vertices[[#This Row],[Vertex]],GroupVertices[Vertex],0)),1,1,"")</f>
        <v>5</v>
      </c>
      <c r="AV526" s="49">
        <v>3</v>
      </c>
      <c r="AW526" s="50">
        <v>37.5</v>
      </c>
      <c r="AX526" s="49">
        <v>0</v>
      </c>
      <c r="AY526" s="50">
        <v>0</v>
      </c>
      <c r="AZ526" s="49">
        <v>0</v>
      </c>
      <c r="BA526" s="50">
        <v>0</v>
      </c>
      <c r="BB526" s="49">
        <v>5</v>
      </c>
      <c r="BC526" s="50">
        <v>62.5</v>
      </c>
      <c r="BD526" s="49">
        <v>8</v>
      </c>
      <c r="BE526" s="49"/>
      <c r="BF526" s="49"/>
      <c r="BG526" s="49"/>
      <c r="BH526" s="49"/>
      <c r="BI526" s="49"/>
      <c r="BJ526" s="49"/>
      <c r="BK526" s="111" t="s">
        <v>4062</v>
      </c>
      <c r="BL526" s="111" t="s">
        <v>4062</v>
      </c>
      <c r="BM526" s="111" t="s">
        <v>4523</v>
      </c>
      <c r="BN526" s="111" t="s">
        <v>4523</v>
      </c>
      <c r="BO526" s="2"/>
      <c r="BP526" s="3"/>
      <c r="BQ526" s="3"/>
      <c r="BR526" s="3"/>
      <c r="BS526" s="3"/>
    </row>
    <row r="527" spans="1:71" ht="15">
      <c r="A527" s="65" t="s">
        <v>725</v>
      </c>
      <c r="B527" s="66"/>
      <c r="C527" s="66"/>
      <c r="D527" s="67">
        <v>150</v>
      </c>
      <c r="E527" s="69"/>
      <c r="F527" s="103" t="str">
        <f>HYPERLINK("https://yt3.ggpht.com/ytc/AAUvwng-gYO4Ph5kuXOnJkuBfnWK5BTI94c-ENtPY6QBxx8=s88-c-k-c0x00ffffff-no-rj")</f>
        <v>https://yt3.ggpht.com/ytc/AAUvwng-gYO4Ph5kuXOnJkuBfnWK5BTI94c-ENtPY6QBxx8=s88-c-k-c0x00ffffff-no-rj</v>
      </c>
      <c r="G527" s="66"/>
      <c r="H527" s="70" t="s">
        <v>2084</v>
      </c>
      <c r="I527" s="71"/>
      <c r="J527" s="71" t="s">
        <v>159</v>
      </c>
      <c r="K527" s="70" t="s">
        <v>2084</v>
      </c>
      <c r="L527" s="74">
        <v>1</v>
      </c>
      <c r="M527" s="75">
        <v>5194.783203125</v>
      </c>
      <c r="N527" s="75">
        <v>4791.9091796875</v>
      </c>
      <c r="O527" s="76"/>
      <c r="P527" s="77"/>
      <c r="Q527" s="77"/>
      <c r="R527" s="89"/>
      <c r="S527" s="49">
        <v>0</v>
      </c>
      <c r="T527" s="49">
        <v>1</v>
      </c>
      <c r="U527" s="50">
        <v>0</v>
      </c>
      <c r="V527" s="50">
        <v>0.007937</v>
      </c>
      <c r="W527" s="50">
        <v>0</v>
      </c>
      <c r="X527" s="50">
        <v>0.564113</v>
      </c>
      <c r="Y527" s="50">
        <v>0</v>
      </c>
      <c r="Z527" s="50">
        <v>0</v>
      </c>
      <c r="AA527" s="72">
        <v>527</v>
      </c>
      <c r="AB527" s="72"/>
      <c r="AC527" s="73"/>
      <c r="AD527" s="80" t="s">
        <v>2084</v>
      </c>
      <c r="AE527" s="80" t="s">
        <v>2589</v>
      </c>
      <c r="AF527" s="80"/>
      <c r="AG527" s="80"/>
      <c r="AH527" s="80"/>
      <c r="AI527" s="80" t="s">
        <v>2656</v>
      </c>
      <c r="AJ527" s="87">
        <v>40609.78885416667</v>
      </c>
      <c r="AK527" s="85" t="str">
        <f>HYPERLINK("https://yt3.ggpht.com/ytc/AAUvwng-gYO4Ph5kuXOnJkuBfnWK5BTI94c-ENtPY6QBxx8=s88-c-k-c0x00ffffff-no-rj")</f>
        <v>https://yt3.ggpht.com/ytc/AAUvwng-gYO4Ph5kuXOnJkuBfnWK5BTI94c-ENtPY6QBxx8=s88-c-k-c0x00ffffff-no-rj</v>
      </c>
      <c r="AL527" s="80">
        <v>34809</v>
      </c>
      <c r="AM527" s="80">
        <v>0</v>
      </c>
      <c r="AN527" s="80">
        <v>178</v>
      </c>
      <c r="AO527" s="80" t="b">
        <v>0</v>
      </c>
      <c r="AP527" s="80">
        <v>13</v>
      </c>
      <c r="AQ527" s="80"/>
      <c r="AR527" s="80"/>
      <c r="AS527" s="80" t="s">
        <v>2664</v>
      </c>
      <c r="AT527" s="85" t="str">
        <f>HYPERLINK("https://www.youtube.com/channel/UCIfypgNfXhTaHAQru-uUyxg")</f>
        <v>https://www.youtube.com/channel/UCIfypgNfXhTaHAQru-uUyxg</v>
      </c>
      <c r="AU527" s="80" t="str">
        <f>REPLACE(INDEX(GroupVertices[Group],MATCH(Vertices[[#This Row],[Vertex]],GroupVertices[Vertex],0)),1,1,"")</f>
        <v>5</v>
      </c>
      <c r="AV527" s="49">
        <v>0</v>
      </c>
      <c r="AW527" s="50">
        <v>0</v>
      </c>
      <c r="AX527" s="49">
        <v>0</v>
      </c>
      <c r="AY527" s="50">
        <v>0</v>
      </c>
      <c r="AZ527" s="49">
        <v>0</v>
      </c>
      <c r="BA527" s="50">
        <v>0</v>
      </c>
      <c r="BB527" s="49">
        <v>2</v>
      </c>
      <c r="BC527" s="50">
        <v>100</v>
      </c>
      <c r="BD527" s="49">
        <v>2</v>
      </c>
      <c r="BE527" s="49"/>
      <c r="BF527" s="49"/>
      <c r="BG527" s="49"/>
      <c r="BH527" s="49"/>
      <c r="BI527" s="49"/>
      <c r="BJ527" s="49"/>
      <c r="BK527" s="111" t="s">
        <v>2733</v>
      </c>
      <c r="BL527" s="111" t="s">
        <v>2733</v>
      </c>
      <c r="BM527" s="111" t="s">
        <v>2390</v>
      </c>
      <c r="BN527" s="111" t="s">
        <v>2390</v>
      </c>
      <c r="BO527" s="2"/>
      <c r="BP527" s="3"/>
      <c r="BQ527" s="3"/>
      <c r="BR527" s="3"/>
      <c r="BS527" s="3"/>
    </row>
    <row r="528" spans="1:71" ht="15">
      <c r="A528" s="65" t="s">
        <v>727</v>
      </c>
      <c r="B528" s="66"/>
      <c r="C528" s="66"/>
      <c r="D528" s="67">
        <v>433.3333333333333</v>
      </c>
      <c r="E528" s="69"/>
      <c r="F528" s="103" t="str">
        <f>HYPERLINK("https://yt3.ggpht.com/ytc/AAUvwnhAibdoVQDZlXJ_2m1ds8aikgShCSA3TCvAu31atQ=s88-c-k-c0x00ffffff-no-rj")</f>
        <v>https://yt3.ggpht.com/ytc/AAUvwnhAibdoVQDZlXJ_2m1ds8aikgShCSA3TCvAu31atQ=s88-c-k-c0x00ffffff-no-rj</v>
      </c>
      <c r="G528" s="66"/>
      <c r="H528" s="70" t="s">
        <v>2086</v>
      </c>
      <c r="I528" s="71"/>
      <c r="J528" s="71" t="s">
        <v>75</v>
      </c>
      <c r="K528" s="70" t="s">
        <v>2086</v>
      </c>
      <c r="L528" s="74">
        <v>191.43809523809523</v>
      </c>
      <c r="M528" s="75">
        <v>4845.0908203125</v>
      </c>
      <c r="N528" s="75">
        <v>4686.65185546875</v>
      </c>
      <c r="O528" s="76"/>
      <c r="P528" s="77"/>
      <c r="Q528" s="77"/>
      <c r="R528" s="89"/>
      <c r="S528" s="49">
        <v>2</v>
      </c>
      <c r="T528" s="49">
        <v>1</v>
      </c>
      <c r="U528" s="50">
        <v>162</v>
      </c>
      <c r="V528" s="50">
        <v>0.011765</v>
      </c>
      <c r="W528" s="50">
        <v>0</v>
      </c>
      <c r="X528" s="50">
        <v>1.461576</v>
      </c>
      <c r="Y528" s="50">
        <v>0</v>
      </c>
      <c r="Z528" s="50">
        <v>0</v>
      </c>
      <c r="AA528" s="72">
        <v>528</v>
      </c>
      <c r="AB528" s="72"/>
      <c r="AC528" s="73"/>
      <c r="AD528" s="80" t="s">
        <v>2086</v>
      </c>
      <c r="AE528" s="80"/>
      <c r="AF528" s="80"/>
      <c r="AG528" s="80"/>
      <c r="AH528" s="80"/>
      <c r="AI528" s="80"/>
      <c r="AJ528" s="87">
        <v>41996.40246527778</v>
      </c>
      <c r="AK528" s="85" t="str">
        <f>HYPERLINK("https://yt3.ggpht.com/ytc/AAUvwnhAibdoVQDZlXJ_2m1ds8aikgShCSA3TCvAu31atQ=s88-c-k-c0x00ffffff-no-rj")</f>
        <v>https://yt3.ggpht.com/ytc/AAUvwnhAibdoVQDZlXJ_2m1ds8aikgShCSA3TCvAu31atQ=s88-c-k-c0x00ffffff-no-rj</v>
      </c>
      <c r="AL528" s="80">
        <v>527</v>
      </c>
      <c r="AM528" s="80">
        <v>0</v>
      </c>
      <c r="AN528" s="80">
        <v>7</v>
      </c>
      <c r="AO528" s="80" t="b">
        <v>0</v>
      </c>
      <c r="AP528" s="80">
        <v>9</v>
      </c>
      <c r="AQ528" s="80"/>
      <c r="AR528" s="80"/>
      <c r="AS528" s="80" t="s">
        <v>2664</v>
      </c>
      <c r="AT528" s="85" t="str">
        <f>HYPERLINK("https://www.youtube.com/channel/UCwChU2l1801enAbBJJq2c0g")</f>
        <v>https://www.youtube.com/channel/UCwChU2l1801enAbBJJq2c0g</v>
      </c>
      <c r="AU528" s="80" t="str">
        <f>REPLACE(INDEX(GroupVertices[Group],MATCH(Vertices[[#This Row],[Vertex]],GroupVertices[Vertex],0)),1,1,"")</f>
        <v>5</v>
      </c>
      <c r="AV528" s="49">
        <v>0</v>
      </c>
      <c r="AW528" s="50">
        <v>0</v>
      </c>
      <c r="AX528" s="49">
        <v>0</v>
      </c>
      <c r="AY528" s="50">
        <v>0</v>
      </c>
      <c r="AZ528" s="49">
        <v>0</v>
      </c>
      <c r="BA528" s="50">
        <v>0</v>
      </c>
      <c r="BB528" s="49">
        <v>11</v>
      </c>
      <c r="BC528" s="50">
        <v>100</v>
      </c>
      <c r="BD528" s="49">
        <v>11</v>
      </c>
      <c r="BE528" s="49"/>
      <c r="BF528" s="49"/>
      <c r="BG528" s="49"/>
      <c r="BH528" s="49"/>
      <c r="BI528" s="49"/>
      <c r="BJ528" s="49"/>
      <c r="BK528" s="111" t="s">
        <v>4063</v>
      </c>
      <c r="BL528" s="111" t="s">
        <v>4063</v>
      </c>
      <c r="BM528" s="111" t="s">
        <v>4524</v>
      </c>
      <c r="BN528" s="111" t="s">
        <v>4524</v>
      </c>
      <c r="BO528" s="2"/>
      <c r="BP528" s="3"/>
      <c r="BQ528" s="3"/>
      <c r="BR528" s="3"/>
      <c r="BS528" s="3"/>
    </row>
    <row r="529" spans="1:71" ht="15">
      <c r="A529" s="65" t="s">
        <v>726</v>
      </c>
      <c r="B529" s="66"/>
      <c r="C529" s="66"/>
      <c r="D529" s="67">
        <v>150</v>
      </c>
      <c r="E529" s="69"/>
      <c r="F529" s="103" t="str">
        <f>HYPERLINK("https://yt3.ggpht.com/ytc/AAUvwnhQunKjNHoLuEyJa_nT136IJwAT42KqrBFGXINjig=s88-c-k-c0x00ffffff-no-rj")</f>
        <v>https://yt3.ggpht.com/ytc/AAUvwnhQunKjNHoLuEyJa_nT136IJwAT42KqrBFGXINjig=s88-c-k-c0x00ffffff-no-rj</v>
      </c>
      <c r="G529" s="66"/>
      <c r="H529" s="70" t="s">
        <v>2085</v>
      </c>
      <c r="I529" s="71"/>
      <c r="J529" s="71" t="s">
        <v>159</v>
      </c>
      <c r="K529" s="70" t="s">
        <v>2085</v>
      </c>
      <c r="L529" s="74">
        <v>1</v>
      </c>
      <c r="M529" s="75">
        <v>5243.63671875</v>
      </c>
      <c r="N529" s="75">
        <v>4804.47705078125</v>
      </c>
      <c r="O529" s="76"/>
      <c r="P529" s="77"/>
      <c r="Q529" s="77"/>
      <c r="R529" s="89"/>
      <c r="S529" s="49">
        <v>0</v>
      </c>
      <c r="T529" s="49">
        <v>1</v>
      </c>
      <c r="U529" s="50">
        <v>0</v>
      </c>
      <c r="V529" s="50">
        <v>0.007937</v>
      </c>
      <c r="W529" s="50">
        <v>0</v>
      </c>
      <c r="X529" s="50">
        <v>0.564113</v>
      </c>
      <c r="Y529" s="50">
        <v>0</v>
      </c>
      <c r="Z529" s="50">
        <v>0</v>
      </c>
      <c r="AA529" s="72">
        <v>529</v>
      </c>
      <c r="AB529" s="72"/>
      <c r="AC529" s="73"/>
      <c r="AD529" s="80" t="s">
        <v>2085</v>
      </c>
      <c r="AE529" s="80" t="s">
        <v>2590</v>
      </c>
      <c r="AF529" s="80"/>
      <c r="AG529" s="80"/>
      <c r="AH529" s="80"/>
      <c r="AI529" s="80"/>
      <c r="AJ529" s="87">
        <v>43197.30611111111</v>
      </c>
      <c r="AK529" s="85" t="str">
        <f>HYPERLINK("https://yt3.ggpht.com/ytc/AAUvwnhQunKjNHoLuEyJa_nT136IJwAT42KqrBFGXINjig=s88-c-k-c0x00ffffff-no-rj")</f>
        <v>https://yt3.ggpht.com/ytc/AAUvwnhQunKjNHoLuEyJa_nT136IJwAT42KqrBFGXINjig=s88-c-k-c0x00ffffff-no-rj</v>
      </c>
      <c r="AL529" s="80">
        <v>215</v>
      </c>
      <c r="AM529" s="80">
        <v>0</v>
      </c>
      <c r="AN529" s="80">
        <v>79</v>
      </c>
      <c r="AO529" s="80" t="b">
        <v>0</v>
      </c>
      <c r="AP529" s="80">
        <v>2</v>
      </c>
      <c r="AQ529" s="80"/>
      <c r="AR529" s="80"/>
      <c r="AS529" s="80" t="s">
        <v>2664</v>
      </c>
      <c r="AT529" s="85" t="str">
        <f>HYPERLINK("https://www.youtube.com/channel/UCXluBqiQge_RLYUebJShy8w")</f>
        <v>https://www.youtube.com/channel/UCXluBqiQge_RLYUebJShy8w</v>
      </c>
      <c r="AU529" s="80" t="str">
        <f>REPLACE(INDEX(GroupVertices[Group],MATCH(Vertices[[#This Row],[Vertex]],GroupVertices[Vertex],0)),1,1,"")</f>
        <v>5</v>
      </c>
      <c r="AV529" s="49">
        <v>0</v>
      </c>
      <c r="AW529" s="50">
        <v>0</v>
      </c>
      <c r="AX529" s="49">
        <v>0</v>
      </c>
      <c r="AY529" s="50">
        <v>0</v>
      </c>
      <c r="AZ529" s="49">
        <v>0</v>
      </c>
      <c r="BA529" s="50">
        <v>0</v>
      </c>
      <c r="BB529" s="49">
        <v>2</v>
      </c>
      <c r="BC529" s="50">
        <v>100</v>
      </c>
      <c r="BD529" s="49">
        <v>2</v>
      </c>
      <c r="BE529" s="49"/>
      <c r="BF529" s="49"/>
      <c r="BG529" s="49"/>
      <c r="BH529" s="49"/>
      <c r="BI529" s="49"/>
      <c r="BJ529" s="49"/>
      <c r="BK529" s="111" t="s">
        <v>1449</v>
      </c>
      <c r="BL529" s="111" t="s">
        <v>1449</v>
      </c>
      <c r="BM529" s="111" t="s">
        <v>4525</v>
      </c>
      <c r="BN529" s="111" t="s">
        <v>4525</v>
      </c>
      <c r="BO529" s="2"/>
      <c r="BP529" s="3"/>
      <c r="BQ529" s="3"/>
      <c r="BR529" s="3"/>
      <c r="BS529" s="3"/>
    </row>
    <row r="530" spans="1:71" ht="15">
      <c r="A530" s="65" t="s">
        <v>728</v>
      </c>
      <c r="B530" s="66"/>
      <c r="C530" s="66"/>
      <c r="D530" s="67">
        <v>150</v>
      </c>
      <c r="E530" s="69"/>
      <c r="F530" s="103" t="str">
        <f>HYPERLINK("https://yt3.ggpht.com/ytc/AAUvwnjUomN233M2zUpYDoVZWeVX_wb271311L7_FMFa0w=s88-c-k-c0x00ffffff-no-rj")</f>
        <v>https://yt3.ggpht.com/ytc/AAUvwnjUomN233M2zUpYDoVZWeVX_wb271311L7_FMFa0w=s88-c-k-c0x00ffffff-no-rj</v>
      </c>
      <c r="G530" s="66"/>
      <c r="H530" s="70" t="s">
        <v>2087</v>
      </c>
      <c r="I530" s="71"/>
      <c r="J530" s="71" t="s">
        <v>159</v>
      </c>
      <c r="K530" s="70" t="s">
        <v>2087</v>
      </c>
      <c r="L530" s="74">
        <v>1</v>
      </c>
      <c r="M530" s="75">
        <v>4399.9609375</v>
      </c>
      <c r="N530" s="75">
        <v>5211.84521484375</v>
      </c>
      <c r="O530" s="76"/>
      <c r="P530" s="77"/>
      <c r="Q530" s="77"/>
      <c r="R530" s="89"/>
      <c r="S530" s="49">
        <v>0</v>
      </c>
      <c r="T530" s="49">
        <v>1</v>
      </c>
      <c r="U530" s="50">
        <v>0</v>
      </c>
      <c r="V530" s="50">
        <v>0.011236</v>
      </c>
      <c r="W530" s="50">
        <v>0</v>
      </c>
      <c r="X530" s="50">
        <v>0.502584</v>
      </c>
      <c r="Y530" s="50">
        <v>0</v>
      </c>
      <c r="Z530" s="50">
        <v>0</v>
      </c>
      <c r="AA530" s="72">
        <v>530</v>
      </c>
      <c r="AB530" s="72"/>
      <c r="AC530" s="73"/>
      <c r="AD530" s="80" t="s">
        <v>2087</v>
      </c>
      <c r="AE530" s="80"/>
      <c r="AF530" s="80"/>
      <c r="AG530" s="80"/>
      <c r="AH530" s="80"/>
      <c r="AI530" s="80"/>
      <c r="AJ530" s="87">
        <v>40534.13497685185</v>
      </c>
      <c r="AK530" s="85" t="str">
        <f>HYPERLINK("https://yt3.ggpht.com/ytc/AAUvwnjUomN233M2zUpYDoVZWeVX_wb271311L7_FMFa0w=s88-c-k-c0x00ffffff-no-rj")</f>
        <v>https://yt3.ggpht.com/ytc/AAUvwnjUomN233M2zUpYDoVZWeVX_wb271311L7_FMFa0w=s88-c-k-c0x00ffffff-no-rj</v>
      </c>
      <c r="AL530" s="80">
        <v>0</v>
      </c>
      <c r="AM530" s="80">
        <v>0</v>
      </c>
      <c r="AN530" s="80">
        <v>0</v>
      </c>
      <c r="AO530" s="80" t="b">
        <v>1</v>
      </c>
      <c r="AP530" s="80">
        <v>0</v>
      </c>
      <c r="AQ530" s="80"/>
      <c r="AR530" s="80"/>
      <c r="AS530" s="80" t="s">
        <v>2664</v>
      </c>
      <c r="AT530" s="85" t="str">
        <f>HYPERLINK("https://www.youtube.com/channel/UCAwNUJZntOgEy085kqcyyTg")</f>
        <v>https://www.youtube.com/channel/UCAwNUJZntOgEy085kqcyyTg</v>
      </c>
      <c r="AU530" s="80" t="str">
        <f>REPLACE(INDEX(GroupVertices[Group],MATCH(Vertices[[#This Row],[Vertex]],GroupVertices[Vertex],0)),1,1,"")</f>
        <v>5</v>
      </c>
      <c r="AV530" s="49">
        <v>0</v>
      </c>
      <c r="AW530" s="50">
        <v>0</v>
      </c>
      <c r="AX530" s="49">
        <v>0</v>
      </c>
      <c r="AY530" s="50">
        <v>0</v>
      </c>
      <c r="AZ530" s="49">
        <v>0</v>
      </c>
      <c r="BA530" s="50">
        <v>0</v>
      </c>
      <c r="BB530" s="49">
        <v>12</v>
      </c>
      <c r="BC530" s="50">
        <v>100</v>
      </c>
      <c r="BD530" s="49">
        <v>12</v>
      </c>
      <c r="BE530" s="49"/>
      <c r="BF530" s="49"/>
      <c r="BG530" s="49"/>
      <c r="BH530" s="49"/>
      <c r="BI530" s="49"/>
      <c r="BJ530" s="49"/>
      <c r="BK530" s="111" t="s">
        <v>4064</v>
      </c>
      <c r="BL530" s="111" t="s">
        <v>4064</v>
      </c>
      <c r="BM530" s="111" t="s">
        <v>4526</v>
      </c>
      <c r="BN530" s="111" t="s">
        <v>4526</v>
      </c>
      <c r="BO530" s="2"/>
      <c r="BP530" s="3"/>
      <c r="BQ530" s="3"/>
      <c r="BR530" s="3"/>
      <c r="BS530" s="3"/>
    </row>
    <row r="531" spans="1:71" ht="15">
      <c r="A531" s="65" t="s">
        <v>729</v>
      </c>
      <c r="B531" s="66"/>
      <c r="C531" s="66"/>
      <c r="D531" s="67">
        <v>150</v>
      </c>
      <c r="E531" s="69"/>
      <c r="F531" s="103" t="str">
        <f>HYPERLINK("https://yt3.ggpht.com/ytc/AAUvwnhhI_cELBraA18Ab7LQEfTisXKXRLUaZxBCIQ=s88-c-k-c0x00ffffff-no-rj")</f>
        <v>https://yt3.ggpht.com/ytc/AAUvwnhhI_cELBraA18Ab7LQEfTisXKXRLUaZxBCIQ=s88-c-k-c0x00ffffff-no-rj</v>
      </c>
      <c r="G531" s="66"/>
      <c r="H531" s="70" t="s">
        <v>2088</v>
      </c>
      <c r="I531" s="71"/>
      <c r="J531" s="71" t="s">
        <v>159</v>
      </c>
      <c r="K531" s="70" t="s">
        <v>2088</v>
      </c>
      <c r="L531" s="74">
        <v>1</v>
      </c>
      <c r="M531" s="75">
        <v>3481.60498046875</v>
      </c>
      <c r="N531" s="75">
        <v>4791.419921875</v>
      </c>
      <c r="O531" s="76"/>
      <c r="P531" s="77"/>
      <c r="Q531" s="77"/>
      <c r="R531" s="89"/>
      <c r="S531" s="49">
        <v>0</v>
      </c>
      <c r="T531" s="49">
        <v>1</v>
      </c>
      <c r="U531" s="50">
        <v>0</v>
      </c>
      <c r="V531" s="50">
        <v>0.007813</v>
      </c>
      <c r="W531" s="50">
        <v>0</v>
      </c>
      <c r="X531" s="50">
        <v>0.569234</v>
      </c>
      <c r="Y531" s="50">
        <v>0</v>
      </c>
      <c r="Z531" s="50">
        <v>0</v>
      </c>
      <c r="AA531" s="72">
        <v>531</v>
      </c>
      <c r="AB531" s="72"/>
      <c r="AC531" s="73"/>
      <c r="AD531" s="80" t="s">
        <v>2088</v>
      </c>
      <c r="AE531" s="80"/>
      <c r="AF531" s="80"/>
      <c r="AG531" s="80"/>
      <c r="AH531" s="80"/>
      <c r="AI531" s="80"/>
      <c r="AJ531" s="87">
        <v>43944.36087962963</v>
      </c>
      <c r="AK531" s="85" t="str">
        <f>HYPERLINK("https://yt3.ggpht.com/ytc/AAUvwnhhI_cELBraA18Ab7LQEfTisXKXRLUaZxBCIQ=s88-c-k-c0x00ffffff-no-rj")</f>
        <v>https://yt3.ggpht.com/ytc/AAUvwnhhI_cELBraA18Ab7LQEfTisXKXRLUaZxBCIQ=s88-c-k-c0x00ffffff-no-rj</v>
      </c>
      <c r="AL531" s="80">
        <v>0</v>
      </c>
      <c r="AM531" s="80">
        <v>0</v>
      </c>
      <c r="AN531" s="80">
        <v>0</v>
      </c>
      <c r="AO531" s="80" t="b">
        <v>0</v>
      </c>
      <c r="AP531" s="80">
        <v>0</v>
      </c>
      <c r="AQ531" s="80"/>
      <c r="AR531" s="80"/>
      <c r="AS531" s="80" t="s">
        <v>2664</v>
      </c>
      <c r="AT531" s="85" t="str">
        <f>HYPERLINK("https://www.youtube.com/channel/UCqCZk9JftPi0q4Ihsz27kDQ")</f>
        <v>https://www.youtube.com/channel/UCqCZk9JftPi0q4Ihsz27kDQ</v>
      </c>
      <c r="AU531" s="80" t="str">
        <f>REPLACE(INDEX(GroupVertices[Group],MATCH(Vertices[[#This Row],[Vertex]],GroupVertices[Vertex],0)),1,1,"")</f>
        <v>5</v>
      </c>
      <c r="AV531" s="49">
        <v>0</v>
      </c>
      <c r="AW531" s="50">
        <v>0</v>
      </c>
      <c r="AX531" s="49">
        <v>0</v>
      </c>
      <c r="AY531" s="50">
        <v>0</v>
      </c>
      <c r="AZ531" s="49">
        <v>0</v>
      </c>
      <c r="BA531" s="50">
        <v>0</v>
      </c>
      <c r="BB531" s="49">
        <v>12</v>
      </c>
      <c r="BC531" s="50">
        <v>100</v>
      </c>
      <c r="BD531" s="49">
        <v>12</v>
      </c>
      <c r="BE531" s="49"/>
      <c r="BF531" s="49"/>
      <c r="BG531" s="49"/>
      <c r="BH531" s="49"/>
      <c r="BI531" s="49"/>
      <c r="BJ531" s="49"/>
      <c r="BK531" s="111" t="s">
        <v>4065</v>
      </c>
      <c r="BL531" s="111" t="s">
        <v>4138</v>
      </c>
      <c r="BM531" s="111" t="s">
        <v>4527</v>
      </c>
      <c r="BN531" s="111" t="s">
        <v>4585</v>
      </c>
      <c r="BO531" s="2"/>
      <c r="BP531" s="3"/>
      <c r="BQ531" s="3"/>
      <c r="BR531" s="3"/>
      <c r="BS531" s="3"/>
    </row>
    <row r="532" spans="1:71" ht="15">
      <c r="A532" s="65" t="s">
        <v>730</v>
      </c>
      <c r="B532" s="66"/>
      <c r="C532" s="66"/>
      <c r="D532" s="67">
        <v>291.66666666666663</v>
      </c>
      <c r="E532" s="69"/>
      <c r="F532" s="103" t="str">
        <f>HYPERLINK("https://yt3.ggpht.com/ytc/AAUvwniogXwOcB9u6FumUdG6ar-D-fUSFiESo99bSMs=s88-c-k-c0x00ffffff-no-rj")</f>
        <v>https://yt3.ggpht.com/ytc/AAUvwniogXwOcB9u6FumUdG6ar-D-fUSFiESo99bSMs=s88-c-k-c0x00ffffff-no-rj</v>
      </c>
      <c r="G532" s="66"/>
      <c r="H532" s="70" t="s">
        <v>2089</v>
      </c>
      <c r="I532" s="71"/>
      <c r="J532" s="71" t="s">
        <v>159</v>
      </c>
      <c r="K532" s="70" t="s">
        <v>2089</v>
      </c>
      <c r="L532" s="74">
        <v>96.21904761904761</v>
      </c>
      <c r="M532" s="75">
        <v>3865.0703125</v>
      </c>
      <c r="N532" s="75">
        <v>4647.86962890625</v>
      </c>
      <c r="O532" s="76"/>
      <c r="P532" s="77"/>
      <c r="Q532" s="77"/>
      <c r="R532" s="89"/>
      <c r="S532" s="49">
        <v>1</v>
      </c>
      <c r="T532" s="49">
        <v>1</v>
      </c>
      <c r="U532" s="50">
        <v>82</v>
      </c>
      <c r="V532" s="50">
        <v>0.011494</v>
      </c>
      <c r="W532" s="50">
        <v>0</v>
      </c>
      <c r="X532" s="50">
        <v>0.986432</v>
      </c>
      <c r="Y532" s="50">
        <v>0</v>
      </c>
      <c r="Z532" s="50">
        <v>0</v>
      </c>
      <c r="AA532" s="72">
        <v>532</v>
      </c>
      <c r="AB532" s="72"/>
      <c r="AC532" s="73"/>
      <c r="AD532" s="80" t="s">
        <v>2089</v>
      </c>
      <c r="AE532" s="80" t="s">
        <v>2591</v>
      </c>
      <c r="AF532" s="80"/>
      <c r="AG532" s="80"/>
      <c r="AH532" s="80"/>
      <c r="AI532" s="80"/>
      <c r="AJ532" s="87">
        <v>42833.12232638889</v>
      </c>
      <c r="AK532" s="85" t="str">
        <f>HYPERLINK("https://yt3.ggpht.com/ytc/AAUvwniogXwOcB9u6FumUdG6ar-D-fUSFiESo99bSMs=s88-c-k-c0x00ffffff-no-rj")</f>
        <v>https://yt3.ggpht.com/ytc/AAUvwniogXwOcB9u6FumUdG6ar-D-fUSFiESo99bSMs=s88-c-k-c0x00ffffff-no-rj</v>
      </c>
      <c r="AL532" s="80">
        <v>155</v>
      </c>
      <c r="AM532" s="80">
        <v>0</v>
      </c>
      <c r="AN532" s="80">
        <v>11</v>
      </c>
      <c r="AO532" s="80" t="b">
        <v>0</v>
      </c>
      <c r="AP532" s="80">
        <v>10</v>
      </c>
      <c r="AQ532" s="80"/>
      <c r="AR532" s="80"/>
      <c r="AS532" s="80" t="s">
        <v>2664</v>
      </c>
      <c r="AT532" s="85" t="str">
        <f>HYPERLINK("https://www.youtube.com/channel/UCcPcpbjgONtEip-VGOdTjjQ")</f>
        <v>https://www.youtube.com/channel/UCcPcpbjgONtEip-VGOdTjjQ</v>
      </c>
      <c r="AU532" s="80" t="str">
        <f>REPLACE(INDEX(GroupVertices[Group],MATCH(Vertices[[#This Row],[Vertex]],GroupVertices[Vertex],0)),1,1,"")</f>
        <v>5</v>
      </c>
      <c r="AV532" s="49">
        <v>1</v>
      </c>
      <c r="AW532" s="50">
        <v>50</v>
      </c>
      <c r="AX532" s="49">
        <v>0</v>
      </c>
      <c r="AY532" s="50">
        <v>0</v>
      </c>
      <c r="AZ532" s="49">
        <v>0</v>
      </c>
      <c r="BA532" s="50">
        <v>0</v>
      </c>
      <c r="BB532" s="49">
        <v>1</v>
      </c>
      <c r="BC532" s="50">
        <v>50</v>
      </c>
      <c r="BD532" s="49">
        <v>2</v>
      </c>
      <c r="BE532" s="49"/>
      <c r="BF532" s="49"/>
      <c r="BG532" s="49"/>
      <c r="BH532" s="49"/>
      <c r="BI532" s="49"/>
      <c r="BJ532" s="49"/>
      <c r="BK532" s="111" t="s">
        <v>4066</v>
      </c>
      <c r="BL532" s="111" t="s">
        <v>4066</v>
      </c>
      <c r="BM532" s="111" t="s">
        <v>4528</v>
      </c>
      <c r="BN532" s="111" t="s">
        <v>4528</v>
      </c>
      <c r="BO532" s="2"/>
      <c r="BP532" s="3"/>
      <c r="BQ532" s="3"/>
      <c r="BR532" s="3"/>
      <c r="BS532" s="3"/>
    </row>
    <row r="533" spans="1:71" ht="15">
      <c r="A533" s="65" t="s">
        <v>731</v>
      </c>
      <c r="B533" s="66"/>
      <c r="C533" s="66"/>
      <c r="D533" s="67">
        <v>150</v>
      </c>
      <c r="E533" s="69"/>
      <c r="F533" s="103" t="str">
        <f>HYPERLINK("https://yt3.ggpht.com/ytc/AAUvwnj1FjgpBc2pexO8AYR8H0y8QSiqLdu5758v6DAy2A=s88-c-k-c0x00ffffff-no-rj")</f>
        <v>https://yt3.ggpht.com/ytc/AAUvwnj1FjgpBc2pexO8AYR8H0y8QSiqLdu5758v6DAy2A=s88-c-k-c0x00ffffff-no-rj</v>
      </c>
      <c r="G533" s="66"/>
      <c r="H533" s="70" t="s">
        <v>2090</v>
      </c>
      <c r="I533" s="71"/>
      <c r="J533" s="71" t="s">
        <v>159</v>
      </c>
      <c r="K533" s="70" t="s">
        <v>2090</v>
      </c>
      <c r="L533" s="74">
        <v>1</v>
      </c>
      <c r="M533" s="75">
        <v>3971.853271484375</v>
      </c>
      <c r="N533" s="75">
        <v>2947.68212890625</v>
      </c>
      <c r="O533" s="76"/>
      <c r="P533" s="77"/>
      <c r="Q533" s="77"/>
      <c r="R533" s="89"/>
      <c r="S533" s="49">
        <v>0</v>
      </c>
      <c r="T533" s="49">
        <v>1</v>
      </c>
      <c r="U533" s="50">
        <v>0</v>
      </c>
      <c r="V533" s="50">
        <v>0.007813</v>
      </c>
      <c r="W533" s="50">
        <v>0</v>
      </c>
      <c r="X533" s="50">
        <v>0.569234</v>
      </c>
      <c r="Y533" s="50">
        <v>0</v>
      </c>
      <c r="Z533" s="50">
        <v>0</v>
      </c>
      <c r="AA533" s="72">
        <v>533</v>
      </c>
      <c r="AB533" s="72"/>
      <c r="AC533" s="73"/>
      <c r="AD533" s="80" t="s">
        <v>2090</v>
      </c>
      <c r="AE533" s="80" t="s">
        <v>2592</v>
      </c>
      <c r="AF533" s="80"/>
      <c r="AG533" s="80"/>
      <c r="AH533" s="80"/>
      <c r="AI533" s="80"/>
      <c r="AJ533" s="87">
        <v>42409.30537037037</v>
      </c>
      <c r="AK533" s="85" t="str">
        <f>HYPERLINK("https://yt3.ggpht.com/ytc/AAUvwnj1FjgpBc2pexO8AYR8H0y8QSiqLdu5758v6DAy2A=s88-c-k-c0x00ffffff-no-rj")</f>
        <v>https://yt3.ggpht.com/ytc/AAUvwnj1FjgpBc2pexO8AYR8H0y8QSiqLdu5758v6DAy2A=s88-c-k-c0x00ffffff-no-rj</v>
      </c>
      <c r="AL533" s="80">
        <v>0</v>
      </c>
      <c r="AM533" s="80">
        <v>0</v>
      </c>
      <c r="AN533" s="80">
        <v>0</v>
      </c>
      <c r="AO533" s="80" t="b">
        <v>0</v>
      </c>
      <c r="AP533" s="80">
        <v>0</v>
      </c>
      <c r="AQ533" s="80"/>
      <c r="AR533" s="80"/>
      <c r="AS533" s="80" t="s">
        <v>2664</v>
      </c>
      <c r="AT533" s="85" t="str">
        <f>HYPERLINK("https://www.youtube.com/channel/UCSLzh_2e-fC7yrOAj39TAAw")</f>
        <v>https://www.youtube.com/channel/UCSLzh_2e-fC7yrOAj39TAAw</v>
      </c>
      <c r="AU533" s="80" t="str">
        <f>REPLACE(INDEX(GroupVertices[Group],MATCH(Vertices[[#This Row],[Vertex]],GroupVertices[Vertex],0)),1,1,"")</f>
        <v>5</v>
      </c>
      <c r="AV533" s="49">
        <v>0</v>
      </c>
      <c r="AW533" s="50">
        <v>0</v>
      </c>
      <c r="AX533" s="49">
        <v>0</v>
      </c>
      <c r="AY533" s="50">
        <v>0</v>
      </c>
      <c r="AZ533" s="49">
        <v>0</v>
      </c>
      <c r="BA533" s="50">
        <v>0</v>
      </c>
      <c r="BB533" s="49">
        <v>5</v>
      </c>
      <c r="BC533" s="50">
        <v>100</v>
      </c>
      <c r="BD533" s="49">
        <v>5</v>
      </c>
      <c r="BE533" s="49"/>
      <c r="BF533" s="49"/>
      <c r="BG533" s="49"/>
      <c r="BH533" s="49"/>
      <c r="BI533" s="49"/>
      <c r="BJ533" s="49"/>
      <c r="BK533" s="111" t="s">
        <v>2390</v>
      </c>
      <c r="BL533" s="111" t="s">
        <v>2390</v>
      </c>
      <c r="BM533" s="111" t="s">
        <v>2390</v>
      </c>
      <c r="BN533" s="111" t="s">
        <v>2390</v>
      </c>
      <c r="BO533" s="2"/>
      <c r="BP533" s="3"/>
      <c r="BQ533" s="3"/>
      <c r="BR533" s="3"/>
      <c r="BS533" s="3"/>
    </row>
    <row r="534" spans="1:71" ht="15">
      <c r="A534" s="65" t="s">
        <v>732</v>
      </c>
      <c r="B534" s="66"/>
      <c r="C534" s="66"/>
      <c r="D534" s="67">
        <v>291.66666666666663</v>
      </c>
      <c r="E534" s="69"/>
      <c r="F534" s="103" t="str">
        <f>HYPERLINK("https://yt3.ggpht.com/ytc/AAUvwnjr2aMs16lLYzE2R4g20ZT8WvLCrTduIva6EklkUQ=s88-c-k-c0x00ffffff-no-rj")</f>
        <v>https://yt3.ggpht.com/ytc/AAUvwnjr2aMs16lLYzE2R4g20ZT8WvLCrTduIva6EklkUQ=s88-c-k-c0x00ffffff-no-rj</v>
      </c>
      <c r="G534" s="66"/>
      <c r="H534" s="70" t="s">
        <v>2091</v>
      </c>
      <c r="I534" s="71"/>
      <c r="J534" s="71" t="s">
        <v>159</v>
      </c>
      <c r="K534" s="70" t="s">
        <v>2091</v>
      </c>
      <c r="L534" s="74">
        <v>96.21904761904761</v>
      </c>
      <c r="M534" s="75">
        <v>4177.0087890625</v>
      </c>
      <c r="N534" s="75">
        <v>3629.789306640625</v>
      </c>
      <c r="O534" s="76"/>
      <c r="P534" s="77"/>
      <c r="Q534" s="77"/>
      <c r="R534" s="89"/>
      <c r="S534" s="49">
        <v>1</v>
      </c>
      <c r="T534" s="49">
        <v>1</v>
      </c>
      <c r="U534" s="50">
        <v>82</v>
      </c>
      <c r="V534" s="50">
        <v>0.011494</v>
      </c>
      <c r="W534" s="50">
        <v>0</v>
      </c>
      <c r="X534" s="50">
        <v>0.986432</v>
      </c>
      <c r="Y534" s="50">
        <v>0</v>
      </c>
      <c r="Z534" s="50">
        <v>0</v>
      </c>
      <c r="AA534" s="72">
        <v>534</v>
      </c>
      <c r="AB534" s="72"/>
      <c r="AC534" s="73"/>
      <c r="AD534" s="80" t="s">
        <v>2091</v>
      </c>
      <c r="AE534" s="80"/>
      <c r="AF534" s="80"/>
      <c r="AG534" s="80"/>
      <c r="AH534" s="80"/>
      <c r="AI534" s="80"/>
      <c r="AJ534" s="87">
        <v>41116.237905092596</v>
      </c>
      <c r="AK534" s="85" t="str">
        <f>HYPERLINK("https://yt3.ggpht.com/ytc/AAUvwnjr2aMs16lLYzE2R4g20ZT8WvLCrTduIva6EklkUQ=s88-c-k-c0x00ffffff-no-rj")</f>
        <v>https://yt3.ggpht.com/ytc/AAUvwnjr2aMs16lLYzE2R4g20ZT8WvLCrTduIva6EklkUQ=s88-c-k-c0x00ffffff-no-rj</v>
      </c>
      <c r="AL534" s="80">
        <v>145</v>
      </c>
      <c r="AM534" s="80">
        <v>0</v>
      </c>
      <c r="AN534" s="80">
        <v>14</v>
      </c>
      <c r="AO534" s="80" t="b">
        <v>0</v>
      </c>
      <c r="AP534" s="80">
        <v>3</v>
      </c>
      <c r="AQ534" s="80"/>
      <c r="AR534" s="80"/>
      <c r="AS534" s="80" t="s">
        <v>2664</v>
      </c>
      <c r="AT534" s="85" t="str">
        <f>HYPERLINK("https://www.youtube.com/channel/UCwSB6LON4E0a7yTaZxepNZA")</f>
        <v>https://www.youtube.com/channel/UCwSB6LON4E0a7yTaZxepNZA</v>
      </c>
      <c r="AU534" s="80" t="str">
        <f>REPLACE(INDEX(GroupVertices[Group],MATCH(Vertices[[#This Row],[Vertex]],GroupVertices[Vertex],0)),1,1,"")</f>
        <v>5</v>
      </c>
      <c r="AV534" s="49">
        <v>1</v>
      </c>
      <c r="AW534" s="50">
        <v>50</v>
      </c>
      <c r="AX534" s="49">
        <v>0</v>
      </c>
      <c r="AY534" s="50">
        <v>0</v>
      </c>
      <c r="AZ534" s="49">
        <v>0</v>
      </c>
      <c r="BA534" s="50">
        <v>0</v>
      </c>
      <c r="BB534" s="49">
        <v>1</v>
      </c>
      <c r="BC534" s="50">
        <v>50</v>
      </c>
      <c r="BD534" s="49">
        <v>2</v>
      </c>
      <c r="BE534" s="49"/>
      <c r="BF534" s="49"/>
      <c r="BG534" s="49"/>
      <c r="BH534" s="49"/>
      <c r="BI534" s="49"/>
      <c r="BJ534" s="49"/>
      <c r="BK534" s="111" t="s">
        <v>3729</v>
      </c>
      <c r="BL534" s="111" t="s">
        <v>3729</v>
      </c>
      <c r="BM534" s="111" t="s">
        <v>4203</v>
      </c>
      <c r="BN534" s="111" t="s">
        <v>4203</v>
      </c>
      <c r="BO534" s="2"/>
      <c r="BP534" s="3"/>
      <c r="BQ534" s="3"/>
      <c r="BR534" s="3"/>
      <c r="BS534" s="3"/>
    </row>
    <row r="535" spans="1:71" ht="15">
      <c r="A535" s="65" t="s">
        <v>733</v>
      </c>
      <c r="B535" s="66"/>
      <c r="C535" s="66"/>
      <c r="D535" s="67">
        <v>150</v>
      </c>
      <c r="E535" s="69"/>
      <c r="F535" s="103" t="str">
        <f>HYPERLINK("https://yt3.ggpht.com/ytc/AAUvwngd5N5ULFl-OeNKD0LO82xR6clYIBacC6czPbGA=s88-c-k-c0x00ffffff-no-rj")</f>
        <v>https://yt3.ggpht.com/ytc/AAUvwngd5N5ULFl-OeNKD0LO82xR6clYIBacC6czPbGA=s88-c-k-c0x00ffffff-no-rj</v>
      </c>
      <c r="G535" s="66"/>
      <c r="H535" s="70" t="s">
        <v>2092</v>
      </c>
      <c r="I535" s="71"/>
      <c r="J535" s="71" t="s">
        <v>159</v>
      </c>
      <c r="K535" s="70" t="s">
        <v>2092</v>
      </c>
      <c r="L535" s="74">
        <v>1</v>
      </c>
      <c r="M535" s="75">
        <v>4749.013671875</v>
      </c>
      <c r="N535" s="75">
        <v>4146.646484375</v>
      </c>
      <c r="O535" s="76"/>
      <c r="P535" s="77"/>
      <c r="Q535" s="77"/>
      <c r="R535" s="89"/>
      <c r="S535" s="49">
        <v>0</v>
      </c>
      <c r="T535" s="49">
        <v>1</v>
      </c>
      <c r="U535" s="50">
        <v>0</v>
      </c>
      <c r="V535" s="50">
        <v>0.011236</v>
      </c>
      <c r="W535" s="50">
        <v>0</v>
      </c>
      <c r="X535" s="50">
        <v>0.502584</v>
      </c>
      <c r="Y535" s="50">
        <v>0</v>
      </c>
      <c r="Z535" s="50">
        <v>0</v>
      </c>
      <c r="AA535" s="72">
        <v>535</v>
      </c>
      <c r="AB535" s="72"/>
      <c r="AC535" s="73"/>
      <c r="AD535" s="80" t="s">
        <v>2092</v>
      </c>
      <c r="AE535" s="80"/>
      <c r="AF535" s="80"/>
      <c r="AG535" s="80"/>
      <c r="AH535" s="80"/>
      <c r="AI535" s="80"/>
      <c r="AJ535" s="87">
        <v>43050.09107638889</v>
      </c>
      <c r="AK535" s="85" t="str">
        <f>HYPERLINK("https://yt3.ggpht.com/ytc/AAUvwngd5N5ULFl-OeNKD0LO82xR6clYIBacC6czPbGA=s88-c-k-c0x00ffffff-no-rj")</f>
        <v>https://yt3.ggpht.com/ytc/AAUvwngd5N5ULFl-OeNKD0LO82xR6clYIBacC6czPbGA=s88-c-k-c0x00ffffff-no-rj</v>
      </c>
      <c r="AL535" s="80">
        <v>0</v>
      </c>
      <c r="AM535" s="80">
        <v>0</v>
      </c>
      <c r="AN535" s="80">
        <v>12</v>
      </c>
      <c r="AO535" s="80" t="b">
        <v>0</v>
      </c>
      <c r="AP535" s="80">
        <v>0</v>
      </c>
      <c r="AQ535" s="80"/>
      <c r="AR535" s="80"/>
      <c r="AS535" s="80" t="s">
        <v>2664</v>
      </c>
      <c r="AT535" s="85" t="str">
        <f>HYPERLINK("https://www.youtube.com/channel/UC2LxcXUNLqPhJrjxhuQMT3w")</f>
        <v>https://www.youtube.com/channel/UC2LxcXUNLqPhJrjxhuQMT3w</v>
      </c>
      <c r="AU535" s="80" t="str">
        <f>REPLACE(INDEX(GroupVertices[Group],MATCH(Vertices[[#This Row],[Vertex]],GroupVertices[Vertex],0)),1,1,"")</f>
        <v>5</v>
      </c>
      <c r="AV535" s="49">
        <v>0</v>
      </c>
      <c r="AW535" s="50">
        <v>0</v>
      </c>
      <c r="AX535" s="49">
        <v>1</v>
      </c>
      <c r="AY535" s="50">
        <v>33.333333333333336</v>
      </c>
      <c r="AZ535" s="49">
        <v>0</v>
      </c>
      <c r="BA535" s="50">
        <v>0</v>
      </c>
      <c r="BB535" s="49">
        <v>2</v>
      </c>
      <c r="BC535" s="50">
        <v>66.66666666666667</v>
      </c>
      <c r="BD535" s="49">
        <v>3</v>
      </c>
      <c r="BE535" s="49"/>
      <c r="BF535" s="49"/>
      <c r="BG535" s="49"/>
      <c r="BH535" s="49"/>
      <c r="BI535" s="49"/>
      <c r="BJ535" s="49"/>
      <c r="BK535" s="111" t="s">
        <v>1457</v>
      </c>
      <c r="BL535" s="111" t="s">
        <v>1457</v>
      </c>
      <c r="BM535" s="111" t="s">
        <v>4529</v>
      </c>
      <c r="BN535" s="111" t="s">
        <v>4529</v>
      </c>
      <c r="BO535" s="2"/>
      <c r="BP535" s="3"/>
      <c r="BQ535" s="3"/>
      <c r="BR535" s="3"/>
      <c r="BS535" s="3"/>
    </row>
    <row r="536" spans="1:71" ht="15">
      <c r="A536" s="65" t="s">
        <v>734</v>
      </c>
      <c r="B536" s="66"/>
      <c r="C536" s="66"/>
      <c r="D536" s="67">
        <v>150</v>
      </c>
      <c r="E536" s="69"/>
      <c r="F536" s="103" t="str">
        <f>HYPERLINK("https://yt3.ggpht.com/ytc/AAUvwnhtEftSlP06iDQlkEtapCB2SteJ20kTHZEN3w=s88-c-k-c0x00ffffff-no-rj")</f>
        <v>https://yt3.ggpht.com/ytc/AAUvwnhtEftSlP06iDQlkEtapCB2SteJ20kTHZEN3w=s88-c-k-c0x00ffffff-no-rj</v>
      </c>
      <c r="G536" s="66"/>
      <c r="H536" s="70" t="s">
        <v>2093</v>
      </c>
      <c r="I536" s="71"/>
      <c r="J536" s="71" t="s">
        <v>159</v>
      </c>
      <c r="K536" s="70" t="s">
        <v>2093</v>
      </c>
      <c r="L536" s="74">
        <v>1</v>
      </c>
      <c r="M536" s="75">
        <v>670.7379760742188</v>
      </c>
      <c r="N536" s="75">
        <v>612.0137939453125</v>
      </c>
      <c r="O536" s="76"/>
      <c r="P536" s="77"/>
      <c r="Q536" s="77"/>
      <c r="R536" s="89"/>
      <c r="S536" s="49">
        <v>0</v>
      </c>
      <c r="T536" s="49">
        <v>1</v>
      </c>
      <c r="U536" s="50">
        <v>0</v>
      </c>
      <c r="V536" s="50">
        <v>0.000836</v>
      </c>
      <c r="W536" s="50">
        <v>0</v>
      </c>
      <c r="X536" s="50">
        <v>0.469563</v>
      </c>
      <c r="Y536" s="50">
        <v>0</v>
      </c>
      <c r="Z536" s="50">
        <v>0</v>
      </c>
      <c r="AA536" s="72">
        <v>536</v>
      </c>
      <c r="AB536" s="72"/>
      <c r="AC536" s="73"/>
      <c r="AD536" s="80" t="s">
        <v>2093</v>
      </c>
      <c r="AE536" s="80"/>
      <c r="AF536" s="80"/>
      <c r="AG536" s="80"/>
      <c r="AH536" s="80"/>
      <c r="AI536" s="80"/>
      <c r="AJ536" s="87">
        <v>43781.48681712963</v>
      </c>
      <c r="AK536" s="85" t="str">
        <f>HYPERLINK("https://yt3.ggpht.com/ytc/AAUvwnhtEftSlP06iDQlkEtapCB2SteJ20kTHZEN3w=s88-c-k-c0x00ffffff-no-rj")</f>
        <v>https://yt3.ggpht.com/ytc/AAUvwnhtEftSlP06iDQlkEtapCB2SteJ20kTHZEN3w=s88-c-k-c0x00ffffff-no-rj</v>
      </c>
      <c r="AL536" s="80">
        <v>0</v>
      </c>
      <c r="AM536" s="80">
        <v>0</v>
      </c>
      <c r="AN536" s="80">
        <v>0</v>
      </c>
      <c r="AO536" s="80" t="b">
        <v>0</v>
      </c>
      <c r="AP536" s="80">
        <v>0</v>
      </c>
      <c r="AQ536" s="80"/>
      <c r="AR536" s="80"/>
      <c r="AS536" s="80" t="s">
        <v>2664</v>
      </c>
      <c r="AT536" s="85" t="str">
        <f>HYPERLINK("https://www.youtube.com/channel/UCXoIkjZ6kQ_h-NIKNxbOseg")</f>
        <v>https://www.youtube.com/channel/UCXoIkjZ6kQ_h-NIKNxbOseg</v>
      </c>
      <c r="AU536" s="80" t="str">
        <f>REPLACE(INDEX(GroupVertices[Group],MATCH(Vertices[[#This Row],[Vertex]],GroupVertices[Vertex],0)),1,1,"")</f>
        <v>2</v>
      </c>
      <c r="AV536" s="49">
        <v>0</v>
      </c>
      <c r="AW536" s="50">
        <v>0</v>
      </c>
      <c r="AX536" s="49">
        <v>0</v>
      </c>
      <c r="AY536" s="50">
        <v>0</v>
      </c>
      <c r="AZ536" s="49">
        <v>0</v>
      </c>
      <c r="BA536" s="50">
        <v>0</v>
      </c>
      <c r="BB536" s="49">
        <v>1</v>
      </c>
      <c r="BC536" s="50">
        <v>100</v>
      </c>
      <c r="BD536" s="49">
        <v>1</v>
      </c>
      <c r="BE536" s="49"/>
      <c r="BF536" s="49"/>
      <c r="BG536" s="49"/>
      <c r="BH536" s="49"/>
      <c r="BI536" s="49"/>
      <c r="BJ536" s="49"/>
      <c r="BK536" s="111" t="s">
        <v>4067</v>
      </c>
      <c r="BL536" s="111" t="s">
        <v>4067</v>
      </c>
      <c r="BM536" s="111" t="s">
        <v>2390</v>
      </c>
      <c r="BN536" s="111" t="s">
        <v>2390</v>
      </c>
      <c r="BO536" s="2"/>
      <c r="BP536" s="3"/>
      <c r="BQ536" s="3"/>
      <c r="BR536" s="3"/>
      <c r="BS536" s="3"/>
    </row>
    <row r="537" spans="1:71" ht="15">
      <c r="A537" s="65" t="s">
        <v>737</v>
      </c>
      <c r="B537" s="66"/>
      <c r="C537" s="66"/>
      <c r="D537" s="67">
        <v>575</v>
      </c>
      <c r="E537" s="69"/>
      <c r="F537" s="103" t="str">
        <f>HYPERLINK("https://yt3.ggpht.com/ytc/AAUvwnjpCKGM-CX6uJDsVF6aldLhgoXl0tNqmx9G4iUArw=s88-c-k-c0x00ffffff-no-rj")</f>
        <v>https://yt3.ggpht.com/ytc/AAUvwnjpCKGM-CX6uJDsVF6aldLhgoXl0tNqmx9G4iUArw=s88-c-k-c0x00ffffff-no-rj</v>
      </c>
      <c r="G537" s="66"/>
      <c r="H537" s="70" t="s">
        <v>2096</v>
      </c>
      <c r="I537" s="71"/>
      <c r="J537" s="71" t="s">
        <v>75</v>
      </c>
      <c r="K537" s="70" t="s">
        <v>2096</v>
      </c>
      <c r="L537" s="74">
        <v>286.65714285714284</v>
      </c>
      <c r="M537" s="75">
        <v>1052.8626708984375</v>
      </c>
      <c r="N537" s="75">
        <v>1416.995849609375</v>
      </c>
      <c r="O537" s="76"/>
      <c r="P537" s="77"/>
      <c r="Q537" s="77"/>
      <c r="R537" s="89"/>
      <c r="S537" s="49">
        <v>3</v>
      </c>
      <c r="T537" s="49">
        <v>1</v>
      </c>
      <c r="U537" s="50">
        <v>624</v>
      </c>
      <c r="V537" s="50">
        <v>0.001074</v>
      </c>
      <c r="W537" s="50">
        <v>0</v>
      </c>
      <c r="X537" s="50">
        <v>1.503825</v>
      </c>
      <c r="Y537" s="50">
        <v>0.08333333333333333</v>
      </c>
      <c r="Z537" s="50">
        <v>0</v>
      </c>
      <c r="AA537" s="72">
        <v>537</v>
      </c>
      <c r="AB537" s="72"/>
      <c r="AC537" s="73"/>
      <c r="AD537" s="80" t="s">
        <v>2096</v>
      </c>
      <c r="AE537" s="80"/>
      <c r="AF537" s="80"/>
      <c r="AG537" s="80"/>
      <c r="AH537" s="80"/>
      <c r="AI537" s="80"/>
      <c r="AJ537" s="87">
        <v>41538.66320601852</v>
      </c>
      <c r="AK537" s="85" t="str">
        <f>HYPERLINK("https://yt3.ggpht.com/ytc/AAUvwnjpCKGM-CX6uJDsVF6aldLhgoXl0tNqmx9G4iUArw=s88-c-k-c0x00ffffff-no-rj")</f>
        <v>https://yt3.ggpht.com/ytc/AAUvwnjpCKGM-CX6uJDsVF6aldLhgoXl0tNqmx9G4iUArw=s88-c-k-c0x00ffffff-no-rj</v>
      </c>
      <c r="AL537" s="80">
        <v>0</v>
      </c>
      <c r="AM537" s="80">
        <v>0</v>
      </c>
      <c r="AN537" s="80">
        <v>8</v>
      </c>
      <c r="AO537" s="80" t="b">
        <v>0</v>
      </c>
      <c r="AP537" s="80">
        <v>0</v>
      </c>
      <c r="AQ537" s="80"/>
      <c r="AR537" s="80"/>
      <c r="AS537" s="80" t="s">
        <v>2664</v>
      </c>
      <c r="AT537" s="85" t="str">
        <f>HYPERLINK("https://www.youtube.com/channel/UCcKWKoA7pGXi1W7BUZ2xsfg")</f>
        <v>https://www.youtube.com/channel/UCcKWKoA7pGXi1W7BUZ2xsfg</v>
      </c>
      <c r="AU537" s="80" t="str">
        <f>REPLACE(INDEX(GroupVertices[Group],MATCH(Vertices[[#This Row],[Vertex]],GroupVertices[Vertex],0)),1,1,"")</f>
        <v>2</v>
      </c>
      <c r="AV537" s="49">
        <v>1</v>
      </c>
      <c r="AW537" s="50">
        <v>10</v>
      </c>
      <c r="AX537" s="49">
        <v>0</v>
      </c>
      <c r="AY537" s="50">
        <v>0</v>
      </c>
      <c r="AZ537" s="49">
        <v>0</v>
      </c>
      <c r="BA537" s="50">
        <v>0</v>
      </c>
      <c r="BB537" s="49">
        <v>9</v>
      </c>
      <c r="BC537" s="50">
        <v>90</v>
      </c>
      <c r="BD537" s="49">
        <v>10</v>
      </c>
      <c r="BE537" s="49"/>
      <c r="BF537" s="49"/>
      <c r="BG537" s="49"/>
      <c r="BH537" s="49"/>
      <c r="BI537" s="49"/>
      <c r="BJ537" s="49"/>
      <c r="BK537" s="111" t="s">
        <v>4068</v>
      </c>
      <c r="BL537" s="111" t="s">
        <v>4068</v>
      </c>
      <c r="BM537" s="111" t="s">
        <v>4530</v>
      </c>
      <c r="BN537" s="111" t="s">
        <v>4530</v>
      </c>
      <c r="BO537" s="2"/>
      <c r="BP537" s="3"/>
      <c r="BQ537" s="3"/>
      <c r="BR537" s="3"/>
      <c r="BS537" s="3"/>
    </row>
    <row r="538" spans="1:71" ht="15">
      <c r="A538" s="65" t="s">
        <v>735</v>
      </c>
      <c r="B538" s="66"/>
      <c r="C538" s="66"/>
      <c r="D538" s="67">
        <v>150</v>
      </c>
      <c r="E538" s="69"/>
      <c r="F538" s="103" t="str">
        <f>HYPERLINK("https://yt3.ggpht.com/ytc/AAUvwngnPLXDbaWyLP2zP6Fu0E1AVdPkeh5pTabaXPid7w=s88-c-k-c0x00ffffff-no-rj")</f>
        <v>https://yt3.ggpht.com/ytc/AAUvwngnPLXDbaWyLP2zP6Fu0E1AVdPkeh5pTabaXPid7w=s88-c-k-c0x00ffffff-no-rj</v>
      </c>
      <c r="G538" s="66"/>
      <c r="H538" s="70" t="s">
        <v>2094</v>
      </c>
      <c r="I538" s="71"/>
      <c r="J538" s="71" t="s">
        <v>159</v>
      </c>
      <c r="K538" s="70" t="s">
        <v>2094</v>
      </c>
      <c r="L538" s="74">
        <v>1</v>
      </c>
      <c r="M538" s="75">
        <v>438.2906799316406</v>
      </c>
      <c r="N538" s="75">
        <v>1082.3043212890625</v>
      </c>
      <c r="O538" s="76"/>
      <c r="P538" s="77"/>
      <c r="Q538" s="77"/>
      <c r="R538" s="89"/>
      <c r="S538" s="49">
        <v>0</v>
      </c>
      <c r="T538" s="49">
        <v>4</v>
      </c>
      <c r="U538" s="50">
        <v>330.866667</v>
      </c>
      <c r="V538" s="50">
        <v>0.000962</v>
      </c>
      <c r="W538" s="50">
        <v>0</v>
      </c>
      <c r="X538" s="50">
        <v>1.421682</v>
      </c>
      <c r="Y538" s="50">
        <v>0</v>
      </c>
      <c r="Z538" s="50">
        <v>0</v>
      </c>
      <c r="AA538" s="72">
        <v>538</v>
      </c>
      <c r="AB538" s="72"/>
      <c r="AC538" s="73"/>
      <c r="AD538" s="80" t="s">
        <v>2094</v>
      </c>
      <c r="AE538" s="80" t="s">
        <v>2593</v>
      </c>
      <c r="AF538" s="80"/>
      <c r="AG538" s="80"/>
      <c r="AH538" s="80"/>
      <c r="AI538" s="80"/>
      <c r="AJ538" s="87">
        <v>39117.29554398148</v>
      </c>
      <c r="AK538" s="85" t="str">
        <f>HYPERLINK("https://yt3.ggpht.com/ytc/AAUvwngnPLXDbaWyLP2zP6Fu0E1AVdPkeh5pTabaXPid7w=s88-c-k-c0x00ffffff-no-rj")</f>
        <v>https://yt3.ggpht.com/ytc/AAUvwngnPLXDbaWyLP2zP6Fu0E1AVdPkeh5pTabaXPid7w=s88-c-k-c0x00ffffff-no-rj</v>
      </c>
      <c r="AL538" s="80">
        <v>657</v>
      </c>
      <c r="AM538" s="80">
        <v>0</v>
      </c>
      <c r="AN538" s="80">
        <v>0</v>
      </c>
      <c r="AO538" s="80" t="b">
        <v>0</v>
      </c>
      <c r="AP538" s="80">
        <v>10</v>
      </c>
      <c r="AQ538" s="80"/>
      <c r="AR538" s="80"/>
      <c r="AS538" s="80" t="s">
        <v>2664</v>
      </c>
      <c r="AT538" s="85" t="str">
        <f>HYPERLINK("https://www.youtube.com/channel/UCWKJSLASMS7LgiWB0B3U3VA")</f>
        <v>https://www.youtube.com/channel/UCWKJSLASMS7LgiWB0B3U3VA</v>
      </c>
      <c r="AU538" s="80" t="str">
        <f>REPLACE(INDEX(GroupVertices[Group],MATCH(Vertices[[#This Row],[Vertex]],GroupVertices[Vertex],0)),1,1,"")</f>
        <v>2</v>
      </c>
      <c r="AV538" s="49">
        <v>2</v>
      </c>
      <c r="AW538" s="50">
        <v>3.8461538461538463</v>
      </c>
      <c r="AX538" s="49">
        <v>0</v>
      </c>
      <c r="AY538" s="50">
        <v>0</v>
      </c>
      <c r="AZ538" s="49">
        <v>0</v>
      </c>
      <c r="BA538" s="50">
        <v>0</v>
      </c>
      <c r="BB538" s="49">
        <v>50</v>
      </c>
      <c r="BC538" s="50">
        <v>96.15384615384616</v>
      </c>
      <c r="BD538" s="49">
        <v>52</v>
      </c>
      <c r="BE538" s="49" t="s">
        <v>3662</v>
      </c>
      <c r="BF538" s="49" t="s">
        <v>3662</v>
      </c>
      <c r="BG538" s="49" t="s">
        <v>2388</v>
      </c>
      <c r="BH538" s="49" t="s">
        <v>2388</v>
      </c>
      <c r="BI538" s="49"/>
      <c r="BJ538" s="49"/>
      <c r="BK538" s="111" t="s">
        <v>4069</v>
      </c>
      <c r="BL538" s="111" t="s">
        <v>4069</v>
      </c>
      <c r="BM538" s="111" t="s">
        <v>4531</v>
      </c>
      <c r="BN538" s="111" t="s">
        <v>4531</v>
      </c>
      <c r="BO538" s="2"/>
      <c r="BP538" s="3"/>
      <c r="BQ538" s="3"/>
      <c r="BR538" s="3"/>
      <c r="BS538" s="3"/>
    </row>
    <row r="539" spans="1:71" ht="15">
      <c r="A539" s="65" t="s">
        <v>736</v>
      </c>
      <c r="B539" s="66"/>
      <c r="C539" s="66"/>
      <c r="D539" s="67">
        <v>150</v>
      </c>
      <c r="E539" s="69"/>
      <c r="F539" s="103" t="str">
        <f>HYPERLINK("https://yt3.ggpht.com/ytc/AAUvwniYXgH0q-ex14xpDzMDKqZm7k1RaWLjsBR5gA=s88-c-k-c0x00ffffff-no-rj")</f>
        <v>https://yt3.ggpht.com/ytc/AAUvwniYXgH0q-ex14xpDzMDKqZm7k1RaWLjsBR5gA=s88-c-k-c0x00ffffff-no-rj</v>
      </c>
      <c r="G539" s="66"/>
      <c r="H539" s="70" t="s">
        <v>2095</v>
      </c>
      <c r="I539" s="71"/>
      <c r="J539" s="71" t="s">
        <v>159</v>
      </c>
      <c r="K539" s="70" t="s">
        <v>2095</v>
      </c>
      <c r="L539" s="74">
        <v>1</v>
      </c>
      <c r="M539" s="75">
        <v>1175.5819091796875</v>
      </c>
      <c r="N539" s="75">
        <v>1551.541015625</v>
      </c>
      <c r="O539" s="76"/>
      <c r="P539" s="77"/>
      <c r="Q539" s="77"/>
      <c r="R539" s="89"/>
      <c r="S539" s="49">
        <v>0</v>
      </c>
      <c r="T539" s="49">
        <v>2</v>
      </c>
      <c r="U539" s="50">
        <v>0</v>
      </c>
      <c r="V539" s="50">
        <v>0.001072</v>
      </c>
      <c r="W539" s="50">
        <v>0</v>
      </c>
      <c r="X539" s="50">
        <v>0.787475</v>
      </c>
      <c r="Y539" s="50">
        <v>0.5</v>
      </c>
      <c r="Z539" s="50">
        <v>0</v>
      </c>
      <c r="AA539" s="72">
        <v>539</v>
      </c>
      <c r="AB539" s="72"/>
      <c r="AC539" s="73"/>
      <c r="AD539" s="80" t="s">
        <v>2095</v>
      </c>
      <c r="AE539" s="80"/>
      <c r="AF539" s="80"/>
      <c r="AG539" s="80"/>
      <c r="AH539" s="80"/>
      <c r="AI539" s="80"/>
      <c r="AJ539" s="87">
        <v>41852.57983796296</v>
      </c>
      <c r="AK539" s="85" t="str">
        <f>HYPERLINK("https://yt3.ggpht.com/ytc/AAUvwniYXgH0q-ex14xpDzMDKqZm7k1RaWLjsBR5gA=s88-c-k-c0x00ffffff-no-rj")</f>
        <v>https://yt3.ggpht.com/ytc/AAUvwniYXgH0q-ex14xpDzMDKqZm7k1RaWLjsBR5gA=s88-c-k-c0x00ffffff-no-rj</v>
      </c>
      <c r="AL539" s="80">
        <v>0</v>
      </c>
      <c r="AM539" s="80">
        <v>0</v>
      </c>
      <c r="AN539" s="80">
        <v>0</v>
      </c>
      <c r="AO539" s="80" t="b">
        <v>0</v>
      </c>
      <c r="AP539" s="80">
        <v>0</v>
      </c>
      <c r="AQ539" s="80"/>
      <c r="AR539" s="80"/>
      <c r="AS539" s="80" t="s">
        <v>2664</v>
      </c>
      <c r="AT539" s="85" t="str">
        <f>HYPERLINK("https://www.youtube.com/channel/UCsZFWQYkG-slxqG0PSAeuDg")</f>
        <v>https://www.youtube.com/channel/UCsZFWQYkG-slxqG0PSAeuDg</v>
      </c>
      <c r="AU539" s="80" t="str">
        <f>REPLACE(INDEX(GroupVertices[Group],MATCH(Vertices[[#This Row],[Vertex]],GroupVertices[Vertex],0)),1,1,"")</f>
        <v>2</v>
      </c>
      <c r="AV539" s="49">
        <v>4</v>
      </c>
      <c r="AW539" s="50">
        <v>5.797101449275362</v>
      </c>
      <c r="AX539" s="49">
        <v>0</v>
      </c>
      <c r="AY539" s="50">
        <v>0</v>
      </c>
      <c r="AZ539" s="49">
        <v>0</v>
      </c>
      <c r="BA539" s="50">
        <v>0</v>
      </c>
      <c r="BB539" s="49">
        <v>65</v>
      </c>
      <c r="BC539" s="50">
        <v>94.20289855072464</v>
      </c>
      <c r="BD539" s="49">
        <v>69</v>
      </c>
      <c r="BE539" s="49" t="s">
        <v>3421</v>
      </c>
      <c r="BF539" s="49" t="s">
        <v>3421</v>
      </c>
      <c r="BG539" s="49" t="s">
        <v>3485</v>
      </c>
      <c r="BH539" s="49" t="s">
        <v>3485</v>
      </c>
      <c r="BI539" s="49"/>
      <c r="BJ539" s="49"/>
      <c r="BK539" s="111" t="s">
        <v>4070</v>
      </c>
      <c r="BL539" s="111" t="s">
        <v>4139</v>
      </c>
      <c r="BM539" s="111" t="s">
        <v>4532</v>
      </c>
      <c r="BN539" s="111" t="s">
        <v>4586</v>
      </c>
      <c r="BO539" s="2"/>
      <c r="BP539" s="3"/>
      <c r="BQ539" s="3"/>
      <c r="BR539" s="3"/>
      <c r="BS539" s="3"/>
    </row>
    <row r="540" spans="1:71" ht="15">
      <c r="A540" s="65" t="s">
        <v>842</v>
      </c>
      <c r="B540" s="66"/>
      <c r="C540" s="66"/>
      <c r="D540" s="67">
        <v>1000</v>
      </c>
      <c r="E540" s="69"/>
      <c r="F540" s="103" t="str">
        <f>HYPERLINK("https://yt3.ggpht.com/ytc/AAUvwniGhKARsGPwrEuPHaZJtbA27GTPvZuWLvbixIIIHQ=s88-c-k-c0x00ffffff-no-rj")</f>
        <v>https://yt3.ggpht.com/ytc/AAUvwniGhKARsGPwrEuPHaZJtbA27GTPvZuWLvbixIIIHQ=s88-c-k-c0x00ffffff-no-rj</v>
      </c>
      <c r="G540" s="66"/>
      <c r="H540" s="70" t="s">
        <v>2413</v>
      </c>
      <c r="I540" s="71"/>
      <c r="J540" s="71" t="s">
        <v>75</v>
      </c>
      <c r="K540" s="70" t="s">
        <v>2413</v>
      </c>
      <c r="L540" s="74">
        <v>5714.142857142857</v>
      </c>
      <c r="M540" s="75">
        <v>1731.5625</v>
      </c>
      <c r="N540" s="75">
        <v>2113.356689453125</v>
      </c>
      <c r="O540" s="76"/>
      <c r="P540" s="77"/>
      <c r="Q540" s="77"/>
      <c r="R540" s="89"/>
      <c r="S540" s="49">
        <v>60</v>
      </c>
      <c r="T540" s="49">
        <v>1</v>
      </c>
      <c r="U540" s="50">
        <v>48261.3</v>
      </c>
      <c r="V540" s="50">
        <v>0.00149</v>
      </c>
      <c r="W540" s="50">
        <v>0</v>
      </c>
      <c r="X540" s="50">
        <v>22.440883</v>
      </c>
      <c r="Y540" s="50">
        <v>0.0029222676797194622</v>
      </c>
      <c r="Z540" s="50">
        <v>0</v>
      </c>
      <c r="AA540" s="72">
        <v>540</v>
      </c>
      <c r="AB540" s="72"/>
      <c r="AC540" s="73"/>
      <c r="AD540" s="80" t="s">
        <v>2413</v>
      </c>
      <c r="AE540" s="80" t="s">
        <v>2594</v>
      </c>
      <c r="AF540" s="80"/>
      <c r="AG540" s="80"/>
      <c r="AH540" s="80"/>
      <c r="AI540" s="80" t="s">
        <v>2657</v>
      </c>
      <c r="AJ540" s="87">
        <v>39414.73650462963</v>
      </c>
      <c r="AK540" s="85" t="str">
        <f>HYPERLINK("https://yt3.ggpht.com/ytc/AAUvwniGhKARsGPwrEuPHaZJtbA27GTPvZuWLvbixIIIHQ=s88-c-k-c0x00ffffff-no-rj")</f>
        <v>https://yt3.ggpht.com/ytc/AAUvwniGhKARsGPwrEuPHaZJtbA27GTPvZuWLvbixIIIHQ=s88-c-k-c0x00ffffff-no-rj</v>
      </c>
      <c r="AL540" s="80">
        <v>29992238</v>
      </c>
      <c r="AM540" s="80">
        <v>0</v>
      </c>
      <c r="AN540" s="80">
        <v>0</v>
      </c>
      <c r="AO540" s="80" t="b">
        <v>1</v>
      </c>
      <c r="AP540" s="80">
        <v>5710</v>
      </c>
      <c r="AQ540" s="80"/>
      <c r="AR540" s="80"/>
      <c r="AS540" s="80" t="s">
        <v>2664</v>
      </c>
      <c r="AT540" s="85" t="str">
        <f>HYPERLINK("https://www.youtube.com/channel/UCpNnv_kL4Jk8YG_VflnZpmg")</f>
        <v>https://www.youtube.com/channel/UCpNnv_kL4Jk8YG_VflnZpmg</v>
      </c>
      <c r="AU540" s="80" t="str">
        <f>REPLACE(INDEX(GroupVertices[Group],MATCH(Vertices[[#This Row],[Vertex]],GroupVertices[Vertex],0)),1,1,"")</f>
        <v>2</v>
      </c>
      <c r="AV540" s="49"/>
      <c r="AW540" s="50"/>
      <c r="AX540" s="49"/>
      <c r="AY540" s="50"/>
      <c r="AZ540" s="49"/>
      <c r="BA540" s="50"/>
      <c r="BB540" s="49"/>
      <c r="BC540" s="50"/>
      <c r="BD540" s="49"/>
      <c r="BE540" s="49"/>
      <c r="BF540" s="49"/>
      <c r="BG540" s="49"/>
      <c r="BH540" s="49"/>
      <c r="BI540" s="49"/>
      <c r="BJ540" s="49"/>
      <c r="BK540" s="111" t="s">
        <v>2390</v>
      </c>
      <c r="BL540" s="111" t="s">
        <v>2390</v>
      </c>
      <c r="BM540" s="111" t="s">
        <v>2390</v>
      </c>
      <c r="BN540" s="111" t="s">
        <v>2390</v>
      </c>
      <c r="BO540" s="2"/>
      <c r="BP540" s="3"/>
      <c r="BQ540" s="3"/>
      <c r="BR540" s="3"/>
      <c r="BS540" s="3"/>
    </row>
    <row r="541" spans="1:71" ht="15">
      <c r="A541" s="65" t="s">
        <v>738</v>
      </c>
      <c r="B541" s="66"/>
      <c r="C541" s="66"/>
      <c r="D541" s="67">
        <v>291.66666666666663</v>
      </c>
      <c r="E541" s="69"/>
      <c r="F541" s="103" t="str">
        <f>HYPERLINK("https://yt3.ggpht.com/ytc/AAUvwng9zgN41K-ptpjkGLn3uCQ9qHQs09j2LCjnDtDirQ=s88-c-k-c0x00ffffff-no-rj")</f>
        <v>https://yt3.ggpht.com/ytc/AAUvwng9zgN41K-ptpjkGLn3uCQ9qHQs09j2LCjnDtDirQ=s88-c-k-c0x00ffffff-no-rj</v>
      </c>
      <c r="G541" s="66"/>
      <c r="H541" s="70" t="s">
        <v>2097</v>
      </c>
      <c r="I541" s="71"/>
      <c r="J541" s="71" t="s">
        <v>159</v>
      </c>
      <c r="K541" s="70" t="s">
        <v>2097</v>
      </c>
      <c r="L541" s="74">
        <v>96.21904761904761</v>
      </c>
      <c r="M541" s="75">
        <v>1188.2593994140625</v>
      </c>
      <c r="N541" s="75">
        <v>1320.4376220703125</v>
      </c>
      <c r="O541" s="76"/>
      <c r="P541" s="77"/>
      <c r="Q541" s="77"/>
      <c r="R541" s="89"/>
      <c r="S541" s="49">
        <v>1</v>
      </c>
      <c r="T541" s="49">
        <v>1</v>
      </c>
      <c r="U541" s="50">
        <v>92</v>
      </c>
      <c r="V541" s="50">
        <v>0.001071</v>
      </c>
      <c r="W541" s="50">
        <v>0</v>
      </c>
      <c r="X541" s="50">
        <v>0.77002</v>
      </c>
      <c r="Y541" s="50">
        <v>0</v>
      </c>
      <c r="Z541" s="50">
        <v>0</v>
      </c>
      <c r="AA541" s="72">
        <v>541</v>
      </c>
      <c r="AB541" s="72"/>
      <c r="AC541" s="73"/>
      <c r="AD541" s="80" t="s">
        <v>2097</v>
      </c>
      <c r="AE541" s="80"/>
      <c r="AF541" s="80"/>
      <c r="AG541" s="80"/>
      <c r="AH541" s="80"/>
      <c r="AI541" s="80" t="s">
        <v>2658</v>
      </c>
      <c r="AJ541" s="87">
        <v>40822.54053240741</v>
      </c>
      <c r="AK541" s="85" t="str">
        <f>HYPERLINK("https://yt3.ggpht.com/ytc/AAUvwng9zgN41K-ptpjkGLn3uCQ9qHQs09j2LCjnDtDirQ=s88-c-k-c0x00ffffff-no-rj")</f>
        <v>https://yt3.ggpht.com/ytc/AAUvwng9zgN41K-ptpjkGLn3uCQ9qHQs09j2LCjnDtDirQ=s88-c-k-c0x00ffffff-no-rj</v>
      </c>
      <c r="AL541" s="80">
        <v>0</v>
      </c>
      <c r="AM541" s="80">
        <v>0</v>
      </c>
      <c r="AN541" s="80">
        <v>1</v>
      </c>
      <c r="AO541" s="80" t="b">
        <v>0</v>
      </c>
      <c r="AP541" s="80">
        <v>0</v>
      </c>
      <c r="AQ541" s="80"/>
      <c r="AR541" s="80"/>
      <c r="AS541" s="80" t="s">
        <v>2664</v>
      </c>
      <c r="AT541" s="85" t="str">
        <f>HYPERLINK("https://www.youtube.com/channel/UCAW8PZ9dS-LxMtpgSGl6srg")</f>
        <v>https://www.youtube.com/channel/UCAW8PZ9dS-LxMtpgSGl6srg</v>
      </c>
      <c r="AU541" s="80" t="str">
        <f>REPLACE(INDEX(GroupVertices[Group],MATCH(Vertices[[#This Row],[Vertex]],GroupVertices[Vertex],0)),1,1,"")</f>
        <v>2</v>
      </c>
      <c r="AV541" s="49">
        <v>1</v>
      </c>
      <c r="AW541" s="50">
        <v>5.555555555555555</v>
      </c>
      <c r="AX541" s="49">
        <v>0</v>
      </c>
      <c r="AY541" s="50">
        <v>0</v>
      </c>
      <c r="AZ541" s="49">
        <v>0</v>
      </c>
      <c r="BA541" s="50">
        <v>0</v>
      </c>
      <c r="BB541" s="49">
        <v>17</v>
      </c>
      <c r="BC541" s="50">
        <v>94.44444444444444</v>
      </c>
      <c r="BD541" s="49">
        <v>18</v>
      </c>
      <c r="BE541" s="49"/>
      <c r="BF541" s="49"/>
      <c r="BG541" s="49"/>
      <c r="BH541" s="49"/>
      <c r="BI541" s="49"/>
      <c r="BJ541" s="49"/>
      <c r="BK541" s="111" t="s">
        <v>4071</v>
      </c>
      <c r="BL541" s="111" t="s">
        <v>4071</v>
      </c>
      <c r="BM541" s="111" t="s">
        <v>4533</v>
      </c>
      <c r="BN541" s="111" t="s">
        <v>4533</v>
      </c>
      <c r="BO541" s="2"/>
      <c r="BP541" s="3"/>
      <c r="BQ541" s="3"/>
      <c r="BR541" s="3"/>
      <c r="BS541" s="3"/>
    </row>
    <row r="542" spans="1:71" ht="15">
      <c r="A542" s="65" t="s">
        <v>739</v>
      </c>
      <c r="B542" s="66"/>
      <c r="C542" s="66"/>
      <c r="D542" s="67">
        <v>291.66666666666663</v>
      </c>
      <c r="E542" s="69"/>
      <c r="F542" s="103" t="str">
        <f>HYPERLINK("https://yt3.ggpht.com/ytc/AAUvwnj-3N07nk6Esw5UUQCaxftV9T2fQksmsyyefmNk=s88-c-k-c0x00ffffff-no-rj")</f>
        <v>https://yt3.ggpht.com/ytc/AAUvwnj-3N07nk6Esw5UUQCaxftV9T2fQksmsyyefmNk=s88-c-k-c0x00ffffff-no-rj</v>
      </c>
      <c r="G542" s="66"/>
      <c r="H542" s="70" t="s">
        <v>2098</v>
      </c>
      <c r="I542" s="71"/>
      <c r="J542" s="71" t="s">
        <v>159</v>
      </c>
      <c r="K542" s="70" t="s">
        <v>2098</v>
      </c>
      <c r="L542" s="74">
        <v>96.21904761904761</v>
      </c>
      <c r="M542" s="75">
        <v>1022.1986083984375</v>
      </c>
      <c r="N542" s="75">
        <v>1668.543212890625</v>
      </c>
      <c r="O542" s="76"/>
      <c r="P542" s="77"/>
      <c r="Q542" s="77"/>
      <c r="R542" s="89"/>
      <c r="S542" s="49">
        <v>1</v>
      </c>
      <c r="T542" s="49">
        <v>2</v>
      </c>
      <c r="U542" s="50">
        <v>18355.166667</v>
      </c>
      <c r="V542" s="50">
        <v>0.001272</v>
      </c>
      <c r="W542" s="50">
        <v>0</v>
      </c>
      <c r="X542" s="50">
        <v>1.12926</v>
      </c>
      <c r="Y542" s="50">
        <v>0</v>
      </c>
      <c r="Z542" s="50">
        <v>0</v>
      </c>
      <c r="AA542" s="72">
        <v>542</v>
      </c>
      <c r="AB542" s="72"/>
      <c r="AC542" s="73"/>
      <c r="AD542" s="80" t="s">
        <v>2098</v>
      </c>
      <c r="AE542" s="80" t="s">
        <v>2595</v>
      </c>
      <c r="AF542" s="80"/>
      <c r="AG542" s="80"/>
      <c r="AH542" s="80"/>
      <c r="AI542" s="80"/>
      <c r="AJ542" s="87">
        <v>41432.59502314815</v>
      </c>
      <c r="AK542" s="85" t="str">
        <f>HYPERLINK("https://yt3.ggpht.com/ytc/AAUvwnj-3N07nk6Esw5UUQCaxftV9T2fQksmsyyefmNk=s88-c-k-c0x00ffffff-no-rj")</f>
        <v>https://yt3.ggpht.com/ytc/AAUvwnj-3N07nk6Esw5UUQCaxftV9T2fQksmsyyefmNk=s88-c-k-c0x00ffffff-no-rj</v>
      </c>
      <c r="AL542" s="80">
        <v>1280</v>
      </c>
      <c r="AM542" s="80">
        <v>0</v>
      </c>
      <c r="AN542" s="80">
        <v>87</v>
      </c>
      <c r="AO542" s="80" t="b">
        <v>0</v>
      </c>
      <c r="AP542" s="80">
        <v>4</v>
      </c>
      <c r="AQ542" s="80"/>
      <c r="AR542" s="80"/>
      <c r="AS542" s="80" t="s">
        <v>2664</v>
      </c>
      <c r="AT542" s="85" t="str">
        <f>HYPERLINK("https://www.youtube.com/channel/UCKeFH_4Fq0vPHhSr-GO7kgg")</f>
        <v>https://www.youtube.com/channel/UCKeFH_4Fq0vPHhSr-GO7kgg</v>
      </c>
      <c r="AU542" s="80" t="str">
        <f>REPLACE(INDEX(GroupVertices[Group],MATCH(Vertices[[#This Row],[Vertex]],GroupVertices[Vertex],0)),1,1,"")</f>
        <v>2</v>
      </c>
      <c r="AV542" s="49">
        <v>3</v>
      </c>
      <c r="AW542" s="50">
        <v>14.285714285714286</v>
      </c>
      <c r="AX542" s="49">
        <v>1</v>
      </c>
      <c r="AY542" s="50">
        <v>4.761904761904762</v>
      </c>
      <c r="AZ542" s="49">
        <v>0</v>
      </c>
      <c r="BA542" s="50">
        <v>0</v>
      </c>
      <c r="BB542" s="49">
        <v>17</v>
      </c>
      <c r="BC542" s="50">
        <v>80.95238095238095</v>
      </c>
      <c r="BD542" s="49">
        <v>21</v>
      </c>
      <c r="BE542" s="49"/>
      <c r="BF542" s="49"/>
      <c r="BG542" s="49"/>
      <c r="BH542" s="49"/>
      <c r="BI542" s="49"/>
      <c r="BJ542" s="49"/>
      <c r="BK542" s="111" t="s">
        <v>4072</v>
      </c>
      <c r="BL542" s="111" t="s">
        <v>4072</v>
      </c>
      <c r="BM542" s="111" t="s">
        <v>4534</v>
      </c>
      <c r="BN542" s="111" t="s">
        <v>4534</v>
      </c>
      <c r="BO542" s="2"/>
      <c r="BP542" s="3"/>
      <c r="BQ542" s="3"/>
      <c r="BR542" s="3"/>
      <c r="BS542" s="3"/>
    </row>
    <row r="543" spans="1:71" ht="15">
      <c r="A543" s="65" t="s">
        <v>740</v>
      </c>
      <c r="B543" s="66"/>
      <c r="C543" s="66"/>
      <c r="D543" s="67">
        <v>150</v>
      </c>
      <c r="E543" s="69"/>
      <c r="F543" s="103" t="str">
        <f>HYPERLINK("https://yt3.ggpht.com/ytc/AAUvwniZIrdyuobnOiIK-yni0Zzq192m6uGJMn3qO4sC=s88-c-k-c0x00ffffff-no-rj")</f>
        <v>https://yt3.ggpht.com/ytc/AAUvwniZIrdyuobnOiIK-yni0Zzq192m6uGJMn3qO4sC=s88-c-k-c0x00ffffff-no-rj</v>
      </c>
      <c r="G543" s="66"/>
      <c r="H543" s="70" t="s">
        <v>2099</v>
      </c>
      <c r="I543" s="71"/>
      <c r="J543" s="71" t="s">
        <v>159</v>
      </c>
      <c r="K543" s="70" t="s">
        <v>2099</v>
      </c>
      <c r="L543" s="74">
        <v>1</v>
      </c>
      <c r="M543" s="75">
        <v>1734.0360107421875</v>
      </c>
      <c r="N543" s="75">
        <v>1303.337158203125</v>
      </c>
      <c r="O543" s="76"/>
      <c r="P543" s="77"/>
      <c r="Q543" s="77"/>
      <c r="R543" s="89"/>
      <c r="S543" s="49">
        <v>0</v>
      </c>
      <c r="T543" s="49">
        <v>1</v>
      </c>
      <c r="U543" s="50">
        <v>0</v>
      </c>
      <c r="V543" s="50">
        <v>0.001068</v>
      </c>
      <c r="W543" s="50">
        <v>0</v>
      </c>
      <c r="X543" s="50">
        <v>0.467912</v>
      </c>
      <c r="Y543" s="50">
        <v>0</v>
      </c>
      <c r="Z543" s="50">
        <v>0</v>
      </c>
      <c r="AA543" s="72">
        <v>543</v>
      </c>
      <c r="AB543" s="72"/>
      <c r="AC543" s="73"/>
      <c r="AD543" s="80" t="s">
        <v>2099</v>
      </c>
      <c r="AE543" s="80"/>
      <c r="AF543" s="80"/>
      <c r="AG543" s="80"/>
      <c r="AH543" s="80"/>
      <c r="AI543" s="80"/>
      <c r="AJ543" s="87">
        <v>42729.64179398148</v>
      </c>
      <c r="AK543" s="85" t="str">
        <f>HYPERLINK("https://yt3.ggpht.com/ytc/AAUvwniZIrdyuobnOiIK-yni0Zzq192m6uGJMn3qO4sC=s88-c-k-c0x00ffffff-no-rj")</f>
        <v>https://yt3.ggpht.com/ytc/AAUvwniZIrdyuobnOiIK-yni0Zzq192m6uGJMn3qO4sC=s88-c-k-c0x00ffffff-no-rj</v>
      </c>
      <c r="AL543" s="80">
        <v>0</v>
      </c>
      <c r="AM543" s="80">
        <v>0</v>
      </c>
      <c r="AN543" s="80">
        <v>1</v>
      </c>
      <c r="AO543" s="80" t="b">
        <v>0</v>
      </c>
      <c r="AP543" s="80">
        <v>0</v>
      </c>
      <c r="AQ543" s="80"/>
      <c r="AR543" s="80"/>
      <c r="AS543" s="80" t="s">
        <v>2664</v>
      </c>
      <c r="AT543" s="85" t="str">
        <f>HYPERLINK("https://www.youtube.com/channel/UCnOEYCZM5jwEFOFP1NYz82A")</f>
        <v>https://www.youtube.com/channel/UCnOEYCZM5jwEFOFP1NYz82A</v>
      </c>
      <c r="AU543" s="80" t="str">
        <f>REPLACE(INDEX(GroupVertices[Group],MATCH(Vertices[[#This Row],[Vertex]],GroupVertices[Vertex],0)),1,1,"")</f>
        <v>2</v>
      </c>
      <c r="AV543" s="49">
        <v>3</v>
      </c>
      <c r="AW543" s="50">
        <v>30</v>
      </c>
      <c r="AX543" s="49">
        <v>0</v>
      </c>
      <c r="AY543" s="50">
        <v>0</v>
      </c>
      <c r="AZ543" s="49">
        <v>0</v>
      </c>
      <c r="BA543" s="50">
        <v>0</v>
      </c>
      <c r="BB543" s="49">
        <v>7</v>
      </c>
      <c r="BC543" s="50">
        <v>70</v>
      </c>
      <c r="BD543" s="49">
        <v>10</v>
      </c>
      <c r="BE543" s="49"/>
      <c r="BF543" s="49"/>
      <c r="BG543" s="49"/>
      <c r="BH543" s="49"/>
      <c r="BI543" s="49"/>
      <c r="BJ543" s="49"/>
      <c r="BK543" s="111" t="s">
        <v>4073</v>
      </c>
      <c r="BL543" s="111" t="s">
        <v>4073</v>
      </c>
      <c r="BM543" s="111" t="s">
        <v>4535</v>
      </c>
      <c r="BN543" s="111" t="s">
        <v>4535</v>
      </c>
      <c r="BO543" s="2"/>
      <c r="BP543" s="3"/>
      <c r="BQ543" s="3"/>
      <c r="BR543" s="3"/>
      <c r="BS543" s="3"/>
    </row>
    <row r="544" spans="1:71" ht="15">
      <c r="A544" s="65" t="s">
        <v>741</v>
      </c>
      <c r="B544" s="66"/>
      <c r="C544" s="66"/>
      <c r="D544" s="67">
        <v>150</v>
      </c>
      <c r="E544" s="69"/>
      <c r="F544" s="103" t="str">
        <f>HYPERLINK("https://yt3.ggpht.com/ytc/AAUvwngi6jgmrLAORFZc3tryuOb-A9GVRXePld-7OP6kpQ=s88-c-k-c0x00ffffff-no-rj")</f>
        <v>https://yt3.ggpht.com/ytc/AAUvwngi6jgmrLAORFZc3tryuOb-A9GVRXePld-7OP6kpQ=s88-c-k-c0x00ffffff-no-rj</v>
      </c>
      <c r="G544" s="66"/>
      <c r="H544" s="70" t="s">
        <v>2100</v>
      </c>
      <c r="I544" s="71"/>
      <c r="J544" s="71" t="s">
        <v>159</v>
      </c>
      <c r="K544" s="70" t="s">
        <v>2100</v>
      </c>
      <c r="L544" s="74">
        <v>1</v>
      </c>
      <c r="M544" s="75">
        <v>2306.919921875</v>
      </c>
      <c r="N544" s="75">
        <v>1751.19775390625</v>
      </c>
      <c r="O544" s="76"/>
      <c r="P544" s="77"/>
      <c r="Q544" s="77"/>
      <c r="R544" s="89"/>
      <c r="S544" s="49">
        <v>0</v>
      </c>
      <c r="T544" s="49">
        <v>1</v>
      </c>
      <c r="U544" s="50">
        <v>0</v>
      </c>
      <c r="V544" s="50">
        <v>0.001068</v>
      </c>
      <c r="W544" s="50">
        <v>0</v>
      </c>
      <c r="X544" s="50">
        <v>0.467912</v>
      </c>
      <c r="Y544" s="50">
        <v>0</v>
      </c>
      <c r="Z544" s="50">
        <v>0</v>
      </c>
      <c r="AA544" s="72">
        <v>544</v>
      </c>
      <c r="AB544" s="72"/>
      <c r="AC544" s="73"/>
      <c r="AD544" s="80" t="s">
        <v>2100</v>
      </c>
      <c r="AE544" s="80" t="s">
        <v>2596</v>
      </c>
      <c r="AF544" s="80"/>
      <c r="AG544" s="80"/>
      <c r="AH544" s="80"/>
      <c r="AI544" s="80"/>
      <c r="AJ544" s="87">
        <v>42004.605625</v>
      </c>
      <c r="AK544" s="85" t="str">
        <f>HYPERLINK("https://yt3.ggpht.com/ytc/AAUvwngi6jgmrLAORFZc3tryuOb-A9GVRXePld-7OP6kpQ=s88-c-k-c0x00ffffff-no-rj")</f>
        <v>https://yt3.ggpht.com/ytc/AAUvwngi6jgmrLAORFZc3tryuOb-A9GVRXePld-7OP6kpQ=s88-c-k-c0x00ffffff-no-rj</v>
      </c>
      <c r="AL544" s="80">
        <v>0</v>
      </c>
      <c r="AM544" s="80">
        <v>0</v>
      </c>
      <c r="AN544" s="80">
        <v>0</v>
      </c>
      <c r="AO544" s="80" t="b">
        <v>0</v>
      </c>
      <c r="AP544" s="80">
        <v>0</v>
      </c>
      <c r="AQ544" s="80"/>
      <c r="AR544" s="80"/>
      <c r="AS544" s="80" t="s">
        <v>2664</v>
      </c>
      <c r="AT544" s="85" t="str">
        <f>HYPERLINK("https://www.youtube.com/channel/UCOG_T9dGhVa3Sf4ay-_ZLhA")</f>
        <v>https://www.youtube.com/channel/UCOG_T9dGhVa3Sf4ay-_ZLhA</v>
      </c>
      <c r="AU544" s="80" t="str">
        <f>REPLACE(INDEX(GroupVertices[Group],MATCH(Vertices[[#This Row],[Vertex]],GroupVertices[Vertex],0)),1,1,"")</f>
        <v>2</v>
      </c>
      <c r="AV544" s="49">
        <v>1</v>
      </c>
      <c r="AW544" s="50">
        <v>11.11111111111111</v>
      </c>
      <c r="AX544" s="49">
        <v>0</v>
      </c>
      <c r="AY544" s="50">
        <v>0</v>
      </c>
      <c r="AZ544" s="49">
        <v>0</v>
      </c>
      <c r="BA544" s="50">
        <v>0</v>
      </c>
      <c r="BB544" s="49">
        <v>8</v>
      </c>
      <c r="BC544" s="50">
        <v>88.88888888888889</v>
      </c>
      <c r="BD544" s="49">
        <v>9</v>
      </c>
      <c r="BE544" s="49"/>
      <c r="BF544" s="49"/>
      <c r="BG544" s="49"/>
      <c r="BH544" s="49"/>
      <c r="BI544" s="49"/>
      <c r="BJ544" s="49"/>
      <c r="BK544" s="111" t="s">
        <v>4074</v>
      </c>
      <c r="BL544" s="111" t="s">
        <v>4074</v>
      </c>
      <c r="BM544" s="111" t="s">
        <v>4536</v>
      </c>
      <c r="BN544" s="111" t="s">
        <v>4536</v>
      </c>
      <c r="BO544" s="2"/>
      <c r="BP544" s="3"/>
      <c r="BQ544" s="3"/>
      <c r="BR544" s="3"/>
      <c r="BS544" s="3"/>
    </row>
    <row r="545" spans="1:71" ht="15">
      <c r="A545" s="65" t="s">
        <v>743</v>
      </c>
      <c r="B545" s="66"/>
      <c r="C545" s="66"/>
      <c r="D545" s="67">
        <v>433.3333333333333</v>
      </c>
      <c r="E545" s="69"/>
      <c r="F545" s="103" t="str">
        <f>HYPERLINK("https://yt3.ggpht.com/ytc/AAUvwnjSUiWAEkc1FBf9zIxje-1c7kqE6Gt7WhvBPEK9gA=s88-c-k-c0x00ffffff-no-rj")</f>
        <v>https://yt3.ggpht.com/ytc/AAUvwnjSUiWAEkc1FBf9zIxje-1c7kqE6Gt7WhvBPEK9gA=s88-c-k-c0x00ffffff-no-rj</v>
      </c>
      <c r="G545" s="66"/>
      <c r="H545" s="70" t="s">
        <v>2102</v>
      </c>
      <c r="I545" s="71"/>
      <c r="J545" s="71" t="s">
        <v>75</v>
      </c>
      <c r="K545" s="70" t="s">
        <v>2102</v>
      </c>
      <c r="L545" s="74">
        <v>191.43809523809523</v>
      </c>
      <c r="M545" s="75">
        <v>901.1834106445312</v>
      </c>
      <c r="N545" s="75">
        <v>1767.8829345703125</v>
      </c>
      <c r="O545" s="76"/>
      <c r="P545" s="77"/>
      <c r="Q545" s="77"/>
      <c r="R545" s="89"/>
      <c r="S545" s="49">
        <v>2</v>
      </c>
      <c r="T545" s="49">
        <v>1</v>
      </c>
      <c r="U545" s="50">
        <v>293.6</v>
      </c>
      <c r="V545" s="50">
        <v>0.001073</v>
      </c>
      <c r="W545" s="50">
        <v>0</v>
      </c>
      <c r="X545" s="50">
        <v>1.076132</v>
      </c>
      <c r="Y545" s="50">
        <v>0</v>
      </c>
      <c r="Z545" s="50">
        <v>0</v>
      </c>
      <c r="AA545" s="72">
        <v>545</v>
      </c>
      <c r="AB545" s="72"/>
      <c r="AC545" s="73"/>
      <c r="AD545" s="80" t="s">
        <v>2102</v>
      </c>
      <c r="AE545" s="80"/>
      <c r="AF545" s="80"/>
      <c r="AG545" s="80"/>
      <c r="AH545" s="80"/>
      <c r="AI545" s="80"/>
      <c r="AJ545" s="87">
        <v>40844.560381944444</v>
      </c>
      <c r="AK545" s="85" t="str">
        <f>HYPERLINK("https://yt3.ggpht.com/ytc/AAUvwnjSUiWAEkc1FBf9zIxje-1c7kqE6Gt7WhvBPEK9gA=s88-c-k-c0x00ffffff-no-rj")</f>
        <v>https://yt3.ggpht.com/ytc/AAUvwnjSUiWAEkc1FBf9zIxje-1c7kqE6Gt7WhvBPEK9gA=s88-c-k-c0x00ffffff-no-rj</v>
      </c>
      <c r="AL545" s="80">
        <v>0</v>
      </c>
      <c r="AM545" s="80">
        <v>0</v>
      </c>
      <c r="AN545" s="80">
        <v>5</v>
      </c>
      <c r="AO545" s="80" t="b">
        <v>0</v>
      </c>
      <c r="AP545" s="80">
        <v>0</v>
      </c>
      <c r="AQ545" s="80"/>
      <c r="AR545" s="80"/>
      <c r="AS545" s="80" t="s">
        <v>2664</v>
      </c>
      <c r="AT545" s="85" t="str">
        <f>HYPERLINK("https://www.youtube.com/channel/UC2TB_zzNN7L2i_WPEaWM-LQ")</f>
        <v>https://www.youtube.com/channel/UC2TB_zzNN7L2i_WPEaWM-LQ</v>
      </c>
      <c r="AU545" s="80" t="str">
        <f>REPLACE(INDEX(GroupVertices[Group],MATCH(Vertices[[#This Row],[Vertex]],GroupVertices[Vertex],0)),1,1,"")</f>
        <v>2</v>
      </c>
      <c r="AV545" s="49">
        <v>1</v>
      </c>
      <c r="AW545" s="50">
        <v>6.666666666666667</v>
      </c>
      <c r="AX545" s="49">
        <v>0</v>
      </c>
      <c r="AY545" s="50">
        <v>0</v>
      </c>
      <c r="AZ545" s="49">
        <v>0</v>
      </c>
      <c r="BA545" s="50">
        <v>0</v>
      </c>
      <c r="BB545" s="49">
        <v>14</v>
      </c>
      <c r="BC545" s="50">
        <v>93.33333333333333</v>
      </c>
      <c r="BD545" s="49">
        <v>15</v>
      </c>
      <c r="BE545" s="49"/>
      <c r="BF545" s="49"/>
      <c r="BG545" s="49"/>
      <c r="BH545" s="49"/>
      <c r="BI545" s="49"/>
      <c r="BJ545" s="49"/>
      <c r="BK545" s="111" t="s">
        <v>4075</v>
      </c>
      <c r="BL545" s="111" t="s">
        <v>4075</v>
      </c>
      <c r="BM545" s="111" t="s">
        <v>4537</v>
      </c>
      <c r="BN545" s="111" t="s">
        <v>4537</v>
      </c>
      <c r="BO545" s="2"/>
      <c r="BP545" s="3"/>
      <c r="BQ545" s="3"/>
      <c r="BR545" s="3"/>
      <c r="BS545" s="3"/>
    </row>
    <row r="546" spans="1:71" ht="15">
      <c r="A546" s="65" t="s">
        <v>742</v>
      </c>
      <c r="B546" s="66"/>
      <c r="C546" s="66"/>
      <c r="D546" s="67">
        <v>150</v>
      </c>
      <c r="E546" s="69"/>
      <c r="F546" s="103" t="str">
        <f>HYPERLINK("https://yt3.ggpht.com/ytc/AAUvwniktPwENevJZoGo_eBgQQWvoKLHYvesqgC89Kq19w=s88-c-k-c0x00ffffff-no-rj")</f>
        <v>https://yt3.ggpht.com/ytc/AAUvwniktPwENevJZoGo_eBgQQWvoKLHYvesqgC89Kq19w=s88-c-k-c0x00ffffff-no-rj</v>
      </c>
      <c r="G546" s="66"/>
      <c r="H546" s="70" t="s">
        <v>2101</v>
      </c>
      <c r="I546" s="71"/>
      <c r="J546" s="71" t="s">
        <v>159</v>
      </c>
      <c r="K546" s="70" t="s">
        <v>2101</v>
      </c>
      <c r="L546" s="74">
        <v>1</v>
      </c>
      <c r="M546" s="75">
        <v>199.0436553955078</v>
      </c>
      <c r="N546" s="75">
        <v>1709.896484375</v>
      </c>
      <c r="O546" s="76"/>
      <c r="P546" s="77"/>
      <c r="Q546" s="77"/>
      <c r="R546" s="89"/>
      <c r="S546" s="49">
        <v>0</v>
      </c>
      <c r="T546" s="49">
        <v>3</v>
      </c>
      <c r="U546" s="50">
        <v>3.8</v>
      </c>
      <c r="V546" s="50">
        <v>0.000839</v>
      </c>
      <c r="W546" s="50">
        <v>0</v>
      </c>
      <c r="X546" s="50">
        <v>1.080397</v>
      </c>
      <c r="Y546" s="50">
        <v>0</v>
      </c>
      <c r="Z546" s="50">
        <v>0</v>
      </c>
      <c r="AA546" s="72">
        <v>546</v>
      </c>
      <c r="AB546" s="72"/>
      <c r="AC546" s="73"/>
      <c r="AD546" s="80" t="s">
        <v>2101</v>
      </c>
      <c r="AE546" s="80" t="s">
        <v>2597</v>
      </c>
      <c r="AF546" s="80"/>
      <c r="AG546" s="80"/>
      <c r="AH546" s="80"/>
      <c r="AI546" s="80"/>
      <c r="AJ546" s="87">
        <v>43988.551030092596</v>
      </c>
      <c r="AK546" s="85" t="str">
        <f>HYPERLINK("https://yt3.ggpht.com/ytc/AAUvwniktPwENevJZoGo_eBgQQWvoKLHYvesqgC89Kq19w=s88-c-k-c0x00ffffff-no-rj")</f>
        <v>https://yt3.ggpht.com/ytc/AAUvwniktPwENevJZoGo_eBgQQWvoKLHYvesqgC89Kq19w=s88-c-k-c0x00ffffff-no-rj</v>
      </c>
      <c r="AL546" s="80">
        <v>0</v>
      </c>
      <c r="AM546" s="80">
        <v>0</v>
      </c>
      <c r="AN546" s="80">
        <v>13</v>
      </c>
      <c r="AO546" s="80" t="b">
        <v>0</v>
      </c>
      <c r="AP546" s="80">
        <v>0</v>
      </c>
      <c r="AQ546" s="80"/>
      <c r="AR546" s="80"/>
      <c r="AS546" s="80" t="s">
        <v>2664</v>
      </c>
      <c r="AT546" s="85" t="str">
        <f>HYPERLINK("https://www.youtube.com/channel/UCy8XLhlIl992JrAP2hgCscQ")</f>
        <v>https://www.youtube.com/channel/UCy8XLhlIl992JrAP2hgCscQ</v>
      </c>
      <c r="AU546" s="80" t="str">
        <f>REPLACE(INDEX(GroupVertices[Group],MATCH(Vertices[[#This Row],[Vertex]],GroupVertices[Vertex],0)),1,1,"")</f>
        <v>2</v>
      </c>
      <c r="AV546" s="49">
        <v>3</v>
      </c>
      <c r="AW546" s="50">
        <v>4.477611940298507</v>
      </c>
      <c r="AX546" s="49">
        <v>3</v>
      </c>
      <c r="AY546" s="50">
        <v>4.477611940298507</v>
      </c>
      <c r="AZ546" s="49">
        <v>0</v>
      </c>
      <c r="BA546" s="50">
        <v>0</v>
      </c>
      <c r="BB546" s="49">
        <v>61</v>
      </c>
      <c r="BC546" s="50">
        <v>91.04477611940298</v>
      </c>
      <c r="BD546" s="49">
        <v>67</v>
      </c>
      <c r="BE546" s="49"/>
      <c r="BF546" s="49"/>
      <c r="BG546" s="49"/>
      <c r="BH546" s="49"/>
      <c r="BI546" s="49"/>
      <c r="BJ546" s="49"/>
      <c r="BK546" s="111" t="s">
        <v>4076</v>
      </c>
      <c r="BL546" s="111" t="s">
        <v>4076</v>
      </c>
      <c r="BM546" s="111" t="s">
        <v>4538</v>
      </c>
      <c r="BN546" s="111" t="s">
        <v>4538</v>
      </c>
      <c r="BO546" s="2"/>
      <c r="BP546" s="3"/>
      <c r="BQ546" s="3"/>
      <c r="BR546" s="3"/>
      <c r="BS546" s="3"/>
    </row>
    <row r="547" spans="1:71" ht="15">
      <c r="A547" s="65" t="s">
        <v>744</v>
      </c>
      <c r="B547" s="66"/>
      <c r="C547" s="66"/>
      <c r="D547" s="67">
        <v>150</v>
      </c>
      <c r="E547" s="69"/>
      <c r="F547" s="103" t="str">
        <f>HYPERLINK("https://yt3.ggpht.com/ytc/AAUvwniuA86jedD7oWwSAvxIULCvZOw0m8RhH8twyw=s88-c-k-c0x00ffffff-no-rj")</f>
        <v>https://yt3.ggpht.com/ytc/AAUvwniuA86jedD7oWwSAvxIULCvZOw0m8RhH8twyw=s88-c-k-c0x00ffffff-no-rj</v>
      </c>
      <c r="G547" s="66"/>
      <c r="H547" s="70" t="s">
        <v>2103</v>
      </c>
      <c r="I547" s="71"/>
      <c r="J547" s="71" t="s">
        <v>159</v>
      </c>
      <c r="K547" s="70" t="s">
        <v>2103</v>
      </c>
      <c r="L547" s="74">
        <v>1</v>
      </c>
      <c r="M547" s="75">
        <v>2424.3876953125</v>
      </c>
      <c r="N547" s="75">
        <v>1606.4752197265625</v>
      </c>
      <c r="O547" s="76"/>
      <c r="P547" s="77"/>
      <c r="Q547" s="77"/>
      <c r="R547" s="89"/>
      <c r="S547" s="49">
        <v>0</v>
      </c>
      <c r="T547" s="49">
        <v>1</v>
      </c>
      <c r="U547" s="50">
        <v>0</v>
      </c>
      <c r="V547" s="50">
        <v>0.001068</v>
      </c>
      <c r="W547" s="50">
        <v>0</v>
      </c>
      <c r="X547" s="50">
        <v>0.467912</v>
      </c>
      <c r="Y547" s="50">
        <v>0</v>
      </c>
      <c r="Z547" s="50">
        <v>0</v>
      </c>
      <c r="AA547" s="72">
        <v>547</v>
      </c>
      <c r="AB547" s="72"/>
      <c r="AC547" s="73"/>
      <c r="AD547" s="80" t="s">
        <v>2103</v>
      </c>
      <c r="AE547" s="80"/>
      <c r="AF547" s="80"/>
      <c r="AG547" s="80"/>
      <c r="AH547" s="80"/>
      <c r="AI547" s="80"/>
      <c r="AJ547" s="87">
        <v>42891.483252314814</v>
      </c>
      <c r="AK547" s="85" t="str">
        <f>HYPERLINK("https://yt3.ggpht.com/ytc/AAUvwniuA86jedD7oWwSAvxIULCvZOw0m8RhH8twyw=s88-c-k-c0x00ffffff-no-rj")</f>
        <v>https://yt3.ggpht.com/ytc/AAUvwniuA86jedD7oWwSAvxIULCvZOw0m8RhH8twyw=s88-c-k-c0x00ffffff-no-rj</v>
      </c>
      <c r="AL547" s="80">
        <v>0</v>
      </c>
      <c r="AM547" s="80">
        <v>0</v>
      </c>
      <c r="AN547" s="80">
        <v>0</v>
      </c>
      <c r="AO547" s="80" t="b">
        <v>0</v>
      </c>
      <c r="AP547" s="80">
        <v>0</v>
      </c>
      <c r="AQ547" s="80"/>
      <c r="AR547" s="80"/>
      <c r="AS547" s="80" t="s">
        <v>2664</v>
      </c>
      <c r="AT547" s="85" t="str">
        <f>HYPERLINK("https://www.youtube.com/channel/UCjWUEivaRP01IGG5QFmYZBA")</f>
        <v>https://www.youtube.com/channel/UCjWUEivaRP01IGG5QFmYZBA</v>
      </c>
      <c r="AU547" s="80" t="str">
        <f>REPLACE(INDEX(GroupVertices[Group],MATCH(Vertices[[#This Row],[Vertex]],GroupVertices[Vertex],0)),1,1,"")</f>
        <v>2</v>
      </c>
      <c r="AV547" s="49">
        <v>0</v>
      </c>
      <c r="AW547" s="50">
        <v>0</v>
      </c>
      <c r="AX547" s="49">
        <v>0</v>
      </c>
      <c r="AY547" s="50">
        <v>0</v>
      </c>
      <c r="AZ547" s="49">
        <v>0</v>
      </c>
      <c r="BA547" s="50">
        <v>0</v>
      </c>
      <c r="BB547" s="49">
        <v>1</v>
      </c>
      <c r="BC547" s="50">
        <v>100</v>
      </c>
      <c r="BD547" s="49">
        <v>1</v>
      </c>
      <c r="BE547" s="49"/>
      <c r="BF547" s="49"/>
      <c r="BG547" s="49"/>
      <c r="BH547" s="49"/>
      <c r="BI547" s="49"/>
      <c r="BJ547" s="49"/>
      <c r="BK547" s="111" t="s">
        <v>2390</v>
      </c>
      <c r="BL547" s="111" t="s">
        <v>2390</v>
      </c>
      <c r="BM547" s="111" t="s">
        <v>2390</v>
      </c>
      <c r="BN547" s="111" t="s">
        <v>2390</v>
      </c>
      <c r="BO547" s="2"/>
      <c r="BP547" s="3"/>
      <c r="BQ547" s="3"/>
      <c r="BR547" s="3"/>
      <c r="BS547" s="3"/>
    </row>
    <row r="548" spans="1:71" ht="15">
      <c r="A548" s="65" t="s">
        <v>745</v>
      </c>
      <c r="B548" s="66"/>
      <c r="C548" s="66"/>
      <c r="D548" s="67">
        <v>150</v>
      </c>
      <c r="E548" s="69"/>
      <c r="F548" s="103" t="str">
        <f>HYPERLINK("https://yt3.ggpht.com/ytc/AAUvwnh0NuJAnvRR7sngog03xZR4FSUfMAS4EcXQwOgNIkc=s88-c-k-c0x00ffffff-no-rj")</f>
        <v>https://yt3.ggpht.com/ytc/AAUvwnh0NuJAnvRR7sngog03xZR4FSUfMAS4EcXQwOgNIkc=s88-c-k-c0x00ffffff-no-rj</v>
      </c>
      <c r="G548" s="66"/>
      <c r="H548" s="70" t="s">
        <v>2104</v>
      </c>
      <c r="I548" s="71"/>
      <c r="J548" s="71" t="s">
        <v>159</v>
      </c>
      <c r="K548" s="70" t="s">
        <v>2104</v>
      </c>
      <c r="L548" s="74">
        <v>1</v>
      </c>
      <c r="M548" s="75">
        <v>2195.5732421875</v>
      </c>
      <c r="N548" s="75">
        <v>183.39230346679688</v>
      </c>
      <c r="O548" s="76"/>
      <c r="P548" s="77"/>
      <c r="Q548" s="77"/>
      <c r="R548" s="89"/>
      <c r="S548" s="49">
        <v>0</v>
      </c>
      <c r="T548" s="49">
        <v>1</v>
      </c>
      <c r="U548" s="50">
        <v>0</v>
      </c>
      <c r="V548" s="50">
        <v>0.000835</v>
      </c>
      <c r="W548" s="50">
        <v>0</v>
      </c>
      <c r="X548" s="50">
        <v>0.545161</v>
      </c>
      <c r="Y548" s="50">
        <v>0</v>
      </c>
      <c r="Z548" s="50">
        <v>0</v>
      </c>
      <c r="AA548" s="72">
        <v>548</v>
      </c>
      <c r="AB548" s="72"/>
      <c r="AC548" s="73"/>
      <c r="AD548" s="80" t="s">
        <v>2104</v>
      </c>
      <c r="AE548" s="80"/>
      <c r="AF548" s="80"/>
      <c r="AG548" s="80"/>
      <c r="AH548" s="80"/>
      <c r="AI548" s="80"/>
      <c r="AJ548" s="87">
        <v>42824.04043981482</v>
      </c>
      <c r="AK548" s="85" t="str">
        <f>HYPERLINK("https://yt3.ggpht.com/ytc/AAUvwnh0NuJAnvRR7sngog03xZR4FSUfMAS4EcXQwOgNIkc=s88-c-k-c0x00ffffff-no-rj")</f>
        <v>https://yt3.ggpht.com/ytc/AAUvwnh0NuJAnvRR7sngog03xZR4FSUfMAS4EcXQwOgNIkc=s88-c-k-c0x00ffffff-no-rj</v>
      </c>
      <c r="AL548" s="80">
        <v>0</v>
      </c>
      <c r="AM548" s="80">
        <v>0</v>
      </c>
      <c r="AN548" s="80">
        <v>11</v>
      </c>
      <c r="AO548" s="80" t="b">
        <v>0</v>
      </c>
      <c r="AP548" s="80">
        <v>0</v>
      </c>
      <c r="AQ548" s="80"/>
      <c r="AR548" s="80"/>
      <c r="AS548" s="80" t="s">
        <v>2664</v>
      </c>
      <c r="AT548" s="85" t="str">
        <f>HYPERLINK("https://www.youtube.com/channel/UCg_EfW_2gQANwFQOUyaDa2g")</f>
        <v>https://www.youtube.com/channel/UCg_EfW_2gQANwFQOUyaDa2g</v>
      </c>
      <c r="AU548" s="80" t="str">
        <f>REPLACE(INDEX(GroupVertices[Group],MATCH(Vertices[[#This Row],[Vertex]],GroupVertices[Vertex],0)),1,1,"")</f>
        <v>2</v>
      </c>
      <c r="AV548" s="49">
        <v>0</v>
      </c>
      <c r="AW548" s="50">
        <v>0</v>
      </c>
      <c r="AX548" s="49">
        <v>0</v>
      </c>
      <c r="AY548" s="50">
        <v>0</v>
      </c>
      <c r="AZ548" s="49">
        <v>0</v>
      </c>
      <c r="BA548" s="50">
        <v>0</v>
      </c>
      <c r="BB548" s="49">
        <v>2</v>
      </c>
      <c r="BC548" s="50">
        <v>100</v>
      </c>
      <c r="BD548" s="49">
        <v>2</v>
      </c>
      <c r="BE548" s="49"/>
      <c r="BF548" s="49"/>
      <c r="BG548" s="49"/>
      <c r="BH548" s="49"/>
      <c r="BI548" s="49"/>
      <c r="BJ548" s="49"/>
      <c r="BK548" s="111" t="s">
        <v>2390</v>
      </c>
      <c r="BL548" s="111" t="s">
        <v>2390</v>
      </c>
      <c r="BM548" s="111" t="s">
        <v>2390</v>
      </c>
      <c r="BN548" s="111" t="s">
        <v>2390</v>
      </c>
      <c r="BO548" s="2"/>
      <c r="BP548" s="3"/>
      <c r="BQ548" s="3"/>
      <c r="BR548" s="3"/>
      <c r="BS548" s="3"/>
    </row>
    <row r="549" spans="1:71" ht="15">
      <c r="A549" s="65" t="s">
        <v>747</v>
      </c>
      <c r="B549" s="66"/>
      <c r="C549" s="66"/>
      <c r="D549" s="67">
        <v>433.3333333333333</v>
      </c>
      <c r="E549" s="69"/>
      <c r="F549" s="103" t="str">
        <f>HYPERLINK("https://yt3.ggpht.com/ytc/AAUvwniBrLeVv2dubUv8rWjOe6ohD8Y61iJjMFJ3ZQ=s88-c-k-c0x00ffffff-no-rj")</f>
        <v>https://yt3.ggpht.com/ytc/AAUvwniBrLeVv2dubUv8rWjOe6ohD8Y61iJjMFJ3ZQ=s88-c-k-c0x00ffffff-no-rj</v>
      </c>
      <c r="G549" s="66"/>
      <c r="H549" s="70" t="s">
        <v>2106</v>
      </c>
      <c r="I549" s="71"/>
      <c r="J549" s="71" t="s">
        <v>75</v>
      </c>
      <c r="K549" s="70" t="s">
        <v>2106</v>
      </c>
      <c r="L549" s="74">
        <v>191.43809523809523</v>
      </c>
      <c r="M549" s="75">
        <v>2063.257080078125</v>
      </c>
      <c r="N549" s="75">
        <v>1060.2352294921875</v>
      </c>
      <c r="O549" s="76"/>
      <c r="P549" s="77"/>
      <c r="Q549" s="77"/>
      <c r="R549" s="89"/>
      <c r="S549" s="49">
        <v>2</v>
      </c>
      <c r="T549" s="49">
        <v>1</v>
      </c>
      <c r="U549" s="50">
        <v>1058</v>
      </c>
      <c r="V549" s="50">
        <v>0.001073</v>
      </c>
      <c r="W549" s="50">
        <v>0</v>
      </c>
      <c r="X549" s="50">
        <v>1.394686</v>
      </c>
      <c r="Y549" s="50">
        <v>0</v>
      </c>
      <c r="Z549" s="50">
        <v>0</v>
      </c>
      <c r="AA549" s="72">
        <v>549</v>
      </c>
      <c r="AB549" s="72"/>
      <c r="AC549" s="73"/>
      <c r="AD549" s="80" t="s">
        <v>2106</v>
      </c>
      <c r="AE549" s="80"/>
      <c r="AF549" s="80"/>
      <c r="AG549" s="80"/>
      <c r="AH549" s="80"/>
      <c r="AI549" s="80"/>
      <c r="AJ549" s="87">
        <v>43178.47723379629</v>
      </c>
      <c r="AK549" s="85" t="str">
        <f>HYPERLINK("https://yt3.ggpht.com/ytc/AAUvwniBrLeVv2dubUv8rWjOe6ohD8Y61iJjMFJ3ZQ=s88-c-k-c0x00ffffff-no-rj")</f>
        <v>https://yt3.ggpht.com/ytc/AAUvwniBrLeVv2dubUv8rWjOe6ohD8Y61iJjMFJ3ZQ=s88-c-k-c0x00ffffff-no-rj</v>
      </c>
      <c r="AL549" s="80">
        <v>0</v>
      </c>
      <c r="AM549" s="80">
        <v>0</v>
      </c>
      <c r="AN549" s="80">
        <v>0</v>
      </c>
      <c r="AO549" s="80" t="b">
        <v>0</v>
      </c>
      <c r="AP549" s="80">
        <v>0</v>
      </c>
      <c r="AQ549" s="80"/>
      <c r="AR549" s="80"/>
      <c r="AS549" s="80" t="s">
        <v>2664</v>
      </c>
      <c r="AT549" s="85" t="str">
        <f>HYPERLINK("https://www.youtube.com/channel/UCEVgc19AwijyWr7r4Ujk9LQ")</f>
        <v>https://www.youtube.com/channel/UCEVgc19AwijyWr7r4Ujk9LQ</v>
      </c>
      <c r="AU549" s="80" t="str">
        <f>REPLACE(INDEX(GroupVertices[Group],MATCH(Vertices[[#This Row],[Vertex]],GroupVertices[Vertex],0)),1,1,"")</f>
        <v>2</v>
      </c>
      <c r="AV549" s="49">
        <v>0</v>
      </c>
      <c r="AW549" s="50">
        <v>0</v>
      </c>
      <c r="AX549" s="49">
        <v>0</v>
      </c>
      <c r="AY549" s="50">
        <v>0</v>
      </c>
      <c r="AZ549" s="49">
        <v>0</v>
      </c>
      <c r="BA549" s="50">
        <v>0</v>
      </c>
      <c r="BB549" s="49">
        <v>2</v>
      </c>
      <c r="BC549" s="50">
        <v>100</v>
      </c>
      <c r="BD549" s="49">
        <v>2</v>
      </c>
      <c r="BE549" s="49"/>
      <c r="BF549" s="49"/>
      <c r="BG549" s="49"/>
      <c r="BH549" s="49"/>
      <c r="BI549" s="49"/>
      <c r="BJ549" s="49"/>
      <c r="BK549" s="111" t="s">
        <v>3098</v>
      </c>
      <c r="BL549" s="111" t="s">
        <v>3098</v>
      </c>
      <c r="BM549" s="111" t="s">
        <v>2390</v>
      </c>
      <c r="BN549" s="111" t="s">
        <v>2390</v>
      </c>
      <c r="BO549" s="2"/>
      <c r="BP549" s="3"/>
      <c r="BQ549" s="3"/>
      <c r="BR549" s="3"/>
      <c r="BS549" s="3"/>
    </row>
    <row r="550" spans="1:71" ht="15">
      <c r="A550" s="65" t="s">
        <v>746</v>
      </c>
      <c r="B550" s="66"/>
      <c r="C550" s="66"/>
      <c r="D550" s="67">
        <v>150</v>
      </c>
      <c r="E550" s="69"/>
      <c r="F550" s="103" t="str">
        <f>HYPERLINK("https://yt3.ggpht.com/ytc/AAUvwni_1NMqBa2j0G1rJtnGnY2PyfY1ni2ilZ3NeoyQ=s88-c-k-c0x00ffffff-no-rj")</f>
        <v>https://yt3.ggpht.com/ytc/AAUvwni_1NMqBa2j0G1rJtnGnY2PyfY1ni2ilZ3NeoyQ=s88-c-k-c0x00ffffff-no-rj</v>
      </c>
      <c r="G550" s="66"/>
      <c r="H550" s="70" t="s">
        <v>2105</v>
      </c>
      <c r="I550" s="71"/>
      <c r="J550" s="71" t="s">
        <v>159</v>
      </c>
      <c r="K550" s="70" t="s">
        <v>2105</v>
      </c>
      <c r="L550" s="74">
        <v>1</v>
      </c>
      <c r="M550" s="75">
        <v>2597.93017578125</v>
      </c>
      <c r="N550" s="75">
        <v>406.3838195800781</v>
      </c>
      <c r="O550" s="76"/>
      <c r="P550" s="77"/>
      <c r="Q550" s="77"/>
      <c r="R550" s="89"/>
      <c r="S550" s="49">
        <v>0</v>
      </c>
      <c r="T550" s="49">
        <v>1</v>
      </c>
      <c r="U550" s="50">
        <v>0</v>
      </c>
      <c r="V550" s="50">
        <v>0.000835</v>
      </c>
      <c r="W550" s="50">
        <v>0</v>
      </c>
      <c r="X550" s="50">
        <v>0.545161</v>
      </c>
      <c r="Y550" s="50">
        <v>0</v>
      </c>
      <c r="Z550" s="50">
        <v>0</v>
      </c>
      <c r="AA550" s="72">
        <v>550</v>
      </c>
      <c r="AB550" s="72"/>
      <c r="AC550" s="73"/>
      <c r="AD550" s="80" t="s">
        <v>2105</v>
      </c>
      <c r="AE550" s="80"/>
      <c r="AF550" s="80"/>
      <c r="AG550" s="80"/>
      <c r="AH550" s="80"/>
      <c r="AI550" s="80"/>
      <c r="AJ550" s="87">
        <v>43666.3699537037</v>
      </c>
      <c r="AK550" s="85" t="str">
        <f>HYPERLINK("https://yt3.ggpht.com/ytc/AAUvwni_1NMqBa2j0G1rJtnGnY2PyfY1ni2ilZ3NeoyQ=s88-c-k-c0x00ffffff-no-rj")</f>
        <v>https://yt3.ggpht.com/ytc/AAUvwni_1NMqBa2j0G1rJtnGnY2PyfY1ni2ilZ3NeoyQ=s88-c-k-c0x00ffffff-no-rj</v>
      </c>
      <c r="AL550" s="80">
        <v>434</v>
      </c>
      <c r="AM550" s="80">
        <v>0</v>
      </c>
      <c r="AN550" s="80">
        <v>21</v>
      </c>
      <c r="AO550" s="80" t="b">
        <v>0</v>
      </c>
      <c r="AP550" s="80">
        <v>6</v>
      </c>
      <c r="AQ550" s="80"/>
      <c r="AR550" s="80"/>
      <c r="AS550" s="80" t="s">
        <v>2664</v>
      </c>
      <c r="AT550" s="85" t="str">
        <f>HYPERLINK("https://www.youtube.com/channel/UCx54iSl43fUz1XysXN5bugg")</f>
        <v>https://www.youtube.com/channel/UCx54iSl43fUz1XysXN5bugg</v>
      </c>
      <c r="AU550" s="80" t="str">
        <f>REPLACE(INDEX(GroupVertices[Group],MATCH(Vertices[[#This Row],[Vertex]],GroupVertices[Vertex],0)),1,1,"")</f>
        <v>2</v>
      </c>
      <c r="AV550" s="49">
        <v>0</v>
      </c>
      <c r="AW550" s="50">
        <v>0</v>
      </c>
      <c r="AX550" s="49">
        <v>0</v>
      </c>
      <c r="AY550" s="50">
        <v>0</v>
      </c>
      <c r="AZ550" s="49">
        <v>0</v>
      </c>
      <c r="BA550" s="50">
        <v>0</v>
      </c>
      <c r="BB550" s="49">
        <v>1</v>
      </c>
      <c r="BC550" s="50">
        <v>100</v>
      </c>
      <c r="BD550" s="49">
        <v>1</v>
      </c>
      <c r="BE550" s="49"/>
      <c r="BF550" s="49"/>
      <c r="BG550" s="49"/>
      <c r="BH550" s="49"/>
      <c r="BI550" s="49"/>
      <c r="BJ550" s="49"/>
      <c r="BK550" s="111" t="s">
        <v>1059</v>
      </c>
      <c r="BL550" s="111" t="s">
        <v>1059</v>
      </c>
      <c r="BM550" s="111" t="s">
        <v>2390</v>
      </c>
      <c r="BN550" s="111" t="s">
        <v>2390</v>
      </c>
      <c r="BO550" s="2"/>
      <c r="BP550" s="3"/>
      <c r="BQ550" s="3"/>
      <c r="BR550" s="3"/>
      <c r="BS550" s="3"/>
    </row>
    <row r="551" spans="1:71" ht="15">
      <c r="A551" s="65" t="s">
        <v>748</v>
      </c>
      <c r="B551" s="66"/>
      <c r="C551" s="66"/>
      <c r="D551" s="67">
        <v>150</v>
      </c>
      <c r="E551" s="69"/>
      <c r="F551" s="103" t="str">
        <f>HYPERLINK("https://yt3.ggpht.com/ytc/AAUvwnjLmr4bI5C-wn44TJAuOZWwcxYepEdyraQG9A=s88-c-k-c0x00ffffff-no-rj")</f>
        <v>https://yt3.ggpht.com/ytc/AAUvwnjLmr4bI5C-wn44TJAuOZWwcxYepEdyraQG9A=s88-c-k-c0x00ffffff-no-rj</v>
      </c>
      <c r="G551" s="66"/>
      <c r="H551" s="70" t="s">
        <v>2107</v>
      </c>
      <c r="I551" s="71"/>
      <c r="J551" s="71" t="s">
        <v>159</v>
      </c>
      <c r="K551" s="70" t="s">
        <v>2107</v>
      </c>
      <c r="L551" s="74">
        <v>1</v>
      </c>
      <c r="M551" s="75">
        <v>3301.919677734375</v>
      </c>
      <c r="N551" s="75">
        <v>1654.1837158203125</v>
      </c>
      <c r="O551" s="76"/>
      <c r="P551" s="77"/>
      <c r="Q551" s="77"/>
      <c r="R551" s="89"/>
      <c r="S551" s="49">
        <v>0</v>
      </c>
      <c r="T551" s="49">
        <v>2</v>
      </c>
      <c r="U551" s="50">
        <v>1</v>
      </c>
      <c r="V551" s="50">
        <v>0.000835</v>
      </c>
      <c r="W551" s="50">
        <v>0</v>
      </c>
      <c r="X551" s="50">
        <v>0.857496</v>
      </c>
      <c r="Y551" s="50">
        <v>0</v>
      </c>
      <c r="Z551" s="50">
        <v>0</v>
      </c>
      <c r="AA551" s="72">
        <v>551</v>
      </c>
      <c r="AB551" s="72"/>
      <c r="AC551" s="73"/>
      <c r="AD551" s="80" t="s">
        <v>2107</v>
      </c>
      <c r="AE551" s="80"/>
      <c r="AF551" s="80"/>
      <c r="AG551" s="80"/>
      <c r="AH551" s="80"/>
      <c r="AI551" s="80"/>
      <c r="AJ551" s="87">
        <v>43360.34516203704</v>
      </c>
      <c r="AK551" s="85" t="str">
        <f>HYPERLINK("https://yt3.ggpht.com/ytc/AAUvwnjLmr4bI5C-wn44TJAuOZWwcxYepEdyraQG9A=s88-c-k-c0x00ffffff-no-rj")</f>
        <v>https://yt3.ggpht.com/ytc/AAUvwnjLmr4bI5C-wn44TJAuOZWwcxYepEdyraQG9A=s88-c-k-c0x00ffffff-no-rj</v>
      </c>
      <c r="AL551" s="80">
        <v>0</v>
      </c>
      <c r="AM551" s="80">
        <v>0</v>
      </c>
      <c r="AN551" s="80">
        <v>0</v>
      </c>
      <c r="AO551" s="80" t="b">
        <v>0</v>
      </c>
      <c r="AP551" s="80">
        <v>0</v>
      </c>
      <c r="AQ551" s="80"/>
      <c r="AR551" s="80"/>
      <c r="AS551" s="80" t="s">
        <v>2664</v>
      </c>
      <c r="AT551" s="85" t="str">
        <f>HYPERLINK("https://www.youtube.com/channel/UCSJfXviTNs8Tce09VU_uAKw")</f>
        <v>https://www.youtube.com/channel/UCSJfXviTNs8Tce09VU_uAKw</v>
      </c>
      <c r="AU551" s="80" t="str">
        <f>REPLACE(INDEX(GroupVertices[Group],MATCH(Vertices[[#This Row],[Vertex]],GroupVertices[Vertex],0)),1,1,"")</f>
        <v>2</v>
      </c>
      <c r="AV551" s="49">
        <v>2</v>
      </c>
      <c r="AW551" s="50">
        <v>3.125</v>
      </c>
      <c r="AX551" s="49">
        <v>0</v>
      </c>
      <c r="AY551" s="50">
        <v>0</v>
      </c>
      <c r="AZ551" s="49">
        <v>0</v>
      </c>
      <c r="BA551" s="50">
        <v>0</v>
      </c>
      <c r="BB551" s="49">
        <v>62</v>
      </c>
      <c r="BC551" s="50">
        <v>96.875</v>
      </c>
      <c r="BD551" s="49">
        <v>64</v>
      </c>
      <c r="BE551" s="49" t="s">
        <v>3421</v>
      </c>
      <c r="BF551" s="49" t="s">
        <v>3421</v>
      </c>
      <c r="BG551" s="49" t="s">
        <v>3485</v>
      </c>
      <c r="BH551" s="49" t="s">
        <v>3485</v>
      </c>
      <c r="BI551" s="49"/>
      <c r="BJ551" s="49"/>
      <c r="BK551" s="111" t="s">
        <v>4077</v>
      </c>
      <c r="BL551" s="111" t="s">
        <v>4140</v>
      </c>
      <c r="BM551" s="111" t="s">
        <v>4539</v>
      </c>
      <c r="BN551" s="111" t="s">
        <v>4587</v>
      </c>
      <c r="BO551" s="2"/>
      <c r="BP551" s="3"/>
      <c r="BQ551" s="3"/>
      <c r="BR551" s="3"/>
      <c r="BS551" s="3"/>
    </row>
    <row r="552" spans="1:71" ht="15">
      <c r="A552" s="65" t="s">
        <v>749</v>
      </c>
      <c r="B552" s="66"/>
      <c r="C552" s="66"/>
      <c r="D552" s="67">
        <v>291.66666666666663</v>
      </c>
      <c r="E552" s="69"/>
      <c r="F552" s="103" t="str">
        <f>HYPERLINK("https://yt3.ggpht.com/ytc/AAUvwnjaJn42sRr4ynHnIzNslvI4xs3VaWH7ERJRI3unhg=s88-c-k-c0x00ffffff-no-rj")</f>
        <v>https://yt3.ggpht.com/ytc/AAUvwnjaJn42sRr4ynHnIzNslvI4xs3VaWH7ERJRI3unhg=s88-c-k-c0x00ffffff-no-rj</v>
      </c>
      <c r="G552" s="66"/>
      <c r="H552" s="70" t="s">
        <v>2108</v>
      </c>
      <c r="I552" s="71"/>
      <c r="J552" s="71" t="s">
        <v>159</v>
      </c>
      <c r="K552" s="70" t="s">
        <v>2108</v>
      </c>
      <c r="L552" s="74">
        <v>96.21904761904761</v>
      </c>
      <c r="M552" s="75">
        <v>2560.34619140625</v>
      </c>
      <c r="N552" s="75">
        <v>1763.73876953125</v>
      </c>
      <c r="O552" s="76"/>
      <c r="P552" s="77"/>
      <c r="Q552" s="77"/>
      <c r="R552" s="89"/>
      <c r="S552" s="49">
        <v>1</v>
      </c>
      <c r="T552" s="49">
        <v>1</v>
      </c>
      <c r="U552" s="50">
        <v>264</v>
      </c>
      <c r="V552" s="50">
        <v>0.001071</v>
      </c>
      <c r="W552" s="50">
        <v>0</v>
      </c>
      <c r="X552" s="50">
        <v>0.832348</v>
      </c>
      <c r="Y552" s="50">
        <v>0</v>
      </c>
      <c r="Z552" s="50">
        <v>0</v>
      </c>
      <c r="AA552" s="72">
        <v>552</v>
      </c>
      <c r="AB552" s="72"/>
      <c r="AC552" s="73"/>
      <c r="AD552" s="80" t="s">
        <v>2108</v>
      </c>
      <c r="AE552" s="80"/>
      <c r="AF552" s="80"/>
      <c r="AG552" s="80"/>
      <c r="AH552" s="80"/>
      <c r="AI552" s="80"/>
      <c r="AJ552" s="87">
        <v>42899.75608796296</v>
      </c>
      <c r="AK552" s="85" t="str">
        <f>HYPERLINK("https://yt3.ggpht.com/ytc/AAUvwnjaJn42sRr4ynHnIzNslvI4xs3VaWH7ERJRI3unhg=s88-c-k-c0x00ffffff-no-rj")</f>
        <v>https://yt3.ggpht.com/ytc/AAUvwnjaJn42sRr4ynHnIzNslvI4xs3VaWH7ERJRI3unhg=s88-c-k-c0x00ffffff-no-rj</v>
      </c>
      <c r="AL552" s="80">
        <v>9</v>
      </c>
      <c r="AM552" s="80">
        <v>0</v>
      </c>
      <c r="AN552" s="80">
        <v>0</v>
      </c>
      <c r="AO552" s="80" t="b">
        <v>0</v>
      </c>
      <c r="AP552" s="80">
        <v>1</v>
      </c>
      <c r="AQ552" s="80"/>
      <c r="AR552" s="80"/>
      <c r="AS552" s="80" t="s">
        <v>2664</v>
      </c>
      <c r="AT552" s="85" t="str">
        <f>HYPERLINK("https://www.youtube.com/channel/UCSqoJhY0KeLismXnsp2wbGg")</f>
        <v>https://www.youtube.com/channel/UCSqoJhY0KeLismXnsp2wbGg</v>
      </c>
      <c r="AU552" s="80" t="str">
        <f>REPLACE(INDEX(GroupVertices[Group],MATCH(Vertices[[#This Row],[Vertex]],GroupVertices[Vertex],0)),1,1,"")</f>
        <v>2</v>
      </c>
      <c r="AV552" s="49">
        <v>4</v>
      </c>
      <c r="AW552" s="50">
        <v>8.695652173913043</v>
      </c>
      <c r="AX552" s="49">
        <v>2</v>
      </c>
      <c r="AY552" s="50">
        <v>4.3478260869565215</v>
      </c>
      <c r="AZ552" s="49">
        <v>0</v>
      </c>
      <c r="BA552" s="50">
        <v>0</v>
      </c>
      <c r="BB552" s="49">
        <v>40</v>
      </c>
      <c r="BC552" s="50">
        <v>86.95652173913044</v>
      </c>
      <c r="BD552" s="49">
        <v>46</v>
      </c>
      <c r="BE552" s="49"/>
      <c r="BF552" s="49"/>
      <c r="BG552" s="49"/>
      <c r="BH552" s="49"/>
      <c r="BI552" s="49"/>
      <c r="BJ552" s="49"/>
      <c r="BK552" s="111" t="s">
        <v>4078</v>
      </c>
      <c r="BL552" s="111" t="s">
        <v>4078</v>
      </c>
      <c r="BM552" s="111" t="s">
        <v>4540</v>
      </c>
      <c r="BN552" s="111" t="s">
        <v>4540</v>
      </c>
      <c r="BO552" s="2"/>
      <c r="BP552" s="3"/>
      <c r="BQ552" s="3"/>
      <c r="BR552" s="3"/>
      <c r="BS552" s="3"/>
    </row>
    <row r="553" spans="1:71" ht="15">
      <c r="A553" s="65" t="s">
        <v>750</v>
      </c>
      <c r="B553" s="66"/>
      <c r="C553" s="66"/>
      <c r="D553" s="67">
        <v>291.66666666666663</v>
      </c>
      <c r="E553" s="69"/>
      <c r="F553" s="103" t="str">
        <f>HYPERLINK("https://yt3.ggpht.com/ytc/AAUvwniG95sX_wpzp9E9ZDsDkZMgNNNZjrbk51hrynq3mw=s88-c-k-c0x00ffffff-no-rj")</f>
        <v>https://yt3.ggpht.com/ytc/AAUvwniG95sX_wpzp9E9ZDsDkZMgNNNZjrbk51hrynq3mw=s88-c-k-c0x00ffffff-no-rj</v>
      </c>
      <c r="G553" s="66"/>
      <c r="H553" s="70" t="s">
        <v>2109</v>
      </c>
      <c r="I553" s="71"/>
      <c r="J553" s="71" t="s">
        <v>159</v>
      </c>
      <c r="K553" s="70" t="s">
        <v>2109</v>
      </c>
      <c r="L553" s="74">
        <v>96.21904761904761</v>
      </c>
      <c r="M553" s="75">
        <v>2601.105712890625</v>
      </c>
      <c r="N553" s="75">
        <v>2178.707275390625</v>
      </c>
      <c r="O553" s="76"/>
      <c r="P553" s="77"/>
      <c r="Q553" s="77"/>
      <c r="R553" s="89"/>
      <c r="S553" s="49">
        <v>1</v>
      </c>
      <c r="T553" s="49">
        <v>1</v>
      </c>
      <c r="U553" s="50">
        <v>264</v>
      </c>
      <c r="V553" s="50">
        <v>0.001071</v>
      </c>
      <c r="W553" s="50">
        <v>0</v>
      </c>
      <c r="X553" s="50">
        <v>0.832348</v>
      </c>
      <c r="Y553" s="50">
        <v>0</v>
      </c>
      <c r="Z553" s="50">
        <v>0</v>
      </c>
      <c r="AA553" s="72">
        <v>553</v>
      </c>
      <c r="AB553" s="72"/>
      <c r="AC553" s="73"/>
      <c r="AD553" s="80" t="s">
        <v>2109</v>
      </c>
      <c r="AE553" s="80"/>
      <c r="AF553" s="80"/>
      <c r="AG553" s="80"/>
      <c r="AH553" s="80"/>
      <c r="AI553" s="80"/>
      <c r="AJ553" s="87">
        <v>42680.40519675926</v>
      </c>
      <c r="AK553" s="85" t="str">
        <f>HYPERLINK("https://yt3.ggpht.com/ytc/AAUvwniG95sX_wpzp9E9ZDsDkZMgNNNZjrbk51hrynq3mw=s88-c-k-c0x00ffffff-no-rj")</f>
        <v>https://yt3.ggpht.com/ytc/AAUvwniG95sX_wpzp9E9ZDsDkZMgNNNZjrbk51hrynq3mw=s88-c-k-c0x00ffffff-no-rj</v>
      </c>
      <c r="AL553" s="80">
        <v>0</v>
      </c>
      <c r="AM553" s="80">
        <v>0</v>
      </c>
      <c r="AN553" s="80">
        <v>2</v>
      </c>
      <c r="AO553" s="80" t="b">
        <v>0</v>
      </c>
      <c r="AP553" s="80">
        <v>0</v>
      </c>
      <c r="AQ553" s="80"/>
      <c r="AR553" s="80"/>
      <c r="AS553" s="80" t="s">
        <v>2664</v>
      </c>
      <c r="AT553" s="85" t="str">
        <f>HYPERLINK("https://www.youtube.com/channel/UCaXUE4Eg9DIxjSu3GuKHHJA")</f>
        <v>https://www.youtube.com/channel/UCaXUE4Eg9DIxjSu3GuKHHJA</v>
      </c>
      <c r="AU553" s="80" t="str">
        <f>REPLACE(INDEX(GroupVertices[Group],MATCH(Vertices[[#This Row],[Vertex]],GroupVertices[Vertex],0)),1,1,"")</f>
        <v>2</v>
      </c>
      <c r="AV553" s="49">
        <v>2</v>
      </c>
      <c r="AW553" s="50">
        <v>28.571428571428573</v>
      </c>
      <c r="AX553" s="49">
        <v>0</v>
      </c>
      <c r="AY553" s="50">
        <v>0</v>
      </c>
      <c r="AZ553" s="49">
        <v>0</v>
      </c>
      <c r="BA553" s="50">
        <v>0</v>
      </c>
      <c r="BB553" s="49">
        <v>5</v>
      </c>
      <c r="BC553" s="50">
        <v>71.42857142857143</v>
      </c>
      <c r="BD553" s="49">
        <v>7</v>
      </c>
      <c r="BE553" s="49"/>
      <c r="BF553" s="49"/>
      <c r="BG553" s="49"/>
      <c r="BH553" s="49"/>
      <c r="BI553" s="49"/>
      <c r="BJ553" s="49"/>
      <c r="BK553" s="111" t="s">
        <v>2792</v>
      </c>
      <c r="BL553" s="111" t="s">
        <v>2792</v>
      </c>
      <c r="BM553" s="111" t="s">
        <v>2390</v>
      </c>
      <c r="BN553" s="111" t="s">
        <v>2390</v>
      </c>
      <c r="BO553" s="2"/>
      <c r="BP553" s="3"/>
      <c r="BQ553" s="3"/>
      <c r="BR553" s="3"/>
      <c r="BS553" s="3"/>
    </row>
    <row r="554" spans="1:71" ht="15">
      <c r="A554" s="65" t="s">
        <v>751</v>
      </c>
      <c r="B554" s="66"/>
      <c r="C554" s="66"/>
      <c r="D554" s="67">
        <v>150</v>
      </c>
      <c r="E554" s="69"/>
      <c r="F554" s="103" t="str">
        <f>HYPERLINK("https://yt3.ggpht.com/ytc/AAUvwng9my-7u5APJNOvipGatF_WtNanmr_sq6PvKw=s88-c-k-c0x00ffffff-no-rj")</f>
        <v>https://yt3.ggpht.com/ytc/AAUvwng9my-7u5APJNOvipGatF_WtNanmr_sq6PvKw=s88-c-k-c0x00ffffff-no-rj</v>
      </c>
      <c r="G554" s="66"/>
      <c r="H554" s="70" t="s">
        <v>2110</v>
      </c>
      <c r="I554" s="71"/>
      <c r="J554" s="71" t="s">
        <v>159</v>
      </c>
      <c r="K554" s="70" t="s">
        <v>2110</v>
      </c>
      <c r="L554" s="74">
        <v>1</v>
      </c>
      <c r="M554" s="75">
        <v>1283.74365234375</v>
      </c>
      <c r="N554" s="75">
        <v>1779.598388671875</v>
      </c>
      <c r="O554" s="76"/>
      <c r="P554" s="77"/>
      <c r="Q554" s="77"/>
      <c r="R554" s="89"/>
      <c r="S554" s="49">
        <v>0</v>
      </c>
      <c r="T554" s="49">
        <v>1</v>
      </c>
      <c r="U554" s="50">
        <v>0</v>
      </c>
      <c r="V554" s="50">
        <v>0.001068</v>
      </c>
      <c r="W554" s="50">
        <v>0</v>
      </c>
      <c r="X554" s="50">
        <v>0.467912</v>
      </c>
      <c r="Y554" s="50">
        <v>0</v>
      </c>
      <c r="Z554" s="50">
        <v>0</v>
      </c>
      <c r="AA554" s="72">
        <v>554</v>
      </c>
      <c r="AB554" s="72"/>
      <c r="AC554" s="73"/>
      <c r="AD554" s="80" t="s">
        <v>2110</v>
      </c>
      <c r="AE554" s="80"/>
      <c r="AF554" s="80"/>
      <c r="AG554" s="80"/>
      <c r="AH554" s="80"/>
      <c r="AI554" s="80"/>
      <c r="AJ554" s="87">
        <v>42651.0725</v>
      </c>
      <c r="AK554" s="85" t="str">
        <f>HYPERLINK("https://yt3.ggpht.com/ytc/AAUvwng9my-7u5APJNOvipGatF_WtNanmr_sq6PvKw=s88-c-k-c0x00ffffff-no-rj")</f>
        <v>https://yt3.ggpht.com/ytc/AAUvwng9my-7u5APJNOvipGatF_WtNanmr_sq6PvKw=s88-c-k-c0x00ffffff-no-rj</v>
      </c>
      <c r="AL554" s="80">
        <v>0</v>
      </c>
      <c r="AM554" s="80">
        <v>0</v>
      </c>
      <c r="AN554" s="80">
        <v>0</v>
      </c>
      <c r="AO554" s="80" t="b">
        <v>0</v>
      </c>
      <c r="AP554" s="80">
        <v>0</v>
      </c>
      <c r="AQ554" s="80"/>
      <c r="AR554" s="80"/>
      <c r="AS554" s="80" t="s">
        <v>2664</v>
      </c>
      <c r="AT554" s="85" t="str">
        <f>HYPERLINK("https://www.youtube.com/channel/UCZPWJbdvBBrMxnzF6FiKm_A")</f>
        <v>https://www.youtube.com/channel/UCZPWJbdvBBrMxnzF6FiKm_A</v>
      </c>
      <c r="AU554" s="80" t="str">
        <f>REPLACE(INDEX(GroupVertices[Group],MATCH(Vertices[[#This Row],[Vertex]],GroupVertices[Vertex],0)),1,1,"")</f>
        <v>2</v>
      </c>
      <c r="AV554" s="49">
        <v>2</v>
      </c>
      <c r="AW554" s="50">
        <v>22.22222222222222</v>
      </c>
      <c r="AX554" s="49">
        <v>0</v>
      </c>
      <c r="AY554" s="50">
        <v>0</v>
      </c>
      <c r="AZ554" s="49">
        <v>0</v>
      </c>
      <c r="BA554" s="50">
        <v>0</v>
      </c>
      <c r="BB554" s="49">
        <v>7</v>
      </c>
      <c r="BC554" s="50">
        <v>77.77777777777777</v>
      </c>
      <c r="BD554" s="49">
        <v>9</v>
      </c>
      <c r="BE554" s="49"/>
      <c r="BF554" s="49"/>
      <c r="BG554" s="49"/>
      <c r="BH554" s="49"/>
      <c r="BI554" s="49"/>
      <c r="BJ554" s="49"/>
      <c r="BK554" s="111" t="s">
        <v>2732</v>
      </c>
      <c r="BL554" s="111" t="s">
        <v>2732</v>
      </c>
      <c r="BM554" s="111" t="s">
        <v>2390</v>
      </c>
      <c r="BN554" s="111" t="s">
        <v>2390</v>
      </c>
      <c r="BO554" s="2"/>
      <c r="BP554" s="3"/>
      <c r="BQ554" s="3"/>
      <c r="BR554" s="3"/>
      <c r="BS554" s="3"/>
    </row>
    <row r="555" spans="1:71" ht="15">
      <c r="A555" s="65" t="s">
        <v>752</v>
      </c>
      <c r="B555" s="66"/>
      <c r="C555" s="66"/>
      <c r="D555" s="67">
        <v>150</v>
      </c>
      <c r="E555" s="69"/>
      <c r="F555" s="103" t="str">
        <f>HYPERLINK("https://yt3.ggpht.com/ytc/AAUvwnh4nkio4QJtDjQzgclUGVqdxvQu0ymfxyTX1A=s88-c-k-c0x00ffffff-no-rj")</f>
        <v>https://yt3.ggpht.com/ytc/AAUvwnh4nkio4QJtDjQzgclUGVqdxvQu0ymfxyTX1A=s88-c-k-c0x00ffffff-no-rj</v>
      </c>
      <c r="G555" s="66"/>
      <c r="H555" s="70" t="s">
        <v>2111</v>
      </c>
      <c r="I555" s="71"/>
      <c r="J555" s="71" t="s">
        <v>159</v>
      </c>
      <c r="K555" s="70" t="s">
        <v>2111</v>
      </c>
      <c r="L555" s="74">
        <v>1</v>
      </c>
      <c r="M555" s="75">
        <v>1763.4090576171875</v>
      </c>
      <c r="N555" s="75">
        <v>1564.461181640625</v>
      </c>
      <c r="O555" s="76"/>
      <c r="P555" s="77"/>
      <c r="Q555" s="77"/>
      <c r="R555" s="89"/>
      <c r="S555" s="49">
        <v>0</v>
      </c>
      <c r="T555" s="49">
        <v>1</v>
      </c>
      <c r="U555" s="50">
        <v>0</v>
      </c>
      <c r="V555" s="50">
        <v>0.001068</v>
      </c>
      <c r="W555" s="50">
        <v>0</v>
      </c>
      <c r="X555" s="50">
        <v>0.467912</v>
      </c>
      <c r="Y555" s="50">
        <v>0</v>
      </c>
      <c r="Z555" s="50">
        <v>0</v>
      </c>
      <c r="AA555" s="72">
        <v>555</v>
      </c>
      <c r="AB555" s="72"/>
      <c r="AC555" s="73"/>
      <c r="AD555" s="80" t="s">
        <v>2111</v>
      </c>
      <c r="AE555" s="80"/>
      <c r="AF555" s="80"/>
      <c r="AG555" s="80"/>
      <c r="AH555" s="80"/>
      <c r="AI555" s="80"/>
      <c r="AJ555" s="87">
        <v>40862.002546296295</v>
      </c>
      <c r="AK555" s="85" t="str">
        <f>HYPERLINK("https://yt3.ggpht.com/ytc/AAUvwnh4nkio4QJtDjQzgclUGVqdxvQu0ymfxyTX1A=s88-c-k-c0x00ffffff-no-rj")</f>
        <v>https://yt3.ggpht.com/ytc/AAUvwnh4nkio4QJtDjQzgclUGVqdxvQu0ymfxyTX1A=s88-c-k-c0x00ffffff-no-rj</v>
      </c>
      <c r="AL555" s="80">
        <v>0</v>
      </c>
      <c r="AM555" s="80">
        <v>0</v>
      </c>
      <c r="AN555" s="80">
        <v>2</v>
      </c>
      <c r="AO555" s="80" t="b">
        <v>0</v>
      </c>
      <c r="AP555" s="80">
        <v>0</v>
      </c>
      <c r="AQ555" s="80"/>
      <c r="AR555" s="80"/>
      <c r="AS555" s="80" t="s">
        <v>2664</v>
      </c>
      <c r="AT555" s="85" t="str">
        <f>HYPERLINK("https://www.youtube.com/channel/UCNW4s2hXa_zbtclkv5hF0XA")</f>
        <v>https://www.youtube.com/channel/UCNW4s2hXa_zbtclkv5hF0XA</v>
      </c>
      <c r="AU555" s="80" t="str">
        <f>REPLACE(INDEX(GroupVertices[Group],MATCH(Vertices[[#This Row],[Vertex]],GroupVertices[Vertex],0)),1,1,"")</f>
        <v>2</v>
      </c>
      <c r="AV555" s="49">
        <v>2</v>
      </c>
      <c r="AW555" s="50">
        <v>0.8</v>
      </c>
      <c r="AX555" s="49">
        <v>9</v>
      </c>
      <c r="AY555" s="50">
        <v>3.6</v>
      </c>
      <c r="AZ555" s="49">
        <v>0</v>
      </c>
      <c r="BA555" s="50">
        <v>0</v>
      </c>
      <c r="BB555" s="49">
        <v>239</v>
      </c>
      <c r="BC555" s="50">
        <v>95.6</v>
      </c>
      <c r="BD555" s="49">
        <v>250</v>
      </c>
      <c r="BE555" s="49"/>
      <c r="BF555" s="49"/>
      <c r="BG555" s="49"/>
      <c r="BH555" s="49"/>
      <c r="BI555" s="49"/>
      <c r="BJ555" s="49"/>
      <c r="BK555" s="111" t="s">
        <v>4079</v>
      </c>
      <c r="BL555" s="111" t="s">
        <v>4141</v>
      </c>
      <c r="BM555" s="111" t="s">
        <v>4541</v>
      </c>
      <c r="BN555" s="111" t="s">
        <v>4541</v>
      </c>
      <c r="BO555" s="2"/>
      <c r="BP555" s="3"/>
      <c r="BQ555" s="3"/>
      <c r="BR555" s="3"/>
      <c r="BS555" s="3"/>
    </row>
    <row r="556" spans="1:71" ht="15">
      <c r="A556" s="65" t="s">
        <v>753</v>
      </c>
      <c r="B556" s="66"/>
      <c r="C556" s="66"/>
      <c r="D556" s="67">
        <v>150</v>
      </c>
      <c r="E556" s="69"/>
      <c r="F556" s="103" t="str">
        <f>HYPERLINK("https://yt3.ggpht.com/ytc/AAUvwng1iK8zKO3cpSUcFLOvo_99g3yTdf_rpOiJ1iOhcK4=s88-c-k-c0x00ffffff-no-rj")</f>
        <v>https://yt3.ggpht.com/ytc/AAUvwng1iK8zKO3cpSUcFLOvo_99g3yTdf_rpOiJ1iOhcK4=s88-c-k-c0x00ffffff-no-rj</v>
      </c>
      <c r="G556" s="66"/>
      <c r="H556" s="70" t="s">
        <v>2112</v>
      </c>
      <c r="I556" s="71"/>
      <c r="J556" s="71" t="s">
        <v>159</v>
      </c>
      <c r="K556" s="70" t="s">
        <v>2112</v>
      </c>
      <c r="L556" s="74">
        <v>1</v>
      </c>
      <c r="M556" s="75">
        <v>3375.45849609375</v>
      </c>
      <c r="N556" s="75">
        <v>2121.66015625</v>
      </c>
      <c r="O556" s="76"/>
      <c r="P556" s="77"/>
      <c r="Q556" s="77"/>
      <c r="R556" s="89"/>
      <c r="S556" s="49">
        <v>0</v>
      </c>
      <c r="T556" s="49">
        <v>1</v>
      </c>
      <c r="U556" s="50">
        <v>0</v>
      </c>
      <c r="V556" s="50">
        <v>0.000834</v>
      </c>
      <c r="W556" s="50">
        <v>0</v>
      </c>
      <c r="X556" s="50">
        <v>0.546165</v>
      </c>
      <c r="Y556" s="50">
        <v>0</v>
      </c>
      <c r="Z556" s="50">
        <v>0</v>
      </c>
      <c r="AA556" s="72">
        <v>556</v>
      </c>
      <c r="AB556" s="72"/>
      <c r="AC556" s="73"/>
      <c r="AD556" s="80" t="s">
        <v>2112</v>
      </c>
      <c r="AE556" s="80" t="s">
        <v>2598</v>
      </c>
      <c r="AF556" s="80"/>
      <c r="AG556" s="80"/>
      <c r="AH556" s="80"/>
      <c r="AI556" s="80"/>
      <c r="AJ556" s="87">
        <v>42371.83765046296</v>
      </c>
      <c r="AK556" s="85" t="str">
        <f>HYPERLINK("https://yt3.ggpht.com/ytc/AAUvwng1iK8zKO3cpSUcFLOvo_99g3yTdf_rpOiJ1iOhcK4=s88-c-k-c0x00ffffff-no-rj")</f>
        <v>https://yt3.ggpht.com/ytc/AAUvwng1iK8zKO3cpSUcFLOvo_99g3yTdf_rpOiJ1iOhcK4=s88-c-k-c0x00ffffff-no-rj</v>
      </c>
      <c r="AL556" s="80">
        <v>29</v>
      </c>
      <c r="AM556" s="80">
        <v>0</v>
      </c>
      <c r="AN556" s="80">
        <v>1</v>
      </c>
      <c r="AO556" s="80" t="b">
        <v>0</v>
      </c>
      <c r="AP556" s="80">
        <v>7</v>
      </c>
      <c r="AQ556" s="80"/>
      <c r="AR556" s="80"/>
      <c r="AS556" s="80" t="s">
        <v>2664</v>
      </c>
      <c r="AT556" s="85" t="str">
        <f>HYPERLINK("https://www.youtube.com/channel/UCQ0xORuuU7Ym_BOdcC7oH1A")</f>
        <v>https://www.youtube.com/channel/UCQ0xORuuU7Ym_BOdcC7oH1A</v>
      </c>
      <c r="AU556" s="80" t="str">
        <f>REPLACE(INDEX(GroupVertices[Group],MATCH(Vertices[[#This Row],[Vertex]],GroupVertices[Vertex],0)),1,1,"")</f>
        <v>2</v>
      </c>
      <c r="AV556" s="49">
        <v>0</v>
      </c>
      <c r="AW556" s="50">
        <v>0</v>
      </c>
      <c r="AX556" s="49">
        <v>0</v>
      </c>
      <c r="AY556" s="50">
        <v>0</v>
      </c>
      <c r="AZ556" s="49">
        <v>0</v>
      </c>
      <c r="BA556" s="50">
        <v>0</v>
      </c>
      <c r="BB556" s="49">
        <v>5</v>
      </c>
      <c r="BC556" s="50">
        <v>100</v>
      </c>
      <c r="BD556" s="49">
        <v>5</v>
      </c>
      <c r="BE556" s="49"/>
      <c r="BF556" s="49"/>
      <c r="BG556" s="49"/>
      <c r="BH556" s="49"/>
      <c r="BI556" s="49"/>
      <c r="BJ556" s="49"/>
      <c r="BK556" s="111" t="s">
        <v>4080</v>
      </c>
      <c r="BL556" s="111" t="s">
        <v>4080</v>
      </c>
      <c r="BM556" s="111" t="s">
        <v>4542</v>
      </c>
      <c r="BN556" s="111" t="s">
        <v>4542</v>
      </c>
      <c r="BO556" s="2"/>
      <c r="BP556" s="3"/>
      <c r="BQ556" s="3"/>
      <c r="BR556" s="3"/>
      <c r="BS556" s="3"/>
    </row>
    <row r="557" spans="1:71" ht="15">
      <c r="A557" s="65" t="s">
        <v>754</v>
      </c>
      <c r="B557" s="66"/>
      <c r="C557" s="66"/>
      <c r="D557" s="67">
        <v>291.66666666666663</v>
      </c>
      <c r="E557" s="69"/>
      <c r="F557" s="103" t="str">
        <f>HYPERLINK("https://yt3.ggpht.com/ytc/AAUvwnimJ56ECtrwRXiIPBTnNJpxT7zn61hRQSrDqw=s88-c-k-c0x00ffffff-no-rj")</f>
        <v>https://yt3.ggpht.com/ytc/AAUvwnimJ56ECtrwRXiIPBTnNJpxT7zn61hRQSrDqw=s88-c-k-c0x00ffffff-no-rj</v>
      </c>
      <c r="G557" s="66"/>
      <c r="H557" s="70" t="s">
        <v>2113</v>
      </c>
      <c r="I557" s="71"/>
      <c r="J557" s="71" t="s">
        <v>159</v>
      </c>
      <c r="K557" s="70" t="s">
        <v>2113</v>
      </c>
      <c r="L557" s="74">
        <v>96.21904761904761</v>
      </c>
      <c r="M557" s="75">
        <v>2604.030517578125</v>
      </c>
      <c r="N557" s="75">
        <v>2027.058837890625</v>
      </c>
      <c r="O557" s="76"/>
      <c r="P557" s="77"/>
      <c r="Q557" s="77"/>
      <c r="R557" s="89"/>
      <c r="S557" s="49">
        <v>1</v>
      </c>
      <c r="T557" s="49">
        <v>1</v>
      </c>
      <c r="U557" s="50">
        <v>530</v>
      </c>
      <c r="V557" s="50">
        <v>0.001071</v>
      </c>
      <c r="W557" s="50">
        <v>0</v>
      </c>
      <c r="X557" s="50">
        <v>0.932152</v>
      </c>
      <c r="Y557" s="50">
        <v>0</v>
      </c>
      <c r="Z557" s="50">
        <v>0</v>
      </c>
      <c r="AA557" s="72">
        <v>557</v>
      </c>
      <c r="AB557" s="72"/>
      <c r="AC557" s="73"/>
      <c r="AD557" s="80" t="s">
        <v>2113</v>
      </c>
      <c r="AE557" s="80"/>
      <c r="AF557" s="80"/>
      <c r="AG557" s="80"/>
      <c r="AH557" s="80"/>
      <c r="AI557" s="80"/>
      <c r="AJ557" s="87">
        <v>43527.619166666664</v>
      </c>
      <c r="AK557" s="85" t="str">
        <f>HYPERLINK("https://yt3.ggpht.com/ytc/AAUvwnimJ56ECtrwRXiIPBTnNJpxT7zn61hRQSrDqw=s88-c-k-c0x00ffffff-no-rj")</f>
        <v>https://yt3.ggpht.com/ytc/AAUvwnimJ56ECtrwRXiIPBTnNJpxT7zn61hRQSrDqw=s88-c-k-c0x00ffffff-no-rj</v>
      </c>
      <c r="AL557" s="80">
        <v>0</v>
      </c>
      <c r="AM557" s="80">
        <v>0</v>
      </c>
      <c r="AN557" s="80">
        <v>1</v>
      </c>
      <c r="AO557" s="80" t="b">
        <v>0</v>
      </c>
      <c r="AP557" s="80">
        <v>0</v>
      </c>
      <c r="AQ557" s="80"/>
      <c r="AR557" s="80"/>
      <c r="AS557" s="80" t="s">
        <v>2664</v>
      </c>
      <c r="AT557" s="85" t="str">
        <f>HYPERLINK("https://www.youtube.com/channel/UCrCIH0x2X9Nq-qc3OyNPLZQ")</f>
        <v>https://www.youtube.com/channel/UCrCIH0x2X9Nq-qc3OyNPLZQ</v>
      </c>
      <c r="AU557" s="80" t="str">
        <f>REPLACE(INDEX(GroupVertices[Group],MATCH(Vertices[[#This Row],[Vertex]],GroupVertices[Vertex],0)),1,1,"")</f>
        <v>2</v>
      </c>
      <c r="AV557" s="49">
        <v>1</v>
      </c>
      <c r="AW557" s="50">
        <v>33.333333333333336</v>
      </c>
      <c r="AX557" s="49">
        <v>0</v>
      </c>
      <c r="AY557" s="50">
        <v>0</v>
      </c>
      <c r="AZ557" s="49">
        <v>0</v>
      </c>
      <c r="BA557" s="50">
        <v>0</v>
      </c>
      <c r="BB557" s="49">
        <v>2</v>
      </c>
      <c r="BC557" s="50">
        <v>66.66666666666667</v>
      </c>
      <c r="BD557" s="49">
        <v>3</v>
      </c>
      <c r="BE557" s="49"/>
      <c r="BF557" s="49"/>
      <c r="BG557" s="49"/>
      <c r="BH557" s="49"/>
      <c r="BI557" s="49"/>
      <c r="BJ557" s="49"/>
      <c r="BK557" s="111" t="s">
        <v>4081</v>
      </c>
      <c r="BL557" s="111" t="s">
        <v>4081</v>
      </c>
      <c r="BM557" s="111" t="s">
        <v>4543</v>
      </c>
      <c r="BN557" s="111" t="s">
        <v>4543</v>
      </c>
      <c r="BO557" s="2"/>
      <c r="BP557" s="3"/>
      <c r="BQ557" s="3"/>
      <c r="BR557" s="3"/>
      <c r="BS557" s="3"/>
    </row>
    <row r="558" spans="1:71" ht="15">
      <c r="A558" s="65" t="s">
        <v>755</v>
      </c>
      <c r="B558" s="66"/>
      <c r="C558" s="66"/>
      <c r="D558" s="67">
        <v>291.66666666666663</v>
      </c>
      <c r="E558" s="69"/>
      <c r="F558" s="103" t="str">
        <f>HYPERLINK("https://yt3.ggpht.com/ytc/AAUvwnhlHAWfL4u58ry-yK5MMpJV2oIsKq1_v1DEh2CP=s88-c-k-c0x00ffffff-no-rj")</f>
        <v>https://yt3.ggpht.com/ytc/AAUvwnhlHAWfL4u58ry-yK5MMpJV2oIsKq1_v1DEh2CP=s88-c-k-c0x00ffffff-no-rj</v>
      </c>
      <c r="G558" s="66"/>
      <c r="H558" s="70" t="s">
        <v>2114</v>
      </c>
      <c r="I558" s="71"/>
      <c r="J558" s="71" t="s">
        <v>159</v>
      </c>
      <c r="K558" s="70" t="s">
        <v>2114</v>
      </c>
      <c r="L558" s="74">
        <v>96.21904761904761</v>
      </c>
      <c r="M558" s="75">
        <v>917.60693359375</v>
      </c>
      <c r="N558" s="75">
        <v>1952.4490966796875</v>
      </c>
      <c r="O558" s="76"/>
      <c r="P558" s="77"/>
      <c r="Q558" s="77"/>
      <c r="R558" s="89"/>
      <c r="S558" s="49">
        <v>1</v>
      </c>
      <c r="T558" s="49">
        <v>1</v>
      </c>
      <c r="U558" s="50">
        <v>161.6</v>
      </c>
      <c r="V558" s="50">
        <v>0.001071</v>
      </c>
      <c r="W558" s="50">
        <v>0</v>
      </c>
      <c r="X558" s="50">
        <v>0.774025</v>
      </c>
      <c r="Y558" s="50">
        <v>0</v>
      </c>
      <c r="Z558" s="50">
        <v>0</v>
      </c>
      <c r="AA558" s="72">
        <v>558</v>
      </c>
      <c r="AB558" s="72"/>
      <c r="AC558" s="73"/>
      <c r="AD558" s="80" t="s">
        <v>2114</v>
      </c>
      <c r="AE558" s="80"/>
      <c r="AF558" s="80"/>
      <c r="AG558" s="80"/>
      <c r="AH558" s="80"/>
      <c r="AI558" s="80"/>
      <c r="AJ558" s="87">
        <v>38965.766805555555</v>
      </c>
      <c r="AK558" s="85" t="str">
        <f>HYPERLINK("https://yt3.ggpht.com/ytc/AAUvwnhlHAWfL4u58ry-yK5MMpJV2oIsKq1_v1DEh2CP=s88-c-k-c0x00ffffff-no-rj")</f>
        <v>https://yt3.ggpht.com/ytc/AAUvwnhlHAWfL4u58ry-yK5MMpJV2oIsKq1_v1DEh2CP=s88-c-k-c0x00ffffff-no-rj</v>
      </c>
      <c r="AL558" s="80">
        <v>1074</v>
      </c>
      <c r="AM558" s="80">
        <v>0</v>
      </c>
      <c r="AN558" s="80">
        <v>4</v>
      </c>
      <c r="AO558" s="80" t="b">
        <v>0</v>
      </c>
      <c r="AP558" s="80">
        <v>12</v>
      </c>
      <c r="AQ558" s="80"/>
      <c r="AR558" s="80"/>
      <c r="AS558" s="80" t="s">
        <v>2664</v>
      </c>
      <c r="AT558" s="85" t="str">
        <f>HYPERLINK("https://www.youtube.com/channel/UClAJGOLHfWZyl6ZKqLEnJHg")</f>
        <v>https://www.youtube.com/channel/UClAJGOLHfWZyl6ZKqLEnJHg</v>
      </c>
      <c r="AU558" s="80" t="str">
        <f>REPLACE(INDEX(GroupVertices[Group],MATCH(Vertices[[#This Row],[Vertex]],GroupVertices[Vertex],0)),1,1,"")</f>
        <v>2</v>
      </c>
      <c r="AV558" s="49">
        <v>1</v>
      </c>
      <c r="AW558" s="50">
        <v>10</v>
      </c>
      <c r="AX558" s="49">
        <v>1</v>
      </c>
      <c r="AY558" s="50">
        <v>10</v>
      </c>
      <c r="AZ558" s="49">
        <v>0</v>
      </c>
      <c r="BA558" s="50">
        <v>0</v>
      </c>
      <c r="BB558" s="49">
        <v>8</v>
      </c>
      <c r="BC558" s="50">
        <v>80</v>
      </c>
      <c r="BD558" s="49">
        <v>10</v>
      </c>
      <c r="BE558" s="49"/>
      <c r="BF558" s="49"/>
      <c r="BG558" s="49"/>
      <c r="BH558" s="49"/>
      <c r="BI558" s="49"/>
      <c r="BJ558" s="49"/>
      <c r="BK558" s="111" t="s">
        <v>4082</v>
      </c>
      <c r="BL558" s="111" t="s">
        <v>4082</v>
      </c>
      <c r="BM558" s="111" t="s">
        <v>4544</v>
      </c>
      <c r="BN558" s="111" t="s">
        <v>4544</v>
      </c>
      <c r="BO558" s="2"/>
      <c r="BP558" s="3"/>
      <c r="BQ558" s="3"/>
      <c r="BR558" s="3"/>
      <c r="BS558" s="3"/>
    </row>
    <row r="559" spans="1:71" ht="15">
      <c r="A559" s="65" t="s">
        <v>756</v>
      </c>
      <c r="B559" s="66"/>
      <c r="C559" s="66"/>
      <c r="D559" s="67">
        <v>150</v>
      </c>
      <c r="E559" s="69"/>
      <c r="F559" s="103" t="str">
        <f>HYPERLINK("https://yt3.ggpht.com/ytc/AAUvwngXQz_FtUkH0QuYzJhRxggyHhH6Em-VmR9RM9XQdA=s88-c-k-c0x00ffffff-no-rj")</f>
        <v>https://yt3.ggpht.com/ytc/AAUvwngXQz_FtUkH0QuYzJhRxggyHhH6Em-VmR9RM9XQdA=s88-c-k-c0x00ffffff-no-rj</v>
      </c>
      <c r="G559" s="66"/>
      <c r="H559" s="70" t="s">
        <v>2115</v>
      </c>
      <c r="I559" s="71"/>
      <c r="J559" s="71" t="s">
        <v>159</v>
      </c>
      <c r="K559" s="70" t="s">
        <v>2115</v>
      </c>
      <c r="L559" s="74">
        <v>1</v>
      </c>
      <c r="M559" s="75">
        <v>1953.8656005859375</v>
      </c>
      <c r="N559" s="75">
        <v>2345.315673828125</v>
      </c>
      <c r="O559" s="76"/>
      <c r="P559" s="77"/>
      <c r="Q559" s="77"/>
      <c r="R559" s="89"/>
      <c r="S559" s="49">
        <v>0</v>
      </c>
      <c r="T559" s="49">
        <v>1</v>
      </c>
      <c r="U559" s="50">
        <v>0</v>
      </c>
      <c r="V559" s="50">
        <v>0.001068</v>
      </c>
      <c r="W559" s="50">
        <v>0</v>
      </c>
      <c r="X559" s="50">
        <v>0.467912</v>
      </c>
      <c r="Y559" s="50">
        <v>0</v>
      </c>
      <c r="Z559" s="50">
        <v>0</v>
      </c>
      <c r="AA559" s="72">
        <v>559</v>
      </c>
      <c r="AB559" s="72"/>
      <c r="AC559" s="73"/>
      <c r="AD559" s="80" t="s">
        <v>2115</v>
      </c>
      <c r="AE559" s="80"/>
      <c r="AF559" s="80"/>
      <c r="AG559" s="80"/>
      <c r="AH559" s="80"/>
      <c r="AI559" s="80"/>
      <c r="AJ559" s="87">
        <v>43895.64221064815</v>
      </c>
      <c r="AK559" s="85" t="str">
        <f>HYPERLINK("https://yt3.ggpht.com/ytc/AAUvwngXQz_FtUkH0QuYzJhRxggyHhH6Em-VmR9RM9XQdA=s88-c-k-c0x00ffffff-no-rj")</f>
        <v>https://yt3.ggpht.com/ytc/AAUvwngXQz_FtUkH0QuYzJhRxggyHhH6Em-VmR9RM9XQdA=s88-c-k-c0x00ffffff-no-rj</v>
      </c>
      <c r="AL559" s="80">
        <v>0</v>
      </c>
      <c r="AM559" s="80">
        <v>0</v>
      </c>
      <c r="AN559" s="80">
        <v>0</v>
      </c>
      <c r="AO559" s="80" t="b">
        <v>0</v>
      </c>
      <c r="AP559" s="80">
        <v>0</v>
      </c>
      <c r="AQ559" s="80"/>
      <c r="AR559" s="80"/>
      <c r="AS559" s="80" t="s">
        <v>2664</v>
      </c>
      <c r="AT559" s="85" t="str">
        <f>HYPERLINK("https://www.youtube.com/channel/UCy7nI1ISKSL4DabMq45Yzgg")</f>
        <v>https://www.youtube.com/channel/UCy7nI1ISKSL4DabMq45Yzgg</v>
      </c>
      <c r="AU559" s="80" t="str">
        <f>REPLACE(INDEX(GroupVertices[Group],MATCH(Vertices[[#This Row],[Vertex]],GroupVertices[Vertex],0)),1,1,"")</f>
        <v>2</v>
      </c>
      <c r="AV559" s="49">
        <v>2</v>
      </c>
      <c r="AW559" s="50">
        <v>20</v>
      </c>
      <c r="AX559" s="49">
        <v>0</v>
      </c>
      <c r="AY559" s="50">
        <v>0</v>
      </c>
      <c r="AZ559" s="49">
        <v>0</v>
      </c>
      <c r="BA559" s="50">
        <v>0</v>
      </c>
      <c r="BB559" s="49">
        <v>8</v>
      </c>
      <c r="BC559" s="50">
        <v>80</v>
      </c>
      <c r="BD559" s="49">
        <v>10</v>
      </c>
      <c r="BE559" s="49"/>
      <c r="BF559" s="49"/>
      <c r="BG559" s="49"/>
      <c r="BH559" s="49"/>
      <c r="BI559" s="49"/>
      <c r="BJ559" s="49"/>
      <c r="BK559" s="111" t="s">
        <v>2732</v>
      </c>
      <c r="BL559" s="111" t="s">
        <v>2732</v>
      </c>
      <c r="BM559" s="111" t="s">
        <v>2390</v>
      </c>
      <c r="BN559" s="111" t="s">
        <v>2390</v>
      </c>
      <c r="BO559" s="2"/>
      <c r="BP559" s="3"/>
      <c r="BQ559" s="3"/>
      <c r="BR559" s="3"/>
      <c r="BS559" s="3"/>
    </row>
    <row r="560" spans="1:71" ht="15">
      <c r="A560" s="65" t="s">
        <v>757</v>
      </c>
      <c r="B560" s="66"/>
      <c r="C560" s="66"/>
      <c r="D560" s="67">
        <v>1000</v>
      </c>
      <c r="E560" s="69"/>
      <c r="F560" s="103" t="str">
        <f>HYPERLINK("https://yt3.ggpht.com/n11YFB9p_4prxpz-0QZJforPYI8qU9aGk97UlHRqj7u-07a7lFe2qNDo0zS2PFENeuiR99Y4JQ=s88-c-k-c0x00ffffff-no-rj")</f>
        <v>https://yt3.ggpht.com/n11YFB9p_4prxpz-0QZJforPYI8qU9aGk97UlHRqj7u-07a7lFe2qNDo0zS2PFENeuiR99Y4JQ=s88-c-k-c0x00ffffff-no-rj</v>
      </c>
      <c r="G560" s="66"/>
      <c r="H560" s="70" t="s">
        <v>2116</v>
      </c>
      <c r="I560" s="71"/>
      <c r="J560" s="71" t="s">
        <v>75</v>
      </c>
      <c r="K560" s="70" t="s">
        <v>2116</v>
      </c>
      <c r="L560" s="74">
        <v>2571.9142857142856</v>
      </c>
      <c r="M560" s="75">
        <v>1765.01220703125</v>
      </c>
      <c r="N560" s="75">
        <v>3185.395263671875</v>
      </c>
      <c r="O560" s="76"/>
      <c r="P560" s="77"/>
      <c r="Q560" s="77"/>
      <c r="R560" s="89"/>
      <c r="S560" s="49">
        <v>27</v>
      </c>
      <c r="T560" s="49">
        <v>3</v>
      </c>
      <c r="U560" s="50">
        <v>11558.266667</v>
      </c>
      <c r="V560" s="50">
        <v>0.001148</v>
      </c>
      <c r="W560" s="50">
        <v>0</v>
      </c>
      <c r="X560" s="50">
        <v>11.277458</v>
      </c>
      <c r="Y560" s="50">
        <v>0.007936507936507936</v>
      </c>
      <c r="Z560" s="50">
        <v>0</v>
      </c>
      <c r="AA560" s="72">
        <v>560</v>
      </c>
      <c r="AB560" s="72"/>
      <c r="AC560" s="73"/>
      <c r="AD560" s="80" t="s">
        <v>2116</v>
      </c>
      <c r="AE560" s="80" t="s">
        <v>2599</v>
      </c>
      <c r="AF560" s="80"/>
      <c r="AG560" s="80"/>
      <c r="AH560" s="80"/>
      <c r="AI560" s="80" t="s">
        <v>2659</v>
      </c>
      <c r="AJ560" s="87">
        <v>42570.780011574076</v>
      </c>
      <c r="AK560" s="85" t="str">
        <f>HYPERLINK("https://yt3.ggpht.com/n11YFB9p_4prxpz-0QZJforPYI8qU9aGk97UlHRqj7u-07a7lFe2qNDo0zS2PFENeuiR99Y4JQ=s88-c-k-c0x00ffffff-no-rj")</f>
        <v>https://yt3.ggpht.com/n11YFB9p_4prxpz-0QZJforPYI8qU9aGk97UlHRqj7u-07a7lFe2qNDo0zS2PFENeuiR99Y4JQ=s88-c-k-c0x00ffffff-no-rj</v>
      </c>
      <c r="AL560" s="80">
        <v>3373819</v>
      </c>
      <c r="AM560" s="80">
        <v>0</v>
      </c>
      <c r="AN560" s="80">
        <v>2440</v>
      </c>
      <c r="AO560" s="80" t="b">
        <v>0</v>
      </c>
      <c r="AP560" s="80">
        <v>29</v>
      </c>
      <c r="AQ560" s="80"/>
      <c r="AR560" s="80"/>
      <c r="AS560" s="80" t="s">
        <v>2664</v>
      </c>
      <c r="AT560" s="85" t="str">
        <f>HYPERLINK("https://www.youtube.com/channel/UClnojW-58I9WE8weIj_0J9A")</f>
        <v>https://www.youtube.com/channel/UClnojW-58I9WE8weIj_0J9A</v>
      </c>
      <c r="AU560" s="80" t="str">
        <f>REPLACE(INDEX(GroupVertices[Group],MATCH(Vertices[[#This Row],[Vertex]],GroupVertices[Vertex],0)),1,1,"")</f>
        <v>2</v>
      </c>
      <c r="AV560" s="49">
        <v>1</v>
      </c>
      <c r="AW560" s="50">
        <v>2.6315789473684212</v>
      </c>
      <c r="AX560" s="49">
        <v>0</v>
      </c>
      <c r="AY560" s="50">
        <v>0</v>
      </c>
      <c r="AZ560" s="49">
        <v>0</v>
      </c>
      <c r="BA560" s="50">
        <v>0</v>
      </c>
      <c r="BB560" s="49">
        <v>37</v>
      </c>
      <c r="BC560" s="50">
        <v>97.36842105263158</v>
      </c>
      <c r="BD560" s="49">
        <v>38</v>
      </c>
      <c r="BE560" s="49"/>
      <c r="BF560" s="49"/>
      <c r="BG560" s="49"/>
      <c r="BH560" s="49"/>
      <c r="BI560" s="49"/>
      <c r="BJ560" s="49"/>
      <c r="BK560" s="111" t="s">
        <v>4083</v>
      </c>
      <c r="BL560" s="111" t="s">
        <v>4083</v>
      </c>
      <c r="BM560" s="111" t="s">
        <v>4545</v>
      </c>
      <c r="BN560" s="111" t="s">
        <v>4545</v>
      </c>
      <c r="BO560" s="2"/>
      <c r="BP560" s="3"/>
      <c r="BQ560" s="3"/>
      <c r="BR560" s="3"/>
      <c r="BS560" s="3"/>
    </row>
    <row r="561" spans="1:71" ht="15">
      <c r="A561" s="65" t="s">
        <v>758</v>
      </c>
      <c r="B561" s="66"/>
      <c r="C561" s="66"/>
      <c r="D561" s="67">
        <v>291.66666666666663</v>
      </c>
      <c r="E561" s="69"/>
      <c r="F561" s="103" t="str">
        <f>HYPERLINK("https://yt3.ggpht.com/ytc/AAUvwngIsibueP4_OdqcMFog9Z9zYDrdTntC0fhn9o2v=s88-c-k-c0x00ffffff-no-rj")</f>
        <v>https://yt3.ggpht.com/ytc/AAUvwngIsibueP4_OdqcMFog9Z9zYDrdTntC0fhn9o2v=s88-c-k-c0x00ffffff-no-rj</v>
      </c>
      <c r="G561" s="66"/>
      <c r="H561" s="70" t="s">
        <v>2117</v>
      </c>
      <c r="I561" s="71"/>
      <c r="J561" s="71" t="s">
        <v>159</v>
      </c>
      <c r="K561" s="70" t="s">
        <v>2117</v>
      </c>
      <c r="L561" s="74">
        <v>96.21904761904761</v>
      </c>
      <c r="M561" s="75">
        <v>1479.7139892578125</v>
      </c>
      <c r="N561" s="75">
        <v>2858.031982421875</v>
      </c>
      <c r="O561" s="76"/>
      <c r="P561" s="77"/>
      <c r="Q561" s="77"/>
      <c r="R561" s="89"/>
      <c r="S561" s="49">
        <v>1</v>
      </c>
      <c r="T561" s="49">
        <v>1</v>
      </c>
      <c r="U561" s="50">
        <v>0</v>
      </c>
      <c r="V561" s="50">
        <v>0.001103</v>
      </c>
      <c r="W561" s="50">
        <v>0</v>
      </c>
      <c r="X561" s="50">
        <v>0.798459</v>
      </c>
      <c r="Y561" s="50">
        <v>0.5</v>
      </c>
      <c r="Z561" s="50">
        <v>0</v>
      </c>
      <c r="AA561" s="72">
        <v>561</v>
      </c>
      <c r="AB561" s="72"/>
      <c r="AC561" s="73"/>
      <c r="AD561" s="80" t="s">
        <v>2117</v>
      </c>
      <c r="AE561" s="80" t="s">
        <v>2600</v>
      </c>
      <c r="AF561" s="80"/>
      <c r="AG561" s="80"/>
      <c r="AH561" s="80"/>
      <c r="AI561" s="80"/>
      <c r="AJ561" s="87">
        <v>42406.62678240741</v>
      </c>
      <c r="AK561" s="85" t="str">
        <f>HYPERLINK("https://yt3.ggpht.com/ytc/AAUvwngIsibueP4_OdqcMFog9Z9zYDrdTntC0fhn9o2v=s88-c-k-c0x00ffffff-no-rj")</f>
        <v>https://yt3.ggpht.com/ytc/AAUvwngIsibueP4_OdqcMFog9Z9zYDrdTntC0fhn9o2v=s88-c-k-c0x00ffffff-no-rj</v>
      </c>
      <c r="AL561" s="80">
        <v>102</v>
      </c>
      <c r="AM561" s="80">
        <v>0</v>
      </c>
      <c r="AN561" s="80">
        <v>5</v>
      </c>
      <c r="AO561" s="80" t="b">
        <v>0</v>
      </c>
      <c r="AP561" s="80">
        <v>4</v>
      </c>
      <c r="AQ561" s="80"/>
      <c r="AR561" s="80"/>
      <c r="AS561" s="80" t="s">
        <v>2664</v>
      </c>
      <c r="AT561" s="85" t="str">
        <f>HYPERLINK("https://www.youtube.com/channel/UCAT9SfyewrfIMlREAUYjJjA")</f>
        <v>https://www.youtube.com/channel/UCAT9SfyewrfIMlREAUYjJjA</v>
      </c>
      <c r="AU561" s="80" t="str">
        <f>REPLACE(INDEX(GroupVertices[Group],MATCH(Vertices[[#This Row],[Vertex]],GroupVertices[Vertex],0)),1,1,"")</f>
        <v>2</v>
      </c>
      <c r="AV561" s="49">
        <v>0</v>
      </c>
      <c r="AW561" s="50">
        <v>0</v>
      </c>
      <c r="AX561" s="49">
        <v>1</v>
      </c>
      <c r="AY561" s="50">
        <v>16.666666666666668</v>
      </c>
      <c r="AZ561" s="49">
        <v>0</v>
      </c>
      <c r="BA561" s="50">
        <v>0</v>
      </c>
      <c r="BB561" s="49">
        <v>5</v>
      </c>
      <c r="BC561" s="50">
        <v>83.33333333333333</v>
      </c>
      <c r="BD561" s="49">
        <v>6</v>
      </c>
      <c r="BE561" s="49"/>
      <c r="BF561" s="49"/>
      <c r="BG561" s="49"/>
      <c r="BH561" s="49"/>
      <c r="BI561" s="49"/>
      <c r="BJ561" s="49"/>
      <c r="BK561" s="111" t="s">
        <v>4084</v>
      </c>
      <c r="BL561" s="111" t="s">
        <v>4084</v>
      </c>
      <c r="BM561" s="111" t="s">
        <v>4546</v>
      </c>
      <c r="BN561" s="111" t="s">
        <v>4546</v>
      </c>
      <c r="BO561" s="2"/>
      <c r="BP561" s="3"/>
      <c r="BQ561" s="3"/>
      <c r="BR561" s="3"/>
      <c r="BS561" s="3"/>
    </row>
    <row r="562" spans="1:71" ht="15">
      <c r="A562" s="65" t="s">
        <v>759</v>
      </c>
      <c r="B562" s="66"/>
      <c r="C562" s="66"/>
      <c r="D562" s="67">
        <v>150</v>
      </c>
      <c r="E562" s="69"/>
      <c r="F562" s="103" t="str">
        <f>HYPERLINK("https://yt3.ggpht.com/ytc/AAUvwni1ucQUjPCZ8HawhJ2dfvKQmO50hY3bmw9WulVvjZw=s88-c-k-c0x00ffffff-no-rj")</f>
        <v>https://yt3.ggpht.com/ytc/AAUvwni1ucQUjPCZ8HawhJ2dfvKQmO50hY3bmw9WulVvjZw=s88-c-k-c0x00ffffff-no-rj</v>
      </c>
      <c r="G562" s="66"/>
      <c r="H562" s="70" t="s">
        <v>2118</v>
      </c>
      <c r="I562" s="71"/>
      <c r="J562" s="71" t="s">
        <v>159</v>
      </c>
      <c r="K562" s="70" t="s">
        <v>2118</v>
      </c>
      <c r="L562" s="74">
        <v>1</v>
      </c>
      <c r="M562" s="75">
        <v>1348.938720703125</v>
      </c>
      <c r="N562" s="75">
        <v>3987.954833984375</v>
      </c>
      <c r="O562" s="76"/>
      <c r="P562" s="77"/>
      <c r="Q562" s="77"/>
      <c r="R562" s="89"/>
      <c r="S562" s="49">
        <v>0</v>
      </c>
      <c r="T562" s="49">
        <v>1</v>
      </c>
      <c r="U562" s="50">
        <v>0</v>
      </c>
      <c r="V562" s="50">
        <v>0.00088</v>
      </c>
      <c r="W562" s="50">
        <v>0</v>
      </c>
      <c r="X562" s="50">
        <v>0.480546</v>
      </c>
      <c r="Y562" s="50">
        <v>0</v>
      </c>
      <c r="Z562" s="50">
        <v>0</v>
      </c>
      <c r="AA562" s="72">
        <v>562</v>
      </c>
      <c r="AB562" s="72"/>
      <c r="AC562" s="73"/>
      <c r="AD562" s="80" t="s">
        <v>2118</v>
      </c>
      <c r="AE562" s="80"/>
      <c r="AF562" s="80"/>
      <c r="AG562" s="80"/>
      <c r="AH562" s="80"/>
      <c r="AI562" s="80"/>
      <c r="AJ562" s="87">
        <v>40852.874606481484</v>
      </c>
      <c r="AK562" s="85" t="str">
        <f>HYPERLINK("https://yt3.ggpht.com/ytc/AAUvwni1ucQUjPCZ8HawhJ2dfvKQmO50hY3bmw9WulVvjZw=s88-c-k-c0x00ffffff-no-rj")</f>
        <v>https://yt3.ggpht.com/ytc/AAUvwni1ucQUjPCZ8HawhJ2dfvKQmO50hY3bmw9WulVvjZw=s88-c-k-c0x00ffffff-no-rj</v>
      </c>
      <c r="AL562" s="80">
        <v>0</v>
      </c>
      <c r="AM562" s="80">
        <v>0</v>
      </c>
      <c r="AN562" s="80">
        <v>3</v>
      </c>
      <c r="AO562" s="80" t="b">
        <v>0</v>
      </c>
      <c r="AP562" s="80">
        <v>0</v>
      </c>
      <c r="AQ562" s="80"/>
      <c r="AR562" s="80"/>
      <c r="AS562" s="80" t="s">
        <v>2664</v>
      </c>
      <c r="AT562" s="85" t="str">
        <f>HYPERLINK("https://www.youtube.com/channel/UCxnol9Dl-jD2QSEVc2EZxzg")</f>
        <v>https://www.youtube.com/channel/UCxnol9Dl-jD2QSEVc2EZxzg</v>
      </c>
      <c r="AU562" s="80" t="str">
        <f>REPLACE(INDEX(GroupVertices[Group],MATCH(Vertices[[#This Row],[Vertex]],GroupVertices[Vertex],0)),1,1,"")</f>
        <v>2</v>
      </c>
      <c r="AV562" s="49">
        <v>1</v>
      </c>
      <c r="AW562" s="50">
        <v>20</v>
      </c>
      <c r="AX562" s="49">
        <v>0</v>
      </c>
      <c r="AY562" s="50">
        <v>0</v>
      </c>
      <c r="AZ562" s="49">
        <v>0</v>
      </c>
      <c r="BA562" s="50">
        <v>0</v>
      </c>
      <c r="BB562" s="49">
        <v>4</v>
      </c>
      <c r="BC562" s="50">
        <v>80</v>
      </c>
      <c r="BD562" s="49">
        <v>5</v>
      </c>
      <c r="BE562" s="49"/>
      <c r="BF562" s="49"/>
      <c r="BG562" s="49"/>
      <c r="BH562" s="49"/>
      <c r="BI562" s="49"/>
      <c r="BJ562" s="49"/>
      <c r="BK562" s="111" t="s">
        <v>4085</v>
      </c>
      <c r="BL562" s="111" t="s">
        <v>4085</v>
      </c>
      <c r="BM562" s="111" t="s">
        <v>4547</v>
      </c>
      <c r="BN562" s="111" t="s">
        <v>4547</v>
      </c>
      <c r="BO562" s="2"/>
      <c r="BP562" s="3"/>
      <c r="BQ562" s="3"/>
      <c r="BR562" s="3"/>
      <c r="BS562" s="3"/>
    </row>
    <row r="563" spans="1:71" ht="15">
      <c r="A563" s="65" t="s">
        <v>760</v>
      </c>
      <c r="B563" s="66"/>
      <c r="C563" s="66"/>
      <c r="D563" s="67">
        <v>150</v>
      </c>
      <c r="E563" s="69"/>
      <c r="F563" s="103" t="str">
        <f>HYPERLINK("https://yt3.ggpht.com/ytc/AAUvwnjLud725HbUAL7syDis4VfnTgkt60NG2-jE6g2XSg=s88-c-k-c0x00ffffff-no-rj")</f>
        <v>https://yt3.ggpht.com/ytc/AAUvwnjLud725HbUAL7syDis4VfnTgkt60NG2-jE6g2XSg=s88-c-k-c0x00ffffff-no-rj</v>
      </c>
      <c r="G563" s="66"/>
      <c r="H563" s="70" t="s">
        <v>2119</v>
      </c>
      <c r="I563" s="71"/>
      <c r="J563" s="71" t="s">
        <v>159</v>
      </c>
      <c r="K563" s="70" t="s">
        <v>2119</v>
      </c>
      <c r="L563" s="74">
        <v>1</v>
      </c>
      <c r="M563" s="75">
        <v>870.0748901367188</v>
      </c>
      <c r="N563" s="75">
        <v>3503.556396484375</v>
      </c>
      <c r="O563" s="76"/>
      <c r="P563" s="77"/>
      <c r="Q563" s="77"/>
      <c r="R563" s="89"/>
      <c r="S563" s="49">
        <v>0</v>
      </c>
      <c r="T563" s="49">
        <v>1</v>
      </c>
      <c r="U563" s="50">
        <v>0</v>
      </c>
      <c r="V563" s="50">
        <v>0.00088</v>
      </c>
      <c r="W563" s="50">
        <v>0</v>
      </c>
      <c r="X563" s="50">
        <v>0.480546</v>
      </c>
      <c r="Y563" s="50">
        <v>0</v>
      </c>
      <c r="Z563" s="50">
        <v>0</v>
      </c>
      <c r="AA563" s="72">
        <v>563</v>
      </c>
      <c r="AB563" s="72"/>
      <c r="AC563" s="73"/>
      <c r="AD563" s="80" t="s">
        <v>2119</v>
      </c>
      <c r="AE563" s="80" t="s">
        <v>2601</v>
      </c>
      <c r="AF563" s="80"/>
      <c r="AG563" s="80"/>
      <c r="AH563" s="80"/>
      <c r="AI563" s="80"/>
      <c r="AJ563" s="87">
        <v>42658.82136574074</v>
      </c>
      <c r="AK563" s="85" t="str">
        <f>HYPERLINK("https://yt3.ggpht.com/ytc/AAUvwnjLud725HbUAL7syDis4VfnTgkt60NG2-jE6g2XSg=s88-c-k-c0x00ffffff-no-rj")</f>
        <v>https://yt3.ggpht.com/ytc/AAUvwnjLud725HbUAL7syDis4VfnTgkt60NG2-jE6g2XSg=s88-c-k-c0x00ffffff-no-rj</v>
      </c>
      <c r="AL563" s="80">
        <v>9</v>
      </c>
      <c r="AM563" s="80">
        <v>0</v>
      </c>
      <c r="AN563" s="80">
        <v>1</v>
      </c>
      <c r="AO563" s="80" t="b">
        <v>0</v>
      </c>
      <c r="AP563" s="80">
        <v>1</v>
      </c>
      <c r="AQ563" s="80"/>
      <c r="AR563" s="80"/>
      <c r="AS563" s="80" t="s">
        <v>2664</v>
      </c>
      <c r="AT563" s="85" t="str">
        <f>HYPERLINK("https://www.youtube.com/channel/UCL1rU-jRwC0itTwpu9z7Lmg")</f>
        <v>https://www.youtube.com/channel/UCL1rU-jRwC0itTwpu9z7Lmg</v>
      </c>
      <c r="AU563" s="80" t="str">
        <f>REPLACE(INDEX(GroupVertices[Group],MATCH(Vertices[[#This Row],[Vertex]],GroupVertices[Vertex],0)),1,1,"")</f>
        <v>2</v>
      </c>
      <c r="AV563" s="49">
        <v>0</v>
      </c>
      <c r="AW563" s="50">
        <v>0</v>
      </c>
      <c r="AX563" s="49">
        <v>0</v>
      </c>
      <c r="AY563" s="50">
        <v>0</v>
      </c>
      <c r="AZ563" s="49">
        <v>0</v>
      </c>
      <c r="BA563" s="50">
        <v>0</v>
      </c>
      <c r="BB563" s="49">
        <v>6</v>
      </c>
      <c r="BC563" s="50">
        <v>100</v>
      </c>
      <c r="BD563" s="49">
        <v>6</v>
      </c>
      <c r="BE563" s="49"/>
      <c r="BF563" s="49"/>
      <c r="BG563" s="49"/>
      <c r="BH563" s="49"/>
      <c r="BI563" s="49"/>
      <c r="BJ563" s="49"/>
      <c r="BK563" s="111" t="s">
        <v>4086</v>
      </c>
      <c r="BL563" s="111" t="s">
        <v>4086</v>
      </c>
      <c r="BM563" s="111" t="s">
        <v>4548</v>
      </c>
      <c r="BN563" s="111" t="s">
        <v>4548</v>
      </c>
      <c r="BO563" s="2"/>
      <c r="BP563" s="3"/>
      <c r="BQ563" s="3"/>
      <c r="BR563" s="3"/>
      <c r="BS563" s="3"/>
    </row>
    <row r="564" spans="1:71" ht="15">
      <c r="A564" s="65" t="s">
        <v>761</v>
      </c>
      <c r="B564" s="66"/>
      <c r="C564" s="66"/>
      <c r="D564" s="67">
        <v>150</v>
      </c>
      <c r="E564" s="69"/>
      <c r="F564" s="103" t="str">
        <f>HYPERLINK("https://yt3.ggpht.com/ytc/AAUvwnjJZtZ5seX68BQbnO7qNmjmoHdc6MPVi3eWvBQibw=s88-c-k-c0x00ffffff-no-rj")</f>
        <v>https://yt3.ggpht.com/ytc/AAUvwnjJZtZ5seX68BQbnO7qNmjmoHdc6MPVi3eWvBQibw=s88-c-k-c0x00ffffff-no-rj</v>
      </c>
      <c r="G564" s="66"/>
      <c r="H564" s="70" t="s">
        <v>2120</v>
      </c>
      <c r="I564" s="71"/>
      <c r="J564" s="71" t="s">
        <v>159</v>
      </c>
      <c r="K564" s="70" t="s">
        <v>2120</v>
      </c>
      <c r="L564" s="74">
        <v>1</v>
      </c>
      <c r="M564" s="75">
        <v>2672.7001953125</v>
      </c>
      <c r="N564" s="75">
        <v>3466.282470703125</v>
      </c>
      <c r="O564" s="76"/>
      <c r="P564" s="77"/>
      <c r="Q564" s="77"/>
      <c r="R564" s="89"/>
      <c r="S564" s="49">
        <v>0</v>
      </c>
      <c r="T564" s="49">
        <v>1</v>
      </c>
      <c r="U564" s="50">
        <v>0</v>
      </c>
      <c r="V564" s="50">
        <v>0.00088</v>
      </c>
      <c r="W564" s="50">
        <v>0</v>
      </c>
      <c r="X564" s="50">
        <v>0.480546</v>
      </c>
      <c r="Y564" s="50">
        <v>0</v>
      </c>
      <c r="Z564" s="50">
        <v>0</v>
      </c>
      <c r="AA564" s="72">
        <v>564</v>
      </c>
      <c r="AB564" s="72"/>
      <c r="AC564" s="73"/>
      <c r="AD564" s="80" t="s">
        <v>2120</v>
      </c>
      <c r="AE564" s="80"/>
      <c r="AF564" s="80"/>
      <c r="AG564" s="80"/>
      <c r="AH564" s="80"/>
      <c r="AI564" s="80"/>
      <c r="AJ564" s="87">
        <v>43450.76263888889</v>
      </c>
      <c r="AK564" s="85" t="str">
        <f>HYPERLINK("https://yt3.ggpht.com/ytc/AAUvwnjJZtZ5seX68BQbnO7qNmjmoHdc6MPVi3eWvBQibw=s88-c-k-c0x00ffffff-no-rj")</f>
        <v>https://yt3.ggpht.com/ytc/AAUvwnjJZtZ5seX68BQbnO7qNmjmoHdc6MPVi3eWvBQibw=s88-c-k-c0x00ffffff-no-rj</v>
      </c>
      <c r="AL564" s="80">
        <v>501</v>
      </c>
      <c r="AM564" s="80">
        <v>0</v>
      </c>
      <c r="AN564" s="80">
        <v>9</v>
      </c>
      <c r="AO564" s="80" t="b">
        <v>0</v>
      </c>
      <c r="AP564" s="80">
        <v>13</v>
      </c>
      <c r="AQ564" s="80"/>
      <c r="AR564" s="80"/>
      <c r="AS564" s="80" t="s">
        <v>2664</v>
      </c>
      <c r="AT564" s="85" t="str">
        <f>HYPERLINK("https://www.youtube.com/channel/UCPb6pOgqpY3ye-z9595hDyA")</f>
        <v>https://www.youtube.com/channel/UCPb6pOgqpY3ye-z9595hDyA</v>
      </c>
      <c r="AU564" s="80" t="str">
        <f>REPLACE(INDEX(GroupVertices[Group],MATCH(Vertices[[#This Row],[Vertex]],GroupVertices[Vertex],0)),1,1,"")</f>
        <v>2</v>
      </c>
      <c r="AV564" s="49">
        <v>0</v>
      </c>
      <c r="AW564" s="50">
        <v>0</v>
      </c>
      <c r="AX564" s="49">
        <v>0</v>
      </c>
      <c r="AY564" s="50">
        <v>0</v>
      </c>
      <c r="AZ564" s="49">
        <v>0</v>
      </c>
      <c r="BA564" s="50">
        <v>0</v>
      </c>
      <c r="BB564" s="49">
        <v>2</v>
      </c>
      <c r="BC564" s="50">
        <v>100</v>
      </c>
      <c r="BD564" s="49">
        <v>2</v>
      </c>
      <c r="BE564" s="49"/>
      <c r="BF564" s="49"/>
      <c r="BG564" s="49"/>
      <c r="BH564" s="49"/>
      <c r="BI564" s="49"/>
      <c r="BJ564" s="49"/>
      <c r="BK564" s="111" t="s">
        <v>4087</v>
      </c>
      <c r="BL564" s="111" t="s">
        <v>4087</v>
      </c>
      <c r="BM564" s="111" t="s">
        <v>2390</v>
      </c>
      <c r="BN564" s="111" t="s">
        <v>2390</v>
      </c>
      <c r="BO564" s="2"/>
      <c r="BP564" s="3"/>
      <c r="BQ564" s="3"/>
      <c r="BR564" s="3"/>
      <c r="BS564" s="3"/>
    </row>
    <row r="565" spans="1:71" ht="15">
      <c r="A565" s="65" t="s">
        <v>762</v>
      </c>
      <c r="B565" s="66"/>
      <c r="C565" s="66"/>
      <c r="D565" s="67">
        <v>150</v>
      </c>
      <c r="E565" s="69"/>
      <c r="F565" s="103" t="str">
        <f>HYPERLINK("https://yt3.ggpht.com/ytc/AAUvwnhVk-dxsZO2VXWk-kT66wOSFLjn1tasSB8beUMjZC4=s88-c-k-c0x00ffffff-no-rj")</f>
        <v>https://yt3.ggpht.com/ytc/AAUvwnhVk-dxsZO2VXWk-kT66wOSFLjn1tasSB8beUMjZC4=s88-c-k-c0x00ffffff-no-rj</v>
      </c>
      <c r="G565" s="66"/>
      <c r="H565" s="70" t="s">
        <v>2121</v>
      </c>
      <c r="I565" s="71"/>
      <c r="J565" s="71" t="s">
        <v>159</v>
      </c>
      <c r="K565" s="70" t="s">
        <v>2121</v>
      </c>
      <c r="L565" s="74">
        <v>1</v>
      </c>
      <c r="M565" s="75">
        <v>934.092041015625</v>
      </c>
      <c r="N565" s="75">
        <v>3623.494140625</v>
      </c>
      <c r="O565" s="76"/>
      <c r="P565" s="77"/>
      <c r="Q565" s="77"/>
      <c r="R565" s="89"/>
      <c r="S565" s="49">
        <v>0</v>
      </c>
      <c r="T565" s="49">
        <v>1</v>
      </c>
      <c r="U565" s="50">
        <v>0</v>
      </c>
      <c r="V565" s="50">
        <v>0.00088</v>
      </c>
      <c r="W565" s="50">
        <v>0</v>
      </c>
      <c r="X565" s="50">
        <v>0.480546</v>
      </c>
      <c r="Y565" s="50">
        <v>0</v>
      </c>
      <c r="Z565" s="50">
        <v>0</v>
      </c>
      <c r="AA565" s="72">
        <v>565</v>
      </c>
      <c r="AB565" s="72"/>
      <c r="AC565" s="73"/>
      <c r="AD565" s="80" t="s">
        <v>2121</v>
      </c>
      <c r="AE565" s="80"/>
      <c r="AF565" s="80"/>
      <c r="AG565" s="80"/>
      <c r="AH565" s="80"/>
      <c r="AI565" s="80"/>
      <c r="AJ565" s="87">
        <v>42260.203784722224</v>
      </c>
      <c r="AK565" s="85" t="str">
        <f>HYPERLINK("https://yt3.ggpht.com/ytc/AAUvwnhVk-dxsZO2VXWk-kT66wOSFLjn1tasSB8beUMjZC4=s88-c-k-c0x00ffffff-no-rj")</f>
        <v>https://yt3.ggpht.com/ytc/AAUvwnhVk-dxsZO2VXWk-kT66wOSFLjn1tasSB8beUMjZC4=s88-c-k-c0x00ffffff-no-rj</v>
      </c>
      <c r="AL565" s="80">
        <v>0</v>
      </c>
      <c r="AM565" s="80">
        <v>0</v>
      </c>
      <c r="AN565" s="80">
        <v>1</v>
      </c>
      <c r="AO565" s="80" t="b">
        <v>0</v>
      </c>
      <c r="AP565" s="80">
        <v>0</v>
      </c>
      <c r="AQ565" s="80"/>
      <c r="AR565" s="80"/>
      <c r="AS565" s="80" t="s">
        <v>2664</v>
      </c>
      <c r="AT565" s="85" t="str">
        <f>HYPERLINK("https://www.youtube.com/channel/UCtojG0-YFF6E_STBkGB9GlA")</f>
        <v>https://www.youtube.com/channel/UCtojG0-YFF6E_STBkGB9GlA</v>
      </c>
      <c r="AU565" s="80" t="str">
        <f>REPLACE(INDEX(GroupVertices[Group],MATCH(Vertices[[#This Row],[Vertex]],GroupVertices[Vertex],0)),1,1,"")</f>
        <v>2</v>
      </c>
      <c r="AV565" s="49">
        <v>0</v>
      </c>
      <c r="AW565" s="50">
        <v>0</v>
      </c>
      <c r="AX565" s="49">
        <v>0</v>
      </c>
      <c r="AY565" s="50">
        <v>0</v>
      </c>
      <c r="AZ565" s="49">
        <v>0</v>
      </c>
      <c r="BA565" s="50">
        <v>0</v>
      </c>
      <c r="BB565" s="49">
        <v>1</v>
      </c>
      <c r="BC565" s="50">
        <v>100</v>
      </c>
      <c r="BD565" s="49">
        <v>1</v>
      </c>
      <c r="BE565" s="49"/>
      <c r="BF565" s="49"/>
      <c r="BG565" s="49"/>
      <c r="BH565" s="49"/>
      <c r="BI565" s="49"/>
      <c r="BJ565" s="49"/>
      <c r="BK565" s="111" t="s">
        <v>2390</v>
      </c>
      <c r="BL565" s="111" t="s">
        <v>2390</v>
      </c>
      <c r="BM565" s="111" t="s">
        <v>2390</v>
      </c>
      <c r="BN565" s="111" t="s">
        <v>2390</v>
      </c>
      <c r="BO565" s="2"/>
      <c r="BP565" s="3"/>
      <c r="BQ565" s="3"/>
      <c r="BR565" s="3"/>
      <c r="BS565" s="3"/>
    </row>
    <row r="566" spans="1:71" ht="15">
      <c r="A566" s="65" t="s">
        <v>763</v>
      </c>
      <c r="B566" s="66"/>
      <c r="C566" s="66"/>
      <c r="D566" s="67">
        <v>150</v>
      </c>
      <c r="E566" s="69"/>
      <c r="F566" s="103" t="str">
        <f>HYPERLINK("https://yt3.ggpht.com/ytc/AAUvwnir0HXNHv-8FcP2E6aqoQaqsL2rkMY36dwkAZiw=s88-c-k-c0x00ffffff-no-rj")</f>
        <v>https://yt3.ggpht.com/ytc/AAUvwnir0HXNHv-8FcP2E6aqoQaqsL2rkMY36dwkAZiw=s88-c-k-c0x00ffffff-no-rj</v>
      </c>
      <c r="G566" s="66"/>
      <c r="H566" s="70" t="s">
        <v>2122</v>
      </c>
      <c r="I566" s="71"/>
      <c r="J566" s="71" t="s">
        <v>159</v>
      </c>
      <c r="K566" s="70" t="s">
        <v>2122</v>
      </c>
      <c r="L566" s="74">
        <v>1</v>
      </c>
      <c r="M566" s="75">
        <v>2571.444580078125</v>
      </c>
      <c r="N566" s="75">
        <v>3530.390625</v>
      </c>
      <c r="O566" s="76"/>
      <c r="P566" s="77"/>
      <c r="Q566" s="77"/>
      <c r="R566" s="89"/>
      <c r="S566" s="49">
        <v>0</v>
      </c>
      <c r="T566" s="49">
        <v>1</v>
      </c>
      <c r="U566" s="50">
        <v>0</v>
      </c>
      <c r="V566" s="50">
        <v>0.00088</v>
      </c>
      <c r="W566" s="50">
        <v>0</v>
      </c>
      <c r="X566" s="50">
        <v>0.480546</v>
      </c>
      <c r="Y566" s="50">
        <v>0</v>
      </c>
      <c r="Z566" s="50">
        <v>0</v>
      </c>
      <c r="AA566" s="72">
        <v>566</v>
      </c>
      <c r="AB566" s="72"/>
      <c r="AC566" s="73"/>
      <c r="AD566" s="80" t="s">
        <v>2122</v>
      </c>
      <c r="AE566" s="80" t="s">
        <v>2602</v>
      </c>
      <c r="AF566" s="80"/>
      <c r="AG566" s="80"/>
      <c r="AH566" s="80"/>
      <c r="AI566" s="80"/>
      <c r="AJ566" s="87">
        <v>42977.977106481485</v>
      </c>
      <c r="AK566" s="85" t="str">
        <f>HYPERLINK("https://yt3.ggpht.com/ytc/AAUvwnir0HXNHv-8FcP2E6aqoQaqsL2rkMY36dwkAZiw=s88-c-k-c0x00ffffff-no-rj")</f>
        <v>https://yt3.ggpht.com/ytc/AAUvwnir0HXNHv-8FcP2E6aqoQaqsL2rkMY36dwkAZiw=s88-c-k-c0x00ffffff-no-rj</v>
      </c>
      <c r="AL566" s="80">
        <v>19</v>
      </c>
      <c r="AM566" s="80">
        <v>0</v>
      </c>
      <c r="AN566" s="80">
        <v>7</v>
      </c>
      <c r="AO566" s="80" t="b">
        <v>0</v>
      </c>
      <c r="AP566" s="80">
        <v>1</v>
      </c>
      <c r="AQ566" s="80"/>
      <c r="AR566" s="80"/>
      <c r="AS566" s="80" t="s">
        <v>2664</v>
      </c>
      <c r="AT566" s="85" t="str">
        <f>HYPERLINK("https://www.youtube.com/channel/UCVWdrNV8bxniNzRsFK-sBtg")</f>
        <v>https://www.youtube.com/channel/UCVWdrNV8bxniNzRsFK-sBtg</v>
      </c>
      <c r="AU566" s="80" t="str">
        <f>REPLACE(INDEX(GroupVertices[Group],MATCH(Vertices[[#This Row],[Vertex]],GroupVertices[Vertex],0)),1,1,"")</f>
        <v>2</v>
      </c>
      <c r="AV566" s="49">
        <v>0</v>
      </c>
      <c r="AW566" s="50">
        <v>0</v>
      </c>
      <c r="AX566" s="49">
        <v>0</v>
      </c>
      <c r="AY566" s="50">
        <v>0</v>
      </c>
      <c r="AZ566" s="49">
        <v>0</v>
      </c>
      <c r="BA566" s="50">
        <v>0</v>
      </c>
      <c r="BB566" s="49">
        <v>5</v>
      </c>
      <c r="BC566" s="50">
        <v>100</v>
      </c>
      <c r="BD566" s="49">
        <v>5</v>
      </c>
      <c r="BE566" s="49"/>
      <c r="BF566" s="49"/>
      <c r="BG566" s="49"/>
      <c r="BH566" s="49"/>
      <c r="BI566" s="49"/>
      <c r="BJ566" s="49"/>
      <c r="BK566" s="111" t="s">
        <v>2762</v>
      </c>
      <c r="BL566" s="111" t="s">
        <v>2762</v>
      </c>
      <c r="BM566" s="111" t="s">
        <v>2390</v>
      </c>
      <c r="BN566" s="111" t="s">
        <v>2390</v>
      </c>
      <c r="BO566" s="2"/>
      <c r="BP566" s="3"/>
      <c r="BQ566" s="3"/>
      <c r="BR566" s="3"/>
      <c r="BS566" s="3"/>
    </row>
    <row r="567" spans="1:71" ht="15">
      <c r="A567" s="65" t="s">
        <v>764</v>
      </c>
      <c r="B567" s="66"/>
      <c r="C567" s="66"/>
      <c r="D567" s="67">
        <v>150</v>
      </c>
      <c r="E567" s="69"/>
      <c r="F567" s="103" t="str">
        <f>HYPERLINK("https://yt3.ggpht.com/ytc/AAUvwnjMUNtiYhW9VpqEv4-E3yXWHPnby5A-BLprAajvDg=s88-c-k-c0x00ffffff-no-rj")</f>
        <v>https://yt3.ggpht.com/ytc/AAUvwnjMUNtiYhW9VpqEv4-E3yXWHPnby5A-BLprAajvDg=s88-c-k-c0x00ffffff-no-rj</v>
      </c>
      <c r="G567" s="66"/>
      <c r="H567" s="70" t="s">
        <v>2123</v>
      </c>
      <c r="I567" s="71"/>
      <c r="J567" s="71" t="s">
        <v>159</v>
      </c>
      <c r="K567" s="70" t="s">
        <v>2123</v>
      </c>
      <c r="L567" s="74">
        <v>1</v>
      </c>
      <c r="M567" s="75">
        <v>1767.82470703125</v>
      </c>
      <c r="N567" s="75">
        <v>4074.737060546875</v>
      </c>
      <c r="O567" s="76"/>
      <c r="P567" s="77"/>
      <c r="Q567" s="77"/>
      <c r="R567" s="89"/>
      <c r="S567" s="49">
        <v>0</v>
      </c>
      <c r="T567" s="49">
        <v>1</v>
      </c>
      <c r="U567" s="50">
        <v>0</v>
      </c>
      <c r="V567" s="50">
        <v>0.00088</v>
      </c>
      <c r="W567" s="50">
        <v>0</v>
      </c>
      <c r="X567" s="50">
        <v>0.480546</v>
      </c>
      <c r="Y567" s="50">
        <v>0</v>
      </c>
      <c r="Z567" s="50">
        <v>0</v>
      </c>
      <c r="AA567" s="72">
        <v>567</v>
      </c>
      <c r="AB567" s="72"/>
      <c r="AC567" s="73"/>
      <c r="AD567" s="80" t="s">
        <v>2123</v>
      </c>
      <c r="AE567" s="80" t="s">
        <v>2603</v>
      </c>
      <c r="AF567" s="80"/>
      <c r="AG567" s="80"/>
      <c r="AH567" s="80"/>
      <c r="AI567" s="80"/>
      <c r="AJ567" s="87">
        <v>42374.92780092593</v>
      </c>
      <c r="AK567" s="85" t="str">
        <f>HYPERLINK("https://yt3.ggpht.com/ytc/AAUvwnjMUNtiYhW9VpqEv4-E3yXWHPnby5A-BLprAajvDg=s88-c-k-c0x00ffffff-no-rj")</f>
        <v>https://yt3.ggpht.com/ytc/AAUvwnjMUNtiYhW9VpqEv4-E3yXWHPnby5A-BLprAajvDg=s88-c-k-c0x00ffffff-no-rj</v>
      </c>
      <c r="AL567" s="80">
        <v>301</v>
      </c>
      <c r="AM567" s="80">
        <v>0</v>
      </c>
      <c r="AN567" s="80">
        <v>36</v>
      </c>
      <c r="AO567" s="80" t="b">
        <v>0</v>
      </c>
      <c r="AP567" s="80">
        <v>1</v>
      </c>
      <c r="AQ567" s="80"/>
      <c r="AR567" s="80"/>
      <c r="AS567" s="80" t="s">
        <v>2664</v>
      </c>
      <c r="AT567" s="85" t="str">
        <f>HYPERLINK("https://www.youtube.com/channel/UC0-aV8W_jMNPr6pkPHoHklA")</f>
        <v>https://www.youtube.com/channel/UC0-aV8W_jMNPr6pkPHoHklA</v>
      </c>
      <c r="AU567" s="80" t="str">
        <f>REPLACE(INDEX(GroupVertices[Group],MATCH(Vertices[[#This Row],[Vertex]],GroupVertices[Vertex],0)),1,1,"")</f>
        <v>2</v>
      </c>
      <c r="AV567" s="49">
        <v>1</v>
      </c>
      <c r="AW567" s="50">
        <v>100</v>
      </c>
      <c r="AX567" s="49">
        <v>0</v>
      </c>
      <c r="AY567" s="50">
        <v>0</v>
      </c>
      <c r="AZ567" s="49">
        <v>0</v>
      </c>
      <c r="BA567" s="50">
        <v>0</v>
      </c>
      <c r="BB567" s="49">
        <v>0</v>
      </c>
      <c r="BC567" s="50">
        <v>0</v>
      </c>
      <c r="BD567" s="49">
        <v>1</v>
      </c>
      <c r="BE567" s="49"/>
      <c r="BF567" s="49"/>
      <c r="BG567" s="49"/>
      <c r="BH567" s="49"/>
      <c r="BI567" s="49"/>
      <c r="BJ567" s="49"/>
      <c r="BK567" s="111" t="s">
        <v>2754</v>
      </c>
      <c r="BL567" s="111" t="s">
        <v>2754</v>
      </c>
      <c r="BM567" s="111" t="s">
        <v>2390</v>
      </c>
      <c r="BN567" s="111" t="s">
        <v>2390</v>
      </c>
      <c r="BO567" s="2"/>
      <c r="BP567" s="3"/>
      <c r="BQ567" s="3"/>
      <c r="BR567" s="3"/>
      <c r="BS567" s="3"/>
    </row>
    <row r="568" spans="1:71" ht="15">
      <c r="A568" s="65" t="s">
        <v>765</v>
      </c>
      <c r="B568" s="66"/>
      <c r="C568" s="66"/>
      <c r="D568" s="67">
        <v>150</v>
      </c>
      <c r="E568" s="69"/>
      <c r="F568" s="103" t="str">
        <f>HYPERLINK("https://yt3.ggpht.com/ytc/AAUvwnjpFFy5SAUkuvUehl5c5q8LXu4gFriuVkYRnw=s88-c-k-c0x00ffffff-no-rj")</f>
        <v>https://yt3.ggpht.com/ytc/AAUvwnjpFFy5SAUkuvUehl5c5q8LXu4gFriuVkYRnw=s88-c-k-c0x00ffffff-no-rj</v>
      </c>
      <c r="G568" s="66"/>
      <c r="H568" s="70" t="s">
        <v>2124</v>
      </c>
      <c r="I568" s="71"/>
      <c r="J568" s="71" t="s">
        <v>159</v>
      </c>
      <c r="K568" s="70" t="s">
        <v>2124</v>
      </c>
      <c r="L568" s="74">
        <v>1</v>
      </c>
      <c r="M568" s="75">
        <v>1961.7313232421875</v>
      </c>
      <c r="N568" s="75">
        <v>4035.288330078125</v>
      </c>
      <c r="O568" s="76"/>
      <c r="P568" s="77"/>
      <c r="Q568" s="77"/>
      <c r="R568" s="89"/>
      <c r="S568" s="49">
        <v>0</v>
      </c>
      <c r="T568" s="49">
        <v>1</v>
      </c>
      <c r="U568" s="50">
        <v>0</v>
      </c>
      <c r="V568" s="50">
        <v>0.00088</v>
      </c>
      <c r="W568" s="50">
        <v>0</v>
      </c>
      <c r="X568" s="50">
        <v>0.480546</v>
      </c>
      <c r="Y568" s="50">
        <v>0</v>
      </c>
      <c r="Z568" s="50">
        <v>0</v>
      </c>
      <c r="AA568" s="72">
        <v>568</v>
      </c>
      <c r="AB568" s="72"/>
      <c r="AC568" s="73"/>
      <c r="AD568" s="80" t="s">
        <v>2124</v>
      </c>
      <c r="AE568" s="80"/>
      <c r="AF568" s="80"/>
      <c r="AG568" s="80"/>
      <c r="AH568" s="80"/>
      <c r="AI568" s="80"/>
      <c r="AJ568" s="87">
        <v>44039.295625</v>
      </c>
      <c r="AK568" s="85" t="str">
        <f>HYPERLINK("https://yt3.ggpht.com/ytc/AAUvwnjpFFy5SAUkuvUehl5c5q8LXu4gFriuVkYRnw=s88-c-k-c0x00ffffff-no-rj")</f>
        <v>https://yt3.ggpht.com/ytc/AAUvwnjpFFy5SAUkuvUehl5c5q8LXu4gFriuVkYRnw=s88-c-k-c0x00ffffff-no-rj</v>
      </c>
      <c r="AL568" s="80">
        <v>0</v>
      </c>
      <c r="AM568" s="80">
        <v>0</v>
      </c>
      <c r="AN568" s="80">
        <v>0</v>
      </c>
      <c r="AO568" s="80" t="b">
        <v>0</v>
      </c>
      <c r="AP568" s="80">
        <v>0</v>
      </c>
      <c r="AQ568" s="80"/>
      <c r="AR568" s="80"/>
      <c r="AS568" s="80" t="s">
        <v>2664</v>
      </c>
      <c r="AT568" s="85" t="str">
        <f>HYPERLINK("https://www.youtube.com/channel/UCnr_NEU1KQ6uBsB0-pj7Z2Q")</f>
        <v>https://www.youtube.com/channel/UCnr_NEU1KQ6uBsB0-pj7Z2Q</v>
      </c>
      <c r="AU568" s="80" t="str">
        <f>REPLACE(INDEX(GroupVertices[Group],MATCH(Vertices[[#This Row],[Vertex]],GroupVertices[Vertex],0)),1,1,"")</f>
        <v>2</v>
      </c>
      <c r="AV568" s="49">
        <v>0</v>
      </c>
      <c r="AW568" s="50">
        <v>0</v>
      </c>
      <c r="AX568" s="49">
        <v>0</v>
      </c>
      <c r="AY568" s="50">
        <v>0</v>
      </c>
      <c r="AZ568" s="49">
        <v>0</v>
      </c>
      <c r="BA568" s="50">
        <v>0</v>
      </c>
      <c r="BB568" s="49">
        <v>2</v>
      </c>
      <c r="BC568" s="50">
        <v>100</v>
      </c>
      <c r="BD568" s="49">
        <v>2</v>
      </c>
      <c r="BE568" s="49"/>
      <c r="BF568" s="49"/>
      <c r="BG568" s="49"/>
      <c r="BH568" s="49"/>
      <c r="BI568" s="49"/>
      <c r="BJ568" s="49"/>
      <c r="BK568" s="111" t="s">
        <v>2390</v>
      </c>
      <c r="BL568" s="111" t="s">
        <v>2390</v>
      </c>
      <c r="BM568" s="111" t="s">
        <v>2390</v>
      </c>
      <c r="BN568" s="111" t="s">
        <v>2390</v>
      </c>
      <c r="BO568" s="2"/>
      <c r="BP568" s="3"/>
      <c r="BQ568" s="3"/>
      <c r="BR568" s="3"/>
      <c r="BS568" s="3"/>
    </row>
    <row r="569" spans="1:71" ht="15">
      <c r="A569" s="65" t="s">
        <v>766</v>
      </c>
      <c r="B569" s="66"/>
      <c r="C569" s="66"/>
      <c r="D569" s="67">
        <v>150</v>
      </c>
      <c r="E569" s="69"/>
      <c r="F569" s="103" t="str">
        <f>HYPERLINK("https://yt3.ggpht.com/q8AO5osNXrEqecJkUSeP_d50MR7o_HDu2YF8vTBsOHN_WXidpL82iZDHajsOkd4AbS0axyarOA=s88-c-k-c0x00ffffff-no-rj")</f>
        <v>https://yt3.ggpht.com/q8AO5osNXrEqecJkUSeP_d50MR7o_HDu2YF8vTBsOHN_WXidpL82iZDHajsOkd4AbS0axyarOA=s88-c-k-c0x00ffffff-no-rj</v>
      </c>
      <c r="G569" s="66"/>
      <c r="H569" s="70" t="s">
        <v>2125</v>
      </c>
      <c r="I569" s="71"/>
      <c r="J569" s="71" t="s">
        <v>159</v>
      </c>
      <c r="K569" s="70" t="s">
        <v>2125</v>
      </c>
      <c r="L569" s="74">
        <v>1</v>
      </c>
      <c r="M569" s="75">
        <v>1629.2275390625</v>
      </c>
      <c r="N569" s="75">
        <v>4004.7666015625</v>
      </c>
      <c r="O569" s="76"/>
      <c r="P569" s="77"/>
      <c r="Q569" s="77"/>
      <c r="R569" s="89"/>
      <c r="S569" s="49">
        <v>0</v>
      </c>
      <c r="T569" s="49">
        <v>1</v>
      </c>
      <c r="U569" s="50">
        <v>0</v>
      </c>
      <c r="V569" s="50">
        <v>0.00088</v>
      </c>
      <c r="W569" s="50">
        <v>0</v>
      </c>
      <c r="X569" s="50">
        <v>0.480546</v>
      </c>
      <c r="Y569" s="50">
        <v>0</v>
      </c>
      <c r="Z569" s="50">
        <v>0</v>
      </c>
      <c r="AA569" s="72">
        <v>569</v>
      </c>
      <c r="AB569" s="72"/>
      <c r="AC569" s="73"/>
      <c r="AD569" s="80" t="s">
        <v>2125</v>
      </c>
      <c r="AE569" s="80"/>
      <c r="AF569" s="80"/>
      <c r="AG569" s="80"/>
      <c r="AH569" s="80"/>
      <c r="AI569" s="80"/>
      <c r="AJ569" s="87">
        <v>43439.54105324074</v>
      </c>
      <c r="AK569" s="85" t="str">
        <f>HYPERLINK("https://yt3.ggpht.com/q8AO5osNXrEqecJkUSeP_d50MR7o_HDu2YF8vTBsOHN_WXidpL82iZDHajsOkd4AbS0axyarOA=s88-c-k-c0x00ffffff-no-rj")</f>
        <v>https://yt3.ggpht.com/q8AO5osNXrEqecJkUSeP_d50MR7o_HDu2YF8vTBsOHN_WXidpL82iZDHajsOkd4AbS0axyarOA=s88-c-k-c0x00ffffff-no-rj</v>
      </c>
      <c r="AL569" s="80">
        <v>622</v>
      </c>
      <c r="AM569" s="80">
        <v>0</v>
      </c>
      <c r="AN569" s="80">
        <v>30</v>
      </c>
      <c r="AO569" s="80" t="b">
        <v>0</v>
      </c>
      <c r="AP569" s="80">
        <v>25</v>
      </c>
      <c r="AQ569" s="80"/>
      <c r="AR569" s="80"/>
      <c r="AS569" s="80" t="s">
        <v>2664</v>
      </c>
      <c r="AT569" s="85" t="str">
        <f>HYPERLINK("https://www.youtube.com/channel/UCzoCYX25FsK-ndwsTo_rNlw")</f>
        <v>https://www.youtube.com/channel/UCzoCYX25FsK-ndwsTo_rNlw</v>
      </c>
      <c r="AU569" s="80" t="str">
        <f>REPLACE(INDEX(GroupVertices[Group],MATCH(Vertices[[#This Row],[Vertex]],GroupVertices[Vertex],0)),1,1,"")</f>
        <v>2</v>
      </c>
      <c r="AV569" s="49">
        <v>0</v>
      </c>
      <c r="AW569" s="50">
        <v>0</v>
      </c>
      <c r="AX569" s="49">
        <v>0</v>
      </c>
      <c r="AY569" s="50">
        <v>0</v>
      </c>
      <c r="AZ569" s="49">
        <v>0</v>
      </c>
      <c r="BA569" s="50">
        <v>0</v>
      </c>
      <c r="BB569" s="49">
        <v>1</v>
      </c>
      <c r="BC569" s="50">
        <v>100</v>
      </c>
      <c r="BD569" s="49">
        <v>1</v>
      </c>
      <c r="BE569" s="49"/>
      <c r="BF569" s="49"/>
      <c r="BG569" s="49"/>
      <c r="BH569" s="49"/>
      <c r="BI569" s="49"/>
      <c r="BJ569" s="49"/>
      <c r="BK569" s="111" t="s">
        <v>2390</v>
      </c>
      <c r="BL569" s="111" t="s">
        <v>2390</v>
      </c>
      <c r="BM569" s="111" t="s">
        <v>2390</v>
      </c>
      <c r="BN569" s="111" t="s">
        <v>2390</v>
      </c>
      <c r="BO569" s="2"/>
      <c r="BP569" s="3"/>
      <c r="BQ569" s="3"/>
      <c r="BR569" s="3"/>
      <c r="BS569" s="3"/>
    </row>
    <row r="570" spans="1:71" ht="15">
      <c r="A570" s="65" t="s">
        <v>767</v>
      </c>
      <c r="B570" s="66"/>
      <c r="C570" s="66"/>
      <c r="D570" s="67">
        <v>150</v>
      </c>
      <c r="E570" s="69"/>
      <c r="F570" s="103" t="str">
        <f>HYPERLINK("https://yt3.ggpht.com/ytc/AAUvwniJK6Jx0KNJobS2SfnUr0W92cGpj8zzak5dKQ=s88-c-k-c0x00ffffff-no-rj")</f>
        <v>https://yt3.ggpht.com/ytc/AAUvwniJK6Jx0KNJobS2SfnUr0W92cGpj8zzak5dKQ=s88-c-k-c0x00ffffff-no-rj</v>
      </c>
      <c r="G570" s="66"/>
      <c r="H570" s="70" t="s">
        <v>2126</v>
      </c>
      <c r="I570" s="71"/>
      <c r="J570" s="71" t="s">
        <v>159</v>
      </c>
      <c r="K570" s="70" t="s">
        <v>2126</v>
      </c>
      <c r="L570" s="74">
        <v>1</v>
      </c>
      <c r="M570" s="75">
        <v>2079.97265625</v>
      </c>
      <c r="N570" s="75">
        <v>3825.442626953125</v>
      </c>
      <c r="O570" s="76"/>
      <c r="P570" s="77"/>
      <c r="Q570" s="77"/>
      <c r="R570" s="89"/>
      <c r="S570" s="49">
        <v>0</v>
      </c>
      <c r="T570" s="49">
        <v>1</v>
      </c>
      <c r="U570" s="50">
        <v>0</v>
      </c>
      <c r="V570" s="50">
        <v>0.00088</v>
      </c>
      <c r="W570" s="50">
        <v>0</v>
      </c>
      <c r="X570" s="50">
        <v>0.480546</v>
      </c>
      <c r="Y570" s="50">
        <v>0</v>
      </c>
      <c r="Z570" s="50">
        <v>0</v>
      </c>
      <c r="AA570" s="72">
        <v>570</v>
      </c>
      <c r="AB570" s="72"/>
      <c r="AC570" s="73"/>
      <c r="AD570" s="80" t="s">
        <v>2126</v>
      </c>
      <c r="AE570" s="80"/>
      <c r="AF570" s="80"/>
      <c r="AG570" s="80"/>
      <c r="AH570" s="80"/>
      <c r="AI570" s="80"/>
      <c r="AJ570" s="87">
        <v>43956.85774305555</v>
      </c>
      <c r="AK570" s="85" t="str">
        <f>HYPERLINK("https://yt3.ggpht.com/ytc/AAUvwniJK6Jx0KNJobS2SfnUr0W92cGpj8zzak5dKQ=s88-c-k-c0x00ffffff-no-rj")</f>
        <v>https://yt3.ggpht.com/ytc/AAUvwniJK6Jx0KNJobS2SfnUr0W92cGpj8zzak5dKQ=s88-c-k-c0x00ffffff-no-rj</v>
      </c>
      <c r="AL570" s="80">
        <v>0</v>
      </c>
      <c r="AM570" s="80">
        <v>0</v>
      </c>
      <c r="AN570" s="80">
        <v>0</v>
      </c>
      <c r="AO570" s="80" t="b">
        <v>0</v>
      </c>
      <c r="AP570" s="80">
        <v>0</v>
      </c>
      <c r="AQ570" s="80"/>
      <c r="AR570" s="80"/>
      <c r="AS570" s="80" t="s">
        <v>2664</v>
      </c>
      <c r="AT570" s="85" t="str">
        <f>HYPERLINK("https://www.youtube.com/channel/UCn6p8O-NWPYAAvZ5MUzK9zw")</f>
        <v>https://www.youtube.com/channel/UCn6p8O-NWPYAAvZ5MUzK9zw</v>
      </c>
      <c r="AU570" s="80" t="str">
        <f>REPLACE(INDEX(GroupVertices[Group],MATCH(Vertices[[#This Row],[Vertex]],GroupVertices[Vertex],0)),1,1,"")</f>
        <v>2</v>
      </c>
      <c r="AV570" s="49">
        <v>0</v>
      </c>
      <c r="AW570" s="50">
        <v>0</v>
      </c>
      <c r="AX570" s="49">
        <v>0</v>
      </c>
      <c r="AY570" s="50">
        <v>0</v>
      </c>
      <c r="AZ570" s="49">
        <v>0</v>
      </c>
      <c r="BA570" s="50">
        <v>0</v>
      </c>
      <c r="BB570" s="49">
        <v>1</v>
      </c>
      <c r="BC570" s="50">
        <v>100</v>
      </c>
      <c r="BD570" s="49">
        <v>1</v>
      </c>
      <c r="BE570" s="49"/>
      <c r="BF570" s="49"/>
      <c r="BG570" s="49"/>
      <c r="BH570" s="49"/>
      <c r="BI570" s="49"/>
      <c r="BJ570" s="49"/>
      <c r="BK570" s="111" t="s">
        <v>2390</v>
      </c>
      <c r="BL570" s="111" t="s">
        <v>2390</v>
      </c>
      <c r="BM570" s="111" t="s">
        <v>2390</v>
      </c>
      <c r="BN570" s="111" t="s">
        <v>2390</v>
      </c>
      <c r="BO570" s="2"/>
      <c r="BP570" s="3"/>
      <c r="BQ570" s="3"/>
      <c r="BR570" s="3"/>
      <c r="BS570" s="3"/>
    </row>
    <row r="571" spans="1:71" ht="15">
      <c r="A571" s="65" t="s">
        <v>768</v>
      </c>
      <c r="B571" s="66"/>
      <c r="C571" s="66"/>
      <c r="D571" s="67">
        <v>150</v>
      </c>
      <c r="E571" s="69"/>
      <c r="F571" s="103" t="str">
        <f>HYPERLINK("https://yt3.ggpht.com/ytc/AAUvwnjtfc38RhVQxWGCdQDZqMxX0cosKSm0NHXcMYv3Eg=s88-c-k-c0x00ffffff-no-rj")</f>
        <v>https://yt3.ggpht.com/ytc/AAUvwnjtfc38RhVQxWGCdQDZqMxX0cosKSm0NHXcMYv3Eg=s88-c-k-c0x00ffffff-no-rj</v>
      </c>
      <c r="G571" s="66"/>
      <c r="H571" s="70" t="s">
        <v>2127</v>
      </c>
      <c r="I571" s="71"/>
      <c r="J571" s="71" t="s">
        <v>159</v>
      </c>
      <c r="K571" s="70" t="s">
        <v>2127</v>
      </c>
      <c r="L571" s="74">
        <v>1</v>
      </c>
      <c r="M571" s="75">
        <v>2543.64501953125</v>
      </c>
      <c r="N571" s="75">
        <v>3670.1474609375</v>
      </c>
      <c r="O571" s="76"/>
      <c r="P571" s="77"/>
      <c r="Q571" s="77"/>
      <c r="R571" s="89"/>
      <c r="S571" s="49">
        <v>0</v>
      </c>
      <c r="T571" s="49">
        <v>1</v>
      </c>
      <c r="U571" s="50">
        <v>0</v>
      </c>
      <c r="V571" s="50">
        <v>0.00088</v>
      </c>
      <c r="W571" s="50">
        <v>0</v>
      </c>
      <c r="X571" s="50">
        <v>0.480546</v>
      </c>
      <c r="Y571" s="50">
        <v>0</v>
      </c>
      <c r="Z571" s="50">
        <v>0</v>
      </c>
      <c r="AA571" s="72">
        <v>571</v>
      </c>
      <c r="AB571" s="72"/>
      <c r="AC571" s="73"/>
      <c r="AD571" s="80" t="s">
        <v>2127</v>
      </c>
      <c r="AE571" s="80" t="s">
        <v>2604</v>
      </c>
      <c r="AF571" s="80"/>
      <c r="AG571" s="80"/>
      <c r="AH571" s="80"/>
      <c r="AI571" s="80"/>
      <c r="AJ571" s="87">
        <v>43927.88396990741</v>
      </c>
      <c r="AK571" s="85" t="str">
        <f>HYPERLINK("https://yt3.ggpht.com/ytc/AAUvwnjtfc38RhVQxWGCdQDZqMxX0cosKSm0NHXcMYv3Eg=s88-c-k-c0x00ffffff-no-rj")</f>
        <v>https://yt3.ggpht.com/ytc/AAUvwnjtfc38RhVQxWGCdQDZqMxX0cosKSm0NHXcMYv3Eg=s88-c-k-c0x00ffffff-no-rj</v>
      </c>
      <c r="AL571" s="80">
        <v>0</v>
      </c>
      <c r="AM571" s="80">
        <v>0</v>
      </c>
      <c r="AN571" s="80">
        <v>23</v>
      </c>
      <c r="AO571" s="80" t="b">
        <v>0</v>
      </c>
      <c r="AP571" s="80">
        <v>0</v>
      </c>
      <c r="AQ571" s="80"/>
      <c r="AR571" s="80"/>
      <c r="AS571" s="80" t="s">
        <v>2664</v>
      </c>
      <c r="AT571" s="85" t="str">
        <f>HYPERLINK("https://www.youtube.com/channel/UCWDyZ4tze7sg8PvKfBwjZ6w")</f>
        <v>https://www.youtube.com/channel/UCWDyZ4tze7sg8PvKfBwjZ6w</v>
      </c>
      <c r="AU571" s="80" t="str">
        <f>REPLACE(INDEX(GroupVertices[Group],MATCH(Vertices[[#This Row],[Vertex]],GroupVertices[Vertex],0)),1,1,"")</f>
        <v>2</v>
      </c>
      <c r="AV571" s="49">
        <v>0</v>
      </c>
      <c r="AW571" s="50">
        <v>0</v>
      </c>
      <c r="AX571" s="49">
        <v>0</v>
      </c>
      <c r="AY571" s="50">
        <v>0</v>
      </c>
      <c r="AZ571" s="49">
        <v>0</v>
      </c>
      <c r="BA571" s="50">
        <v>0</v>
      </c>
      <c r="BB571" s="49">
        <v>2</v>
      </c>
      <c r="BC571" s="50">
        <v>100</v>
      </c>
      <c r="BD571" s="49">
        <v>2</v>
      </c>
      <c r="BE571" s="49"/>
      <c r="BF571" s="49"/>
      <c r="BG571" s="49"/>
      <c r="BH571" s="49"/>
      <c r="BI571" s="49"/>
      <c r="BJ571" s="49"/>
      <c r="BK571" s="111" t="s">
        <v>2733</v>
      </c>
      <c r="BL571" s="111" t="s">
        <v>2733</v>
      </c>
      <c r="BM571" s="111" t="s">
        <v>2390</v>
      </c>
      <c r="BN571" s="111" t="s">
        <v>2390</v>
      </c>
      <c r="BO571" s="2"/>
      <c r="BP571" s="3"/>
      <c r="BQ571" s="3"/>
      <c r="BR571" s="3"/>
      <c r="BS571" s="3"/>
    </row>
    <row r="572" spans="1:71" ht="15">
      <c r="A572" s="65" t="s">
        <v>769</v>
      </c>
      <c r="B572" s="66"/>
      <c r="C572" s="66"/>
      <c r="D572" s="67">
        <v>150</v>
      </c>
      <c r="E572" s="69"/>
      <c r="F572" s="103" t="str">
        <f>HYPERLINK("https://yt3.ggpht.com/ytc/AAUvwnjxEvSBrhVY5g52fQ_tpo8l-7bd0biViZAx4rm2=s88-c-k-c0x00ffffff-no-rj")</f>
        <v>https://yt3.ggpht.com/ytc/AAUvwnjxEvSBrhVY5g52fQ_tpo8l-7bd0biViZAx4rm2=s88-c-k-c0x00ffffff-no-rj</v>
      </c>
      <c r="G572" s="66"/>
      <c r="H572" s="70" t="s">
        <v>2128</v>
      </c>
      <c r="I572" s="71"/>
      <c r="J572" s="71" t="s">
        <v>159</v>
      </c>
      <c r="K572" s="70" t="s">
        <v>2128</v>
      </c>
      <c r="L572" s="74">
        <v>1</v>
      </c>
      <c r="M572" s="75">
        <v>2370.948486328125</v>
      </c>
      <c r="N572" s="75">
        <v>3849.803466796875</v>
      </c>
      <c r="O572" s="76"/>
      <c r="P572" s="77"/>
      <c r="Q572" s="77"/>
      <c r="R572" s="89"/>
      <c r="S572" s="49">
        <v>0</v>
      </c>
      <c r="T572" s="49">
        <v>1</v>
      </c>
      <c r="U572" s="50">
        <v>0</v>
      </c>
      <c r="V572" s="50">
        <v>0.00088</v>
      </c>
      <c r="W572" s="50">
        <v>0</v>
      </c>
      <c r="X572" s="50">
        <v>0.480546</v>
      </c>
      <c r="Y572" s="50">
        <v>0</v>
      </c>
      <c r="Z572" s="50">
        <v>0</v>
      </c>
      <c r="AA572" s="72">
        <v>572</v>
      </c>
      <c r="AB572" s="72"/>
      <c r="AC572" s="73"/>
      <c r="AD572" s="80" t="s">
        <v>2128</v>
      </c>
      <c r="AE572" s="80"/>
      <c r="AF572" s="80"/>
      <c r="AG572" s="80"/>
      <c r="AH572" s="80"/>
      <c r="AI572" s="80"/>
      <c r="AJ572" s="87">
        <v>44116.92028935185</v>
      </c>
      <c r="AK572" s="85" t="str">
        <f>HYPERLINK("https://yt3.ggpht.com/ytc/AAUvwnjxEvSBrhVY5g52fQ_tpo8l-7bd0biViZAx4rm2=s88-c-k-c0x00ffffff-no-rj")</f>
        <v>https://yt3.ggpht.com/ytc/AAUvwnjxEvSBrhVY5g52fQ_tpo8l-7bd0biViZAx4rm2=s88-c-k-c0x00ffffff-no-rj</v>
      </c>
      <c r="AL572" s="80">
        <v>0</v>
      </c>
      <c r="AM572" s="80">
        <v>0</v>
      </c>
      <c r="AN572" s="80">
        <v>0</v>
      </c>
      <c r="AO572" s="80" t="b">
        <v>0</v>
      </c>
      <c r="AP572" s="80">
        <v>0</v>
      </c>
      <c r="AQ572" s="80"/>
      <c r="AR572" s="80"/>
      <c r="AS572" s="80" t="s">
        <v>2664</v>
      </c>
      <c r="AT572" s="85" t="str">
        <f>HYPERLINK("https://www.youtube.com/channel/UCGiyitvsoE0mvDymzZTN55A")</f>
        <v>https://www.youtube.com/channel/UCGiyitvsoE0mvDymzZTN55A</v>
      </c>
      <c r="AU572" s="80" t="str">
        <f>REPLACE(INDEX(GroupVertices[Group],MATCH(Vertices[[#This Row],[Vertex]],GroupVertices[Vertex],0)),1,1,"")</f>
        <v>2</v>
      </c>
      <c r="AV572" s="49">
        <v>0</v>
      </c>
      <c r="AW572" s="50">
        <v>0</v>
      </c>
      <c r="AX572" s="49">
        <v>0</v>
      </c>
      <c r="AY572" s="50">
        <v>0</v>
      </c>
      <c r="AZ572" s="49">
        <v>0</v>
      </c>
      <c r="BA572" s="50">
        <v>0</v>
      </c>
      <c r="BB572" s="49">
        <v>1</v>
      </c>
      <c r="BC572" s="50">
        <v>100</v>
      </c>
      <c r="BD572" s="49">
        <v>1</v>
      </c>
      <c r="BE572" s="49"/>
      <c r="BF572" s="49"/>
      <c r="BG572" s="49"/>
      <c r="BH572" s="49"/>
      <c r="BI572" s="49"/>
      <c r="BJ572" s="49"/>
      <c r="BK572" s="111" t="s">
        <v>2390</v>
      </c>
      <c r="BL572" s="111" t="s">
        <v>2390</v>
      </c>
      <c r="BM572" s="111" t="s">
        <v>2390</v>
      </c>
      <c r="BN572" s="111" t="s">
        <v>2390</v>
      </c>
      <c r="BO572" s="2"/>
      <c r="BP572" s="3"/>
      <c r="BQ572" s="3"/>
      <c r="BR572" s="3"/>
      <c r="BS572" s="3"/>
    </row>
    <row r="573" spans="1:71" ht="15">
      <c r="A573" s="65" t="s">
        <v>770</v>
      </c>
      <c r="B573" s="66"/>
      <c r="C573" s="66"/>
      <c r="D573" s="67">
        <v>150</v>
      </c>
      <c r="E573" s="69"/>
      <c r="F573" s="103" t="str">
        <f>HYPERLINK("https://yt3.ggpht.com/ytc/AAUvwngOZ97jub1YPLF3rkGyhejE4Pal-e2mm6HS32p7Cg=s88-c-k-c0x00ffffff-no-rj")</f>
        <v>https://yt3.ggpht.com/ytc/AAUvwngOZ97jub1YPLF3rkGyhejE4Pal-e2mm6HS32p7Cg=s88-c-k-c0x00ffffff-no-rj</v>
      </c>
      <c r="G573" s="66"/>
      <c r="H573" s="70" t="s">
        <v>2129</v>
      </c>
      <c r="I573" s="71"/>
      <c r="J573" s="71" t="s">
        <v>159</v>
      </c>
      <c r="K573" s="70" t="s">
        <v>2129</v>
      </c>
      <c r="L573" s="74">
        <v>1</v>
      </c>
      <c r="M573" s="75">
        <v>1494.532470703125</v>
      </c>
      <c r="N573" s="75">
        <v>4003.244140625</v>
      </c>
      <c r="O573" s="76"/>
      <c r="P573" s="77"/>
      <c r="Q573" s="77"/>
      <c r="R573" s="89"/>
      <c r="S573" s="49">
        <v>0</v>
      </c>
      <c r="T573" s="49">
        <v>1</v>
      </c>
      <c r="U573" s="50">
        <v>0</v>
      </c>
      <c r="V573" s="50">
        <v>0.00088</v>
      </c>
      <c r="W573" s="50">
        <v>0</v>
      </c>
      <c r="X573" s="50">
        <v>0.480546</v>
      </c>
      <c r="Y573" s="50">
        <v>0</v>
      </c>
      <c r="Z573" s="50">
        <v>0</v>
      </c>
      <c r="AA573" s="72">
        <v>573</v>
      </c>
      <c r="AB573" s="72"/>
      <c r="AC573" s="73"/>
      <c r="AD573" s="80" t="s">
        <v>2129</v>
      </c>
      <c r="AE573" s="80" t="s">
        <v>2605</v>
      </c>
      <c r="AF573" s="80"/>
      <c r="AG573" s="80"/>
      <c r="AH573" s="80"/>
      <c r="AI573" s="80"/>
      <c r="AJ573" s="87">
        <v>43980.87386574074</v>
      </c>
      <c r="AK573" s="85" t="str">
        <f>HYPERLINK("https://yt3.ggpht.com/ytc/AAUvwngOZ97jub1YPLF3rkGyhejE4Pal-e2mm6HS32p7Cg=s88-c-k-c0x00ffffff-no-rj")</f>
        <v>https://yt3.ggpht.com/ytc/AAUvwngOZ97jub1YPLF3rkGyhejE4Pal-e2mm6HS32p7Cg=s88-c-k-c0x00ffffff-no-rj</v>
      </c>
      <c r="AL573" s="80">
        <v>0</v>
      </c>
      <c r="AM573" s="80">
        <v>0</v>
      </c>
      <c r="AN573" s="80">
        <v>3</v>
      </c>
      <c r="AO573" s="80" t="b">
        <v>0</v>
      </c>
      <c r="AP573" s="80">
        <v>0</v>
      </c>
      <c r="AQ573" s="80"/>
      <c r="AR573" s="80"/>
      <c r="AS573" s="80" t="s">
        <v>2664</v>
      </c>
      <c r="AT573" s="85" t="str">
        <f>HYPERLINK("https://www.youtube.com/channel/UCB6idNRhVqMo-V57OKOa7uQ")</f>
        <v>https://www.youtube.com/channel/UCB6idNRhVqMo-V57OKOa7uQ</v>
      </c>
      <c r="AU573" s="80" t="str">
        <f>REPLACE(INDEX(GroupVertices[Group],MATCH(Vertices[[#This Row],[Vertex]],GroupVertices[Vertex],0)),1,1,"")</f>
        <v>2</v>
      </c>
      <c r="AV573" s="49">
        <v>0</v>
      </c>
      <c r="AW573" s="50">
        <v>0</v>
      </c>
      <c r="AX573" s="49">
        <v>1</v>
      </c>
      <c r="AY573" s="50">
        <v>16.666666666666668</v>
      </c>
      <c r="AZ573" s="49">
        <v>0</v>
      </c>
      <c r="BA573" s="50">
        <v>0</v>
      </c>
      <c r="BB573" s="49">
        <v>5</v>
      </c>
      <c r="BC573" s="50">
        <v>83.33333333333333</v>
      </c>
      <c r="BD573" s="49">
        <v>6</v>
      </c>
      <c r="BE573" s="49"/>
      <c r="BF573" s="49"/>
      <c r="BG573" s="49"/>
      <c r="BH573" s="49"/>
      <c r="BI573" s="49"/>
      <c r="BJ573" s="49"/>
      <c r="BK573" s="111" t="s">
        <v>4088</v>
      </c>
      <c r="BL573" s="111" t="s">
        <v>4088</v>
      </c>
      <c r="BM573" s="111" t="s">
        <v>4549</v>
      </c>
      <c r="BN573" s="111" t="s">
        <v>4549</v>
      </c>
      <c r="BO573" s="2"/>
      <c r="BP573" s="3"/>
      <c r="BQ573" s="3"/>
      <c r="BR573" s="3"/>
      <c r="BS573" s="3"/>
    </row>
    <row r="574" spans="1:71" ht="15">
      <c r="A574" s="65" t="s">
        <v>771</v>
      </c>
      <c r="B574" s="66"/>
      <c r="C574" s="66"/>
      <c r="D574" s="67">
        <v>150</v>
      </c>
      <c r="E574" s="69"/>
      <c r="F574" s="103" t="str">
        <f>HYPERLINK("https://yt3.ggpht.com/_bw488KrcZkwjRP4xUg4mDCNAYqO4Z41AVzj_iJGykbRTAtcuPdhYi-TAQ7GAPcwCSGGZkGgtA=s88-c-k-c0x00ffffff-no-rj")</f>
        <v>https://yt3.ggpht.com/_bw488KrcZkwjRP4xUg4mDCNAYqO4Z41AVzj_iJGykbRTAtcuPdhYi-TAQ7GAPcwCSGGZkGgtA=s88-c-k-c0x00ffffff-no-rj</v>
      </c>
      <c r="G574" s="66"/>
      <c r="H574" s="70" t="s">
        <v>2130</v>
      </c>
      <c r="I574" s="71"/>
      <c r="J574" s="71" t="s">
        <v>159</v>
      </c>
      <c r="K574" s="70" t="s">
        <v>2130</v>
      </c>
      <c r="L574" s="74">
        <v>1</v>
      </c>
      <c r="M574" s="75">
        <v>1064.9468994140625</v>
      </c>
      <c r="N574" s="75">
        <v>3639.916259765625</v>
      </c>
      <c r="O574" s="76"/>
      <c r="P574" s="77"/>
      <c r="Q574" s="77"/>
      <c r="R574" s="89"/>
      <c r="S574" s="49">
        <v>0</v>
      </c>
      <c r="T574" s="49">
        <v>1</v>
      </c>
      <c r="U574" s="50">
        <v>0</v>
      </c>
      <c r="V574" s="50">
        <v>0.00088</v>
      </c>
      <c r="W574" s="50">
        <v>0</v>
      </c>
      <c r="X574" s="50">
        <v>0.480546</v>
      </c>
      <c r="Y574" s="50">
        <v>0</v>
      </c>
      <c r="Z574" s="50">
        <v>0</v>
      </c>
      <c r="AA574" s="72">
        <v>574</v>
      </c>
      <c r="AB574" s="72"/>
      <c r="AC574" s="73"/>
      <c r="AD574" s="80" t="s">
        <v>2130</v>
      </c>
      <c r="AE574" s="80" t="s">
        <v>2606</v>
      </c>
      <c r="AF574" s="80"/>
      <c r="AG574" s="80"/>
      <c r="AH574" s="80"/>
      <c r="AI574" s="80"/>
      <c r="AJ574" s="87">
        <v>40892.96630787037</v>
      </c>
      <c r="AK574" s="85" t="str">
        <f>HYPERLINK("https://yt3.ggpht.com/_bw488KrcZkwjRP4xUg4mDCNAYqO4Z41AVzj_iJGykbRTAtcuPdhYi-TAQ7GAPcwCSGGZkGgtA=s88-c-k-c0x00ffffff-no-rj")</f>
        <v>https://yt3.ggpht.com/_bw488KrcZkwjRP4xUg4mDCNAYqO4Z41AVzj_iJGykbRTAtcuPdhYi-TAQ7GAPcwCSGGZkGgtA=s88-c-k-c0x00ffffff-no-rj</v>
      </c>
      <c r="AL574" s="80">
        <v>776</v>
      </c>
      <c r="AM574" s="80">
        <v>0</v>
      </c>
      <c r="AN574" s="80">
        <v>22</v>
      </c>
      <c r="AO574" s="80" t="b">
        <v>0</v>
      </c>
      <c r="AP574" s="80">
        <v>29</v>
      </c>
      <c r="AQ574" s="80"/>
      <c r="AR574" s="80"/>
      <c r="AS574" s="80" t="s">
        <v>2664</v>
      </c>
      <c r="AT574" s="85" t="str">
        <f>HYPERLINK("https://www.youtube.com/channel/UCqmW71_NOWovrUsgcCsJoaA")</f>
        <v>https://www.youtube.com/channel/UCqmW71_NOWovrUsgcCsJoaA</v>
      </c>
      <c r="AU574" s="80" t="str">
        <f>REPLACE(INDEX(GroupVertices[Group],MATCH(Vertices[[#This Row],[Vertex]],GroupVertices[Vertex],0)),1,1,"")</f>
        <v>2</v>
      </c>
      <c r="AV574" s="49">
        <v>0</v>
      </c>
      <c r="AW574" s="50">
        <v>0</v>
      </c>
      <c r="AX574" s="49">
        <v>0</v>
      </c>
      <c r="AY574" s="50">
        <v>0</v>
      </c>
      <c r="AZ574" s="49">
        <v>0</v>
      </c>
      <c r="BA574" s="50">
        <v>0</v>
      </c>
      <c r="BB574" s="49">
        <v>2</v>
      </c>
      <c r="BC574" s="50">
        <v>100</v>
      </c>
      <c r="BD574" s="49">
        <v>2</v>
      </c>
      <c r="BE574" s="49"/>
      <c r="BF574" s="49"/>
      <c r="BG574" s="49"/>
      <c r="BH574" s="49"/>
      <c r="BI574" s="49"/>
      <c r="BJ574" s="49"/>
      <c r="BK574" s="111" t="s">
        <v>2390</v>
      </c>
      <c r="BL574" s="111" t="s">
        <v>2390</v>
      </c>
      <c r="BM574" s="111" t="s">
        <v>2390</v>
      </c>
      <c r="BN574" s="111" t="s">
        <v>2390</v>
      </c>
      <c r="BO574" s="2"/>
      <c r="BP574" s="3"/>
      <c r="BQ574" s="3"/>
      <c r="BR574" s="3"/>
      <c r="BS574" s="3"/>
    </row>
    <row r="575" spans="1:71" ht="15">
      <c r="A575" s="65" t="s">
        <v>772</v>
      </c>
      <c r="B575" s="66"/>
      <c r="C575" s="66"/>
      <c r="D575" s="67">
        <v>150</v>
      </c>
      <c r="E575" s="69"/>
      <c r="F575" s="103" t="str">
        <f>HYPERLINK("https://yt3.ggpht.com/ytc/AAUvwnhKZwCVsvqUtJCmo4QO5KF3MOfdfEEp6QhLaKAn=s88-c-k-c0x00ffffff-no-rj")</f>
        <v>https://yt3.ggpht.com/ytc/AAUvwnhKZwCVsvqUtJCmo4QO5KF3MOfdfEEp6QhLaKAn=s88-c-k-c0x00ffffff-no-rj</v>
      </c>
      <c r="G575" s="66"/>
      <c r="H575" s="70" t="s">
        <v>2131</v>
      </c>
      <c r="I575" s="71"/>
      <c r="J575" s="71" t="s">
        <v>159</v>
      </c>
      <c r="K575" s="70" t="s">
        <v>2131</v>
      </c>
      <c r="L575" s="74">
        <v>1</v>
      </c>
      <c r="M575" s="75">
        <v>2241.7001953125</v>
      </c>
      <c r="N575" s="75">
        <v>3809.27783203125</v>
      </c>
      <c r="O575" s="76"/>
      <c r="P575" s="77"/>
      <c r="Q575" s="77"/>
      <c r="R575" s="89"/>
      <c r="S575" s="49">
        <v>0</v>
      </c>
      <c r="T575" s="49">
        <v>1</v>
      </c>
      <c r="U575" s="50">
        <v>0</v>
      </c>
      <c r="V575" s="50">
        <v>0.00088</v>
      </c>
      <c r="W575" s="50">
        <v>0</v>
      </c>
      <c r="X575" s="50">
        <v>0.480546</v>
      </c>
      <c r="Y575" s="50">
        <v>0</v>
      </c>
      <c r="Z575" s="50">
        <v>0</v>
      </c>
      <c r="AA575" s="72">
        <v>575</v>
      </c>
      <c r="AB575" s="72"/>
      <c r="AC575" s="73"/>
      <c r="AD575" s="80" t="s">
        <v>2131</v>
      </c>
      <c r="AE575" s="80" t="s">
        <v>2607</v>
      </c>
      <c r="AF575" s="80"/>
      <c r="AG575" s="80"/>
      <c r="AH575" s="80"/>
      <c r="AI575" s="80"/>
      <c r="AJ575" s="87">
        <v>43717.69116898148</v>
      </c>
      <c r="AK575" s="85" t="str">
        <f>HYPERLINK("https://yt3.ggpht.com/ytc/AAUvwnhKZwCVsvqUtJCmo4QO5KF3MOfdfEEp6QhLaKAn=s88-c-k-c0x00ffffff-no-rj")</f>
        <v>https://yt3.ggpht.com/ytc/AAUvwnhKZwCVsvqUtJCmo4QO5KF3MOfdfEEp6QhLaKAn=s88-c-k-c0x00ffffff-no-rj</v>
      </c>
      <c r="AL575" s="80">
        <v>165</v>
      </c>
      <c r="AM575" s="80">
        <v>0</v>
      </c>
      <c r="AN575" s="80">
        <v>15</v>
      </c>
      <c r="AO575" s="80" t="b">
        <v>0</v>
      </c>
      <c r="AP575" s="80">
        <v>8</v>
      </c>
      <c r="AQ575" s="80"/>
      <c r="AR575" s="80"/>
      <c r="AS575" s="80" t="s">
        <v>2664</v>
      </c>
      <c r="AT575" s="85" t="str">
        <f>HYPERLINK("https://www.youtube.com/channel/UC5c65XLWE2VC5GyFqnIwIsw")</f>
        <v>https://www.youtube.com/channel/UC5c65XLWE2VC5GyFqnIwIsw</v>
      </c>
      <c r="AU575" s="80" t="str">
        <f>REPLACE(INDEX(GroupVertices[Group],MATCH(Vertices[[#This Row],[Vertex]],GroupVertices[Vertex],0)),1,1,"")</f>
        <v>2</v>
      </c>
      <c r="AV575" s="49">
        <v>0</v>
      </c>
      <c r="AW575" s="50">
        <v>0</v>
      </c>
      <c r="AX575" s="49">
        <v>0</v>
      </c>
      <c r="AY575" s="50">
        <v>0</v>
      </c>
      <c r="AZ575" s="49">
        <v>0</v>
      </c>
      <c r="BA575" s="50">
        <v>0</v>
      </c>
      <c r="BB575" s="49">
        <v>1</v>
      </c>
      <c r="BC575" s="50">
        <v>100</v>
      </c>
      <c r="BD575" s="49">
        <v>1</v>
      </c>
      <c r="BE575" s="49"/>
      <c r="BF575" s="49"/>
      <c r="BG575" s="49"/>
      <c r="BH575" s="49"/>
      <c r="BI575" s="49"/>
      <c r="BJ575" s="49"/>
      <c r="BK575" s="111" t="s">
        <v>1504</v>
      </c>
      <c r="BL575" s="111" t="s">
        <v>1504</v>
      </c>
      <c r="BM575" s="111" t="s">
        <v>2390</v>
      </c>
      <c r="BN575" s="111" t="s">
        <v>2390</v>
      </c>
      <c r="BO575" s="2"/>
      <c r="BP575" s="3"/>
      <c r="BQ575" s="3"/>
      <c r="BR575" s="3"/>
      <c r="BS575" s="3"/>
    </row>
    <row r="576" spans="1:71" ht="15">
      <c r="A576" s="65" t="s">
        <v>773</v>
      </c>
      <c r="B576" s="66"/>
      <c r="C576" s="66"/>
      <c r="D576" s="67">
        <v>150</v>
      </c>
      <c r="E576" s="69"/>
      <c r="F576" s="103" t="str">
        <f>HYPERLINK("https://yt3.ggpht.com/uB_xvZ9oNHsBs7pYeTd25ysTTBsaQ2_PDZwmTze69JfjJOt7dniB0aEU7EEe1My7VgE0d24KLQ=s88-c-k-c0x00ffffff-no-rj")</f>
        <v>https://yt3.ggpht.com/uB_xvZ9oNHsBs7pYeTd25ysTTBsaQ2_PDZwmTze69JfjJOt7dniB0aEU7EEe1My7VgE0d24KLQ=s88-c-k-c0x00ffffff-no-rj</v>
      </c>
      <c r="G576" s="66"/>
      <c r="H576" s="70" t="s">
        <v>2132</v>
      </c>
      <c r="I576" s="71"/>
      <c r="J576" s="71" t="s">
        <v>159</v>
      </c>
      <c r="K576" s="70" t="s">
        <v>2132</v>
      </c>
      <c r="L576" s="74">
        <v>1</v>
      </c>
      <c r="M576" s="75">
        <v>1346.104248046875</v>
      </c>
      <c r="N576" s="75">
        <v>3815.005859375</v>
      </c>
      <c r="O576" s="76"/>
      <c r="P576" s="77"/>
      <c r="Q576" s="77"/>
      <c r="R576" s="89"/>
      <c r="S576" s="49">
        <v>0</v>
      </c>
      <c r="T576" s="49">
        <v>1</v>
      </c>
      <c r="U576" s="50">
        <v>0</v>
      </c>
      <c r="V576" s="50">
        <v>0.00088</v>
      </c>
      <c r="W576" s="50">
        <v>0</v>
      </c>
      <c r="X576" s="50">
        <v>0.480546</v>
      </c>
      <c r="Y576" s="50">
        <v>0</v>
      </c>
      <c r="Z576" s="50">
        <v>0</v>
      </c>
      <c r="AA576" s="72">
        <v>576</v>
      </c>
      <c r="AB576" s="72"/>
      <c r="AC576" s="73"/>
      <c r="AD576" s="80" t="s">
        <v>2132</v>
      </c>
      <c r="AE576" s="80" t="s">
        <v>2608</v>
      </c>
      <c r="AF576" s="80"/>
      <c r="AG576" s="80"/>
      <c r="AH576" s="80"/>
      <c r="AI576" s="80"/>
      <c r="AJ576" s="87">
        <v>44128.84373842592</v>
      </c>
      <c r="AK576" s="85" t="str">
        <f>HYPERLINK("https://yt3.ggpht.com/uB_xvZ9oNHsBs7pYeTd25ysTTBsaQ2_PDZwmTze69JfjJOt7dniB0aEU7EEe1My7VgE0d24KLQ=s88-c-k-c0x00ffffff-no-rj")</f>
        <v>https://yt3.ggpht.com/uB_xvZ9oNHsBs7pYeTd25ysTTBsaQ2_PDZwmTze69JfjJOt7dniB0aEU7EEe1My7VgE0d24KLQ=s88-c-k-c0x00ffffff-no-rj</v>
      </c>
      <c r="AL576" s="80">
        <v>454849</v>
      </c>
      <c r="AM576" s="80">
        <v>0</v>
      </c>
      <c r="AN576" s="80">
        <v>5550</v>
      </c>
      <c r="AO576" s="80" t="b">
        <v>0</v>
      </c>
      <c r="AP576" s="80">
        <v>14</v>
      </c>
      <c r="AQ576" s="80"/>
      <c r="AR576" s="80"/>
      <c r="AS576" s="80" t="s">
        <v>2664</v>
      </c>
      <c r="AT576" s="85" t="str">
        <f>HYPERLINK("https://www.youtube.com/channel/UC3HQFQ3A1f7bOQ6Op3sO6VA")</f>
        <v>https://www.youtube.com/channel/UC3HQFQ3A1f7bOQ6Op3sO6VA</v>
      </c>
      <c r="AU576" s="80" t="str">
        <f>REPLACE(INDEX(GroupVertices[Group],MATCH(Vertices[[#This Row],[Vertex]],GroupVertices[Vertex],0)),1,1,"")</f>
        <v>2</v>
      </c>
      <c r="AV576" s="49">
        <v>1</v>
      </c>
      <c r="AW576" s="50">
        <v>33.333333333333336</v>
      </c>
      <c r="AX576" s="49">
        <v>0</v>
      </c>
      <c r="AY576" s="50">
        <v>0</v>
      </c>
      <c r="AZ576" s="49">
        <v>0</v>
      </c>
      <c r="BA576" s="50">
        <v>0</v>
      </c>
      <c r="BB576" s="49">
        <v>2</v>
      </c>
      <c r="BC576" s="50">
        <v>66.66666666666667</v>
      </c>
      <c r="BD576" s="49">
        <v>3</v>
      </c>
      <c r="BE576" s="49"/>
      <c r="BF576" s="49"/>
      <c r="BG576" s="49"/>
      <c r="BH576" s="49"/>
      <c r="BI576" s="49"/>
      <c r="BJ576" s="49"/>
      <c r="BK576" s="111" t="s">
        <v>4089</v>
      </c>
      <c r="BL576" s="111" t="s">
        <v>4089</v>
      </c>
      <c r="BM576" s="111" t="s">
        <v>4550</v>
      </c>
      <c r="BN576" s="111" t="s">
        <v>4550</v>
      </c>
      <c r="BO576" s="2"/>
      <c r="BP576" s="3"/>
      <c r="BQ576" s="3"/>
      <c r="BR576" s="3"/>
      <c r="BS576" s="3"/>
    </row>
    <row r="577" spans="1:71" ht="15">
      <c r="A577" s="65" t="s">
        <v>774</v>
      </c>
      <c r="B577" s="66"/>
      <c r="C577" s="66"/>
      <c r="D577" s="67">
        <v>150</v>
      </c>
      <c r="E577" s="69"/>
      <c r="F577" s="103" t="str">
        <f>HYPERLINK("https://yt3.ggpht.com/ytc/AAUvwnhOwxYYV8cDOl0KvbUNcni1yINjTjbXx9f5ig=s88-c-k-c0x00ffffff-no-rj")</f>
        <v>https://yt3.ggpht.com/ytc/AAUvwnhOwxYYV8cDOl0KvbUNcni1yINjTjbXx9f5ig=s88-c-k-c0x00ffffff-no-rj</v>
      </c>
      <c r="G577" s="66"/>
      <c r="H577" s="70" t="s">
        <v>2133</v>
      </c>
      <c r="I577" s="71"/>
      <c r="J577" s="71" t="s">
        <v>159</v>
      </c>
      <c r="K577" s="70" t="s">
        <v>2133</v>
      </c>
      <c r="L577" s="74">
        <v>1</v>
      </c>
      <c r="M577" s="75">
        <v>1857.820068359375</v>
      </c>
      <c r="N577" s="75">
        <v>3909.45947265625</v>
      </c>
      <c r="O577" s="76"/>
      <c r="P577" s="77"/>
      <c r="Q577" s="77"/>
      <c r="R577" s="89"/>
      <c r="S577" s="49">
        <v>0</v>
      </c>
      <c r="T577" s="49">
        <v>1</v>
      </c>
      <c r="U577" s="50">
        <v>0</v>
      </c>
      <c r="V577" s="50">
        <v>0.00088</v>
      </c>
      <c r="W577" s="50">
        <v>0</v>
      </c>
      <c r="X577" s="50">
        <v>0.480546</v>
      </c>
      <c r="Y577" s="50">
        <v>0</v>
      </c>
      <c r="Z577" s="50">
        <v>0</v>
      </c>
      <c r="AA577" s="72">
        <v>577</v>
      </c>
      <c r="AB577" s="72"/>
      <c r="AC577" s="73"/>
      <c r="AD577" s="80" t="s">
        <v>2133</v>
      </c>
      <c r="AE577" s="80"/>
      <c r="AF577" s="80"/>
      <c r="AG577" s="80"/>
      <c r="AH577" s="80"/>
      <c r="AI577" s="80"/>
      <c r="AJ577" s="87">
        <v>43791.84510416666</v>
      </c>
      <c r="AK577" s="85" t="str">
        <f>HYPERLINK("https://yt3.ggpht.com/ytc/AAUvwnhOwxYYV8cDOl0KvbUNcni1yINjTjbXx9f5ig=s88-c-k-c0x00ffffff-no-rj")</f>
        <v>https://yt3.ggpht.com/ytc/AAUvwnhOwxYYV8cDOl0KvbUNcni1yINjTjbXx9f5ig=s88-c-k-c0x00ffffff-no-rj</v>
      </c>
      <c r="AL577" s="80">
        <v>0</v>
      </c>
      <c r="AM577" s="80">
        <v>0</v>
      </c>
      <c r="AN577" s="80">
        <v>0</v>
      </c>
      <c r="AO577" s="80" t="b">
        <v>0</v>
      </c>
      <c r="AP577" s="80">
        <v>0</v>
      </c>
      <c r="AQ577" s="80"/>
      <c r="AR577" s="80"/>
      <c r="AS577" s="80" t="s">
        <v>2664</v>
      </c>
      <c r="AT577" s="85" t="str">
        <f>HYPERLINK("https://www.youtube.com/channel/UCwP0bxHg-8LXbS1QMYzhSRA")</f>
        <v>https://www.youtube.com/channel/UCwP0bxHg-8LXbS1QMYzhSRA</v>
      </c>
      <c r="AU577" s="80" t="str">
        <f>REPLACE(INDEX(GroupVertices[Group],MATCH(Vertices[[#This Row],[Vertex]],GroupVertices[Vertex],0)),1,1,"")</f>
        <v>2</v>
      </c>
      <c r="AV577" s="49">
        <v>0</v>
      </c>
      <c r="AW577" s="50">
        <v>0</v>
      </c>
      <c r="AX577" s="49">
        <v>0</v>
      </c>
      <c r="AY577" s="50">
        <v>0</v>
      </c>
      <c r="AZ577" s="49">
        <v>0</v>
      </c>
      <c r="BA577" s="50">
        <v>0</v>
      </c>
      <c r="BB577" s="49">
        <v>1</v>
      </c>
      <c r="BC577" s="50">
        <v>100</v>
      </c>
      <c r="BD577" s="49">
        <v>1</v>
      </c>
      <c r="BE577" s="49"/>
      <c r="BF577" s="49"/>
      <c r="BG577" s="49"/>
      <c r="BH577" s="49"/>
      <c r="BI577" s="49"/>
      <c r="BJ577" s="49"/>
      <c r="BK577" s="111" t="s">
        <v>2390</v>
      </c>
      <c r="BL577" s="111" t="s">
        <v>2390</v>
      </c>
      <c r="BM577" s="111" t="s">
        <v>2390</v>
      </c>
      <c r="BN577" s="111" t="s">
        <v>2390</v>
      </c>
      <c r="BO577" s="2"/>
      <c r="BP577" s="3"/>
      <c r="BQ577" s="3"/>
      <c r="BR577" s="3"/>
      <c r="BS577" s="3"/>
    </row>
    <row r="578" spans="1:71" ht="15">
      <c r="A578" s="65" t="s">
        <v>775</v>
      </c>
      <c r="B578" s="66"/>
      <c r="C578" s="66"/>
      <c r="D578" s="67">
        <v>150</v>
      </c>
      <c r="E578" s="69"/>
      <c r="F578" s="103" t="str">
        <f>HYPERLINK("https://yt3.ggpht.com/ytc/AAUvwnj-xn1im_GQYmCCqilSmEbs9L9QJQFCRaLVGA=s88-c-k-c0x00ffffff-no-rj")</f>
        <v>https://yt3.ggpht.com/ytc/AAUvwnj-xn1im_GQYmCCqilSmEbs9L9QJQFCRaLVGA=s88-c-k-c0x00ffffff-no-rj</v>
      </c>
      <c r="G578" s="66"/>
      <c r="H578" s="70" t="s">
        <v>2134</v>
      </c>
      <c r="I578" s="71"/>
      <c r="J578" s="71" t="s">
        <v>159</v>
      </c>
      <c r="K578" s="70" t="s">
        <v>2134</v>
      </c>
      <c r="L578" s="74">
        <v>1</v>
      </c>
      <c r="M578" s="75">
        <v>2409.56982421875</v>
      </c>
      <c r="N578" s="75">
        <v>3680.847900390625</v>
      </c>
      <c r="O578" s="76"/>
      <c r="P578" s="77"/>
      <c r="Q578" s="77"/>
      <c r="R578" s="89"/>
      <c r="S578" s="49">
        <v>0</v>
      </c>
      <c r="T578" s="49">
        <v>1</v>
      </c>
      <c r="U578" s="50">
        <v>0</v>
      </c>
      <c r="V578" s="50">
        <v>0.00088</v>
      </c>
      <c r="W578" s="50">
        <v>0</v>
      </c>
      <c r="X578" s="50">
        <v>0.480546</v>
      </c>
      <c r="Y578" s="50">
        <v>0</v>
      </c>
      <c r="Z578" s="50">
        <v>0</v>
      </c>
      <c r="AA578" s="72">
        <v>578</v>
      </c>
      <c r="AB578" s="72"/>
      <c r="AC578" s="73"/>
      <c r="AD578" s="80" t="s">
        <v>2134</v>
      </c>
      <c r="AE578" s="80" t="s">
        <v>2609</v>
      </c>
      <c r="AF578" s="80"/>
      <c r="AG578" s="80"/>
      <c r="AH578" s="80"/>
      <c r="AI578" s="80"/>
      <c r="AJ578" s="87">
        <v>44098.81517361111</v>
      </c>
      <c r="AK578" s="85" t="str">
        <f>HYPERLINK("https://yt3.ggpht.com/ytc/AAUvwnj-xn1im_GQYmCCqilSmEbs9L9QJQFCRaLVGA=s88-c-k-c0x00ffffff-no-rj")</f>
        <v>https://yt3.ggpht.com/ytc/AAUvwnj-xn1im_GQYmCCqilSmEbs9L9QJQFCRaLVGA=s88-c-k-c0x00ffffff-no-rj</v>
      </c>
      <c r="AL578" s="80">
        <v>110</v>
      </c>
      <c r="AM578" s="80">
        <v>0</v>
      </c>
      <c r="AN578" s="80">
        <v>7</v>
      </c>
      <c r="AO578" s="80" t="b">
        <v>0</v>
      </c>
      <c r="AP578" s="80">
        <v>5</v>
      </c>
      <c r="AQ578" s="80"/>
      <c r="AR578" s="80"/>
      <c r="AS578" s="80" t="s">
        <v>2664</v>
      </c>
      <c r="AT578" s="85" t="str">
        <f>HYPERLINK("https://www.youtube.com/channel/UCN7DbIpJ94hcULRngZR-qRA")</f>
        <v>https://www.youtube.com/channel/UCN7DbIpJ94hcULRngZR-qRA</v>
      </c>
      <c r="AU578" s="80" t="str">
        <f>REPLACE(INDEX(GroupVertices[Group],MATCH(Vertices[[#This Row],[Vertex]],GroupVertices[Vertex],0)),1,1,"")</f>
        <v>2</v>
      </c>
      <c r="AV578" s="49">
        <v>0</v>
      </c>
      <c r="AW578" s="50">
        <v>0</v>
      </c>
      <c r="AX578" s="49">
        <v>0</v>
      </c>
      <c r="AY578" s="50">
        <v>0</v>
      </c>
      <c r="AZ578" s="49">
        <v>0</v>
      </c>
      <c r="BA578" s="50">
        <v>0</v>
      </c>
      <c r="BB578" s="49">
        <v>1</v>
      </c>
      <c r="BC578" s="50">
        <v>100</v>
      </c>
      <c r="BD578" s="49">
        <v>1</v>
      </c>
      <c r="BE578" s="49"/>
      <c r="BF578" s="49"/>
      <c r="BG578" s="49"/>
      <c r="BH578" s="49"/>
      <c r="BI578" s="49"/>
      <c r="BJ578" s="49"/>
      <c r="BK578" s="111" t="s">
        <v>2390</v>
      </c>
      <c r="BL578" s="111" t="s">
        <v>2390</v>
      </c>
      <c r="BM578" s="111" t="s">
        <v>2390</v>
      </c>
      <c r="BN578" s="111" t="s">
        <v>2390</v>
      </c>
      <c r="BO578" s="2"/>
      <c r="BP578" s="3"/>
      <c r="BQ578" s="3"/>
      <c r="BR578" s="3"/>
      <c r="BS578" s="3"/>
    </row>
    <row r="579" spans="1:71" ht="15">
      <c r="A579" s="65" t="s">
        <v>776</v>
      </c>
      <c r="B579" s="66"/>
      <c r="C579" s="66"/>
      <c r="D579" s="67">
        <v>150</v>
      </c>
      <c r="E579" s="69"/>
      <c r="F579" s="103" t="str">
        <f>HYPERLINK("https://yt3.ggpht.com/ytc/AAUvwnjf6sDaUb7v2dwRMh3pkldIy_G8hHIKQMdZNJU6Mw=s88-c-k-c0x00ffffff-no-rj")</f>
        <v>https://yt3.ggpht.com/ytc/AAUvwnjf6sDaUb7v2dwRMh3pkldIy_G8hHIKQMdZNJU6Mw=s88-c-k-c0x00ffffff-no-rj</v>
      </c>
      <c r="G579" s="66"/>
      <c r="H579" s="70" t="s">
        <v>2135</v>
      </c>
      <c r="I579" s="71"/>
      <c r="J579" s="71" t="s">
        <v>159</v>
      </c>
      <c r="K579" s="70" t="s">
        <v>2135</v>
      </c>
      <c r="L579" s="74">
        <v>1</v>
      </c>
      <c r="M579" s="75">
        <v>1197.603759765625</v>
      </c>
      <c r="N579" s="75">
        <v>3834.256591796875</v>
      </c>
      <c r="O579" s="76"/>
      <c r="P579" s="77"/>
      <c r="Q579" s="77"/>
      <c r="R579" s="89"/>
      <c r="S579" s="49">
        <v>0</v>
      </c>
      <c r="T579" s="49">
        <v>1</v>
      </c>
      <c r="U579" s="50">
        <v>0</v>
      </c>
      <c r="V579" s="50">
        <v>0.00088</v>
      </c>
      <c r="W579" s="50">
        <v>0</v>
      </c>
      <c r="X579" s="50">
        <v>0.480546</v>
      </c>
      <c r="Y579" s="50">
        <v>0</v>
      </c>
      <c r="Z579" s="50">
        <v>0</v>
      </c>
      <c r="AA579" s="72">
        <v>579</v>
      </c>
      <c r="AB579" s="72"/>
      <c r="AC579" s="73"/>
      <c r="AD579" s="80" t="s">
        <v>2135</v>
      </c>
      <c r="AE579" s="80"/>
      <c r="AF579" s="80"/>
      <c r="AG579" s="80"/>
      <c r="AH579" s="80"/>
      <c r="AI579" s="80"/>
      <c r="AJ579" s="87">
        <v>44099.941145833334</v>
      </c>
      <c r="AK579" s="85" t="str">
        <f>HYPERLINK("https://yt3.ggpht.com/ytc/AAUvwnjf6sDaUb7v2dwRMh3pkldIy_G8hHIKQMdZNJU6Mw=s88-c-k-c0x00ffffff-no-rj")</f>
        <v>https://yt3.ggpht.com/ytc/AAUvwnjf6sDaUb7v2dwRMh3pkldIy_G8hHIKQMdZNJU6Mw=s88-c-k-c0x00ffffff-no-rj</v>
      </c>
      <c r="AL579" s="80">
        <v>0</v>
      </c>
      <c r="AM579" s="80">
        <v>0</v>
      </c>
      <c r="AN579" s="80">
        <v>7</v>
      </c>
      <c r="AO579" s="80" t="b">
        <v>0</v>
      </c>
      <c r="AP579" s="80">
        <v>0</v>
      </c>
      <c r="AQ579" s="80"/>
      <c r="AR579" s="80"/>
      <c r="AS579" s="80" t="s">
        <v>2664</v>
      </c>
      <c r="AT579" s="85" t="str">
        <f>HYPERLINK("https://www.youtube.com/channel/UCYdODoJdVvDp-9z2mt6wgyQ")</f>
        <v>https://www.youtube.com/channel/UCYdODoJdVvDp-9z2mt6wgyQ</v>
      </c>
      <c r="AU579" s="80" t="str">
        <f>REPLACE(INDEX(GroupVertices[Group],MATCH(Vertices[[#This Row],[Vertex]],GroupVertices[Vertex],0)),1,1,"")</f>
        <v>2</v>
      </c>
      <c r="AV579" s="49">
        <v>0</v>
      </c>
      <c r="AW579" s="50">
        <v>0</v>
      </c>
      <c r="AX579" s="49">
        <v>0</v>
      </c>
      <c r="AY579" s="50">
        <v>0</v>
      </c>
      <c r="AZ579" s="49">
        <v>0</v>
      </c>
      <c r="BA579" s="50">
        <v>0</v>
      </c>
      <c r="BB579" s="49">
        <v>1</v>
      </c>
      <c r="BC579" s="50">
        <v>100</v>
      </c>
      <c r="BD579" s="49">
        <v>1</v>
      </c>
      <c r="BE579" s="49"/>
      <c r="BF579" s="49"/>
      <c r="BG579" s="49"/>
      <c r="BH579" s="49"/>
      <c r="BI579" s="49"/>
      <c r="BJ579" s="49"/>
      <c r="BK579" s="111" t="s">
        <v>2390</v>
      </c>
      <c r="BL579" s="111" t="s">
        <v>2390</v>
      </c>
      <c r="BM579" s="111" t="s">
        <v>2390</v>
      </c>
      <c r="BN579" s="111" t="s">
        <v>2390</v>
      </c>
      <c r="BO579" s="2"/>
      <c r="BP579" s="3"/>
      <c r="BQ579" s="3"/>
      <c r="BR579" s="3"/>
      <c r="BS579" s="3"/>
    </row>
    <row r="580" spans="1:71" ht="15">
      <c r="A580" s="65" t="s">
        <v>777</v>
      </c>
      <c r="B580" s="66"/>
      <c r="C580" s="66"/>
      <c r="D580" s="67">
        <v>150</v>
      </c>
      <c r="E580" s="69"/>
      <c r="F580" s="103" t="str">
        <f>HYPERLINK("https://yt3.ggpht.com/ytc/AAUvwnhnnGR6uo8B3kKSh1CxvrtzZKjfqV8duZUzhXPJ1g=s88-c-k-c0x00ffffff-no-rj")</f>
        <v>https://yt3.ggpht.com/ytc/AAUvwnhnnGR6uo8B3kKSh1CxvrtzZKjfqV8duZUzhXPJ1g=s88-c-k-c0x00ffffff-no-rj</v>
      </c>
      <c r="G580" s="66"/>
      <c r="H580" s="70" t="s">
        <v>2136</v>
      </c>
      <c r="I580" s="71"/>
      <c r="J580" s="71" t="s">
        <v>159</v>
      </c>
      <c r="K580" s="70" t="s">
        <v>2136</v>
      </c>
      <c r="L580" s="74">
        <v>1</v>
      </c>
      <c r="M580" s="75">
        <v>1063.9541015625</v>
      </c>
      <c r="N580" s="75">
        <v>3794.411865234375</v>
      </c>
      <c r="O580" s="76"/>
      <c r="P580" s="77"/>
      <c r="Q580" s="77"/>
      <c r="R580" s="89"/>
      <c r="S580" s="49">
        <v>0</v>
      </c>
      <c r="T580" s="49">
        <v>1</v>
      </c>
      <c r="U580" s="50">
        <v>0</v>
      </c>
      <c r="V580" s="50">
        <v>0.00088</v>
      </c>
      <c r="W580" s="50">
        <v>0</v>
      </c>
      <c r="X580" s="50">
        <v>0.480546</v>
      </c>
      <c r="Y580" s="50">
        <v>0</v>
      </c>
      <c r="Z580" s="50">
        <v>0</v>
      </c>
      <c r="AA580" s="72">
        <v>580</v>
      </c>
      <c r="AB580" s="72"/>
      <c r="AC580" s="73"/>
      <c r="AD580" s="80" t="s">
        <v>2136</v>
      </c>
      <c r="AE580" s="80" t="s">
        <v>2610</v>
      </c>
      <c r="AF580" s="80"/>
      <c r="AG580" s="80"/>
      <c r="AH580" s="80"/>
      <c r="AI580" s="80"/>
      <c r="AJ580" s="87">
        <v>43837.105</v>
      </c>
      <c r="AK580" s="85" t="str">
        <f>HYPERLINK("https://yt3.ggpht.com/ytc/AAUvwnhnnGR6uo8B3kKSh1CxvrtzZKjfqV8duZUzhXPJ1g=s88-c-k-c0x00ffffff-no-rj")</f>
        <v>https://yt3.ggpht.com/ytc/AAUvwnhnnGR6uo8B3kKSh1CxvrtzZKjfqV8duZUzhXPJ1g=s88-c-k-c0x00ffffff-no-rj</v>
      </c>
      <c r="AL580" s="80">
        <v>2117</v>
      </c>
      <c r="AM580" s="80">
        <v>0</v>
      </c>
      <c r="AN580" s="80">
        <v>102</v>
      </c>
      <c r="AO580" s="80" t="b">
        <v>0</v>
      </c>
      <c r="AP580" s="80">
        <v>128</v>
      </c>
      <c r="AQ580" s="80"/>
      <c r="AR580" s="80"/>
      <c r="AS580" s="80" t="s">
        <v>2664</v>
      </c>
      <c r="AT580" s="85" t="str">
        <f>HYPERLINK("https://www.youtube.com/channel/UCUZeBEoKiTTz0pPp5pii-aw")</f>
        <v>https://www.youtube.com/channel/UCUZeBEoKiTTz0pPp5pii-aw</v>
      </c>
      <c r="AU580" s="80" t="str">
        <f>REPLACE(INDEX(GroupVertices[Group],MATCH(Vertices[[#This Row],[Vertex]],GroupVertices[Vertex],0)),1,1,"")</f>
        <v>2</v>
      </c>
      <c r="AV580" s="49">
        <v>0</v>
      </c>
      <c r="AW580" s="50">
        <v>0</v>
      </c>
      <c r="AX580" s="49">
        <v>0</v>
      </c>
      <c r="AY580" s="50">
        <v>0</v>
      </c>
      <c r="AZ580" s="49">
        <v>0</v>
      </c>
      <c r="BA580" s="50">
        <v>0</v>
      </c>
      <c r="BB580" s="49">
        <v>8</v>
      </c>
      <c r="BC580" s="50">
        <v>100</v>
      </c>
      <c r="BD580" s="49">
        <v>8</v>
      </c>
      <c r="BE580" s="49"/>
      <c r="BF580" s="49"/>
      <c r="BG580" s="49"/>
      <c r="BH580" s="49"/>
      <c r="BI580" s="49"/>
      <c r="BJ580" s="49"/>
      <c r="BK580" s="111" t="s">
        <v>4090</v>
      </c>
      <c r="BL580" s="111" t="s">
        <v>4090</v>
      </c>
      <c r="BM580" s="111" t="s">
        <v>4551</v>
      </c>
      <c r="BN580" s="111" t="s">
        <v>4551</v>
      </c>
      <c r="BO580" s="2"/>
      <c r="BP580" s="3"/>
      <c r="BQ580" s="3"/>
      <c r="BR580" s="3"/>
      <c r="BS580" s="3"/>
    </row>
    <row r="581" spans="1:71" ht="15">
      <c r="A581" s="65" t="s">
        <v>778</v>
      </c>
      <c r="B581" s="66"/>
      <c r="C581" s="66"/>
      <c r="D581" s="67">
        <v>150</v>
      </c>
      <c r="E581" s="69"/>
      <c r="F581" s="103" t="str">
        <f>HYPERLINK("https://yt3.ggpht.com/ytc/AAUvwngi_clZ3uFX34xOt54r-71-8woTZSR1h8sw6dqo=s88-c-k-c0x00ffffff-no-rj")</f>
        <v>https://yt3.ggpht.com/ytc/AAUvwngi_clZ3uFX34xOt54r-71-8woTZSR1h8sw6dqo=s88-c-k-c0x00ffffff-no-rj</v>
      </c>
      <c r="G581" s="66"/>
      <c r="H581" s="70" t="s">
        <v>2137</v>
      </c>
      <c r="I581" s="71"/>
      <c r="J581" s="71" t="s">
        <v>159</v>
      </c>
      <c r="K581" s="70" t="s">
        <v>2137</v>
      </c>
      <c r="L581" s="74">
        <v>1</v>
      </c>
      <c r="M581" s="75">
        <v>2135.763916015625</v>
      </c>
      <c r="N581" s="75">
        <v>3991.7529296875</v>
      </c>
      <c r="O581" s="76"/>
      <c r="P581" s="77"/>
      <c r="Q581" s="77"/>
      <c r="R581" s="89"/>
      <c r="S581" s="49">
        <v>0</v>
      </c>
      <c r="T581" s="49">
        <v>1</v>
      </c>
      <c r="U581" s="50">
        <v>0</v>
      </c>
      <c r="V581" s="50">
        <v>0.00088</v>
      </c>
      <c r="W581" s="50">
        <v>0</v>
      </c>
      <c r="X581" s="50">
        <v>0.480546</v>
      </c>
      <c r="Y581" s="50">
        <v>0</v>
      </c>
      <c r="Z581" s="50">
        <v>0</v>
      </c>
      <c r="AA581" s="72">
        <v>581</v>
      </c>
      <c r="AB581" s="72"/>
      <c r="AC581" s="73"/>
      <c r="AD581" s="80" t="s">
        <v>2137</v>
      </c>
      <c r="AE581" s="80"/>
      <c r="AF581" s="80"/>
      <c r="AG581" s="80"/>
      <c r="AH581" s="80"/>
      <c r="AI581" s="80"/>
      <c r="AJ581" s="87">
        <v>44113.5996875</v>
      </c>
      <c r="AK581" s="85" t="str">
        <f>HYPERLINK("https://yt3.ggpht.com/ytc/AAUvwngi_clZ3uFX34xOt54r-71-8woTZSR1h8sw6dqo=s88-c-k-c0x00ffffff-no-rj")</f>
        <v>https://yt3.ggpht.com/ytc/AAUvwngi_clZ3uFX34xOt54r-71-8woTZSR1h8sw6dqo=s88-c-k-c0x00ffffff-no-rj</v>
      </c>
      <c r="AL581" s="80">
        <v>0</v>
      </c>
      <c r="AM581" s="80">
        <v>0</v>
      </c>
      <c r="AN581" s="80">
        <v>0</v>
      </c>
      <c r="AO581" s="80" t="b">
        <v>0</v>
      </c>
      <c r="AP581" s="80">
        <v>0</v>
      </c>
      <c r="AQ581" s="80"/>
      <c r="AR581" s="80"/>
      <c r="AS581" s="80" t="s">
        <v>2664</v>
      </c>
      <c r="AT581" s="85" t="str">
        <f>HYPERLINK("https://www.youtube.com/channel/UCy4crOLyffyAStwBkGRO9hg")</f>
        <v>https://www.youtube.com/channel/UCy4crOLyffyAStwBkGRO9hg</v>
      </c>
      <c r="AU581" s="80" t="str">
        <f>REPLACE(INDEX(GroupVertices[Group],MATCH(Vertices[[#This Row],[Vertex]],GroupVertices[Vertex],0)),1,1,"")</f>
        <v>2</v>
      </c>
      <c r="AV581" s="49">
        <v>0</v>
      </c>
      <c r="AW581" s="50">
        <v>0</v>
      </c>
      <c r="AX581" s="49">
        <v>0</v>
      </c>
      <c r="AY581" s="50">
        <v>0</v>
      </c>
      <c r="AZ581" s="49">
        <v>0</v>
      </c>
      <c r="BA581" s="50">
        <v>0</v>
      </c>
      <c r="BB581" s="49">
        <v>1</v>
      </c>
      <c r="BC581" s="50">
        <v>100</v>
      </c>
      <c r="BD581" s="49">
        <v>1</v>
      </c>
      <c r="BE581" s="49"/>
      <c r="BF581" s="49"/>
      <c r="BG581" s="49"/>
      <c r="BH581" s="49"/>
      <c r="BI581" s="49"/>
      <c r="BJ581" s="49"/>
      <c r="BK581" s="111" t="s">
        <v>2390</v>
      </c>
      <c r="BL581" s="111" t="s">
        <v>2390</v>
      </c>
      <c r="BM581" s="111" t="s">
        <v>2390</v>
      </c>
      <c r="BN581" s="111" t="s">
        <v>2390</v>
      </c>
      <c r="BO581" s="2"/>
      <c r="BP581" s="3"/>
      <c r="BQ581" s="3"/>
      <c r="BR581" s="3"/>
      <c r="BS581" s="3"/>
    </row>
    <row r="582" spans="1:71" ht="15">
      <c r="A582" s="65" t="s">
        <v>779</v>
      </c>
      <c r="B582" s="66"/>
      <c r="C582" s="66"/>
      <c r="D582" s="67">
        <v>150</v>
      </c>
      <c r="E582" s="69"/>
      <c r="F582" s="103" t="str">
        <f>HYPERLINK("https://yt3.ggpht.com/Kc6zkIOQkwRbUwNWaOXWgtwBUCZ5tg1glcTx6WtUJ3vmy4nEzgnPhRBb0Xpm0fLqc4Y4r6ncjQ=s88-c-k-c0x00ffffff-no-rj")</f>
        <v>https://yt3.ggpht.com/Kc6zkIOQkwRbUwNWaOXWgtwBUCZ5tg1glcTx6WtUJ3vmy4nEzgnPhRBb0Xpm0fLqc4Y4r6ncjQ=s88-c-k-c0x00ffffff-no-rj</v>
      </c>
      <c r="G582" s="66"/>
      <c r="H582" s="70" t="s">
        <v>2138</v>
      </c>
      <c r="I582" s="71"/>
      <c r="J582" s="71" t="s">
        <v>159</v>
      </c>
      <c r="K582" s="70" t="s">
        <v>2138</v>
      </c>
      <c r="L582" s="74">
        <v>1</v>
      </c>
      <c r="M582" s="75">
        <v>2024.1680908203125</v>
      </c>
      <c r="N582" s="75">
        <v>2870.750244140625</v>
      </c>
      <c r="O582" s="76"/>
      <c r="P582" s="77"/>
      <c r="Q582" s="77"/>
      <c r="R582" s="89"/>
      <c r="S582" s="49">
        <v>0</v>
      </c>
      <c r="T582" s="49">
        <v>2</v>
      </c>
      <c r="U582" s="50">
        <v>0</v>
      </c>
      <c r="V582" s="50">
        <v>0.001103</v>
      </c>
      <c r="W582" s="50">
        <v>0</v>
      </c>
      <c r="X582" s="50">
        <v>0.798459</v>
      </c>
      <c r="Y582" s="50">
        <v>0.5</v>
      </c>
      <c r="Z582" s="50">
        <v>0</v>
      </c>
      <c r="AA582" s="72">
        <v>582</v>
      </c>
      <c r="AB582" s="72"/>
      <c r="AC582" s="73"/>
      <c r="AD582" s="80" t="s">
        <v>2138</v>
      </c>
      <c r="AE582" s="80" t="s">
        <v>2611</v>
      </c>
      <c r="AF582" s="80"/>
      <c r="AG582" s="80"/>
      <c r="AH582" s="80"/>
      <c r="AI582" s="80"/>
      <c r="AJ582" s="87">
        <v>41220.690567129626</v>
      </c>
      <c r="AK582" s="85" t="str">
        <f>HYPERLINK("https://yt3.ggpht.com/Kc6zkIOQkwRbUwNWaOXWgtwBUCZ5tg1glcTx6WtUJ3vmy4nEzgnPhRBb0Xpm0fLqc4Y4r6ncjQ=s88-c-k-c0x00ffffff-no-rj")</f>
        <v>https://yt3.ggpht.com/Kc6zkIOQkwRbUwNWaOXWgtwBUCZ5tg1glcTx6WtUJ3vmy4nEzgnPhRBb0Xpm0fLqc4Y4r6ncjQ=s88-c-k-c0x00ffffff-no-rj</v>
      </c>
      <c r="AL582" s="80">
        <v>24</v>
      </c>
      <c r="AM582" s="80">
        <v>0</v>
      </c>
      <c r="AN582" s="80">
        <v>5</v>
      </c>
      <c r="AO582" s="80" t="b">
        <v>0</v>
      </c>
      <c r="AP582" s="80">
        <v>2</v>
      </c>
      <c r="AQ582" s="80"/>
      <c r="AR582" s="80"/>
      <c r="AS582" s="80" t="s">
        <v>2664</v>
      </c>
      <c r="AT582" s="85" t="str">
        <f>HYPERLINK("https://www.youtube.com/channel/UCdf__4wGpIoAJUxaHzh52Rg")</f>
        <v>https://www.youtube.com/channel/UCdf__4wGpIoAJUxaHzh52Rg</v>
      </c>
      <c r="AU582" s="80" t="str">
        <f>REPLACE(INDEX(GroupVertices[Group],MATCH(Vertices[[#This Row],[Vertex]],GroupVertices[Vertex],0)),1,1,"")</f>
        <v>2</v>
      </c>
      <c r="AV582" s="49">
        <v>0</v>
      </c>
      <c r="AW582" s="50">
        <v>0</v>
      </c>
      <c r="AX582" s="49">
        <v>0</v>
      </c>
      <c r="AY582" s="50">
        <v>0</v>
      </c>
      <c r="AZ582" s="49">
        <v>0</v>
      </c>
      <c r="BA582" s="50">
        <v>0</v>
      </c>
      <c r="BB582" s="49">
        <v>2</v>
      </c>
      <c r="BC582" s="50">
        <v>100</v>
      </c>
      <c r="BD582" s="49">
        <v>2</v>
      </c>
      <c r="BE582" s="49"/>
      <c r="BF582" s="49"/>
      <c r="BG582" s="49"/>
      <c r="BH582" s="49"/>
      <c r="BI582" s="49"/>
      <c r="BJ582" s="49"/>
      <c r="BK582" s="111" t="s">
        <v>2935</v>
      </c>
      <c r="BL582" s="111" t="s">
        <v>2935</v>
      </c>
      <c r="BM582" s="111" t="s">
        <v>2390</v>
      </c>
      <c r="BN582" s="111" t="s">
        <v>2390</v>
      </c>
      <c r="BO582" s="2"/>
      <c r="BP582" s="3"/>
      <c r="BQ582" s="3"/>
      <c r="BR582" s="3"/>
      <c r="BS582" s="3"/>
    </row>
    <row r="583" spans="1:71" ht="15">
      <c r="A583" s="65" t="s">
        <v>780</v>
      </c>
      <c r="B583" s="66"/>
      <c r="C583" s="66"/>
      <c r="D583" s="67">
        <v>150</v>
      </c>
      <c r="E583" s="69"/>
      <c r="F583" s="103" t="str">
        <f>HYPERLINK("https://yt3.ggpht.com/ytc/AAUvwnhJUYXxTFSHiq5FFX57fpV_28_iqhgJxWEO3V3g_g=s88-c-k-c0x00ffffff-no-rj")</f>
        <v>https://yt3.ggpht.com/ytc/AAUvwnhJUYXxTFSHiq5FFX57fpV_28_iqhgJxWEO3V3g_g=s88-c-k-c0x00ffffff-no-rj</v>
      </c>
      <c r="G583" s="66"/>
      <c r="H583" s="70" t="s">
        <v>2139</v>
      </c>
      <c r="I583" s="71"/>
      <c r="J583" s="71" t="s">
        <v>159</v>
      </c>
      <c r="K583" s="70" t="s">
        <v>2139</v>
      </c>
      <c r="L583" s="74">
        <v>1</v>
      </c>
      <c r="M583" s="75">
        <v>1844.5069580078125</v>
      </c>
      <c r="N583" s="75">
        <v>2802.5732421875</v>
      </c>
      <c r="O583" s="76"/>
      <c r="P583" s="77"/>
      <c r="Q583" s="77"/>
      <c r="R583" s="89"/>
      <c r="S583" s="49">
        <v>0</v>
      </c>
      <c r="T583" s="49">
        <v>3</v>
      </c>
      <c r="U583" s="50">
        <v>36.333333</v>
      </c>
      <c r="V583" s="50">
        <v>0.001106</v>
      </c>
      <c r="W583" s="50">
        <v>0</v>
      </c>
      <c r="X583" s="50">
        <v>1.094123</v>
      </c>
      <c r="Y583" s="50">
        <v>0.3333333333333333</v>
      </c>
      <c r="Z583" s="50">
        <v>0</v>
      </c>
      <c r="AA583" s="72">
        <v>583</v>
      </c>
      <c r="AB583" s="72"/>
      <c r="AC583" s="73"/>
      <c r="AD583" s="80" t="s">
        <v>2139</v>
      </c>
      <c r="AE583" s="80"/>
      <c r="AF583" s="80"/>
      <c r="AG583" s="80"/>
      <c r="AH583" s="80"/>
      <c r="AI583" s="80"/>
      <c r="AJ583" s="87">
        <v>42685.09310185185</v>
      </c>
      <c r="AK583" s="85" t="str">
        <f>HYPERLINK("https://yt3.ggpht.com/ytc/AAUvwnhJUYXxTFSHiq5FFX57fpV_28_iqhgJxWEO3V3g_g=s88-c-k-c0x00ffffff-no-rj")</f>
        <v>https://yt3.ggpht.com/ytc/AAUvwnhJUYXxTFSHiq5FFX57fpV_28_iqhgJxWEO3V3g_g=s88-c-k-c0x00ffffff-no-rj</v>
      </c>
      <c r="AL583" s="80">
        <v>0</v>
      </c>
      <c r="AM583" s="80">
        <v>0</v>
      </c>
      <c r="AN583" s="80">
        <v>5</v>
      </c>
      <c r="AO583" s="80" t="b">
        <v>0</v>
      </c>
      <c r="AP583" s="80">
        <v>0</v>
      </c>
      <c r="AQ583" s="80"/>
      <c r="AR583" s="80"/>
      <c r="AS583" s="80" t="s">
        <v>2664</v>
      </c>
      <c r="AT583" s="85" t="str">
        <f>HYPERLINK("https://www.youtube.com/channel/UCqTGL2iGxZBMK9l4EWPg1Ug")</f>
        <v>https://www.youtube.com/channel/UCqTGL2iGxZBMK9l4EWPg1Ug</v>
      </c>
      <c r="AU583" s="80" t="str">
        <f>REPLACE(INDEX(GroupVertices[Group],MATCH(Vertices[[#This Row],[Vertex]],GroupVertices[Vertex],0)),1,1,"")</f>
        <v>2</v>
      </c>
      <c r="AV583" s="49">
        <v>0</v>
      </c>
      <c r="AW583" s="50">
        <v>0</v>
      </c>
      <c r="AX583" s="49">
        <v>0</v>
      </c>
      <c r="AY583" s="50">
        <v>0</v>
      </c>
      <c r="AZ583" s="49">
        <v>0</v>
      </c>
      <c r="BA583" s="50">
        <v>0</v>
      </c>
      <c r="BB583" s="49">
        <v>27</v>
      </c>
      <c r="BC583" s="50">
        <v>100</v>
      </c>
      <c r="BD583" s="49">
        <v>27</v>
      </c>
      <c r="BE583" s="49" t="s">
        <v>3437</v>
      </c>
      <c r="BF583" s="49" t="s">
        <v>3437</v>
      </c>
      <c r="BG583" s="49" t="s">
        <v>2379</v>
      </c>
      <c r="BH583" s="49" t="s">
        <v>2379</v>
      </c>
      <c r="BI583" s="49"/>
      <c r="BJ583" s="49"/>
      <c r="BK583" s="111" t="s">
        <v>4091</v>
      </c>
      <c r="BL583" s="111" t="s">
        <v>4142</v>
      </c>
      <c r="BM583" s="111" t="s">
        <v>4552</v>
      </c>
      <c r="BN583" s="111" t="s">
        <v>4588</v>
      </c>
      <c r="BO583" s="2"/>
      <c r="BP583" s="3"/>
      <c r="BQ583" s="3"/>
      <c r="BR583" s="3"/>
      <c r="BS583" s="3"/>
    </row>
    <row r="584" spans="1:71" ht="15">
      <c r="A584" s="65" t="s">
        <v>781</v>
      </c>
      <c r="B584" s="66"/>
      <c r="C584" s="66"/>
      <c r="D584" s="67">
        <v>291.66666666666663</v>
      </c>
      <c r="E584" s="69"/>
      <c r="F584" s="103" t="str">
        <f>HYPERLINK("https://yt3.ggpht.com/ytc/AAUvwngmitNV76DteaE-e8swFLJ7_OxqW4VYKEhxhDYlbA=s88-c-k-c0x00ffffff-no-rj")</f>
        <v>https://yt3.ggpht.com/ytc/AAUvwngmitNV76DteaE-e8swFLJ7_OxqW4VYKEhxhDYlbA=s88-c-k-c0x00ffffff-no-rj</v>
      </c>
      <c r="G584" s="66"/>
      <c r="H584" s="70" t="s">
        <v>2140</v>
      </c>
      <c r="I584" s="71"/>
      <c r="J584" s="71" t="s">
        <v>159</v>
      </c>
      <c r="K584" s="70" t="s">
        <v>2140</v>
      </c>
      <c r="L584" s="74">
        <v>96.21904761904761</v>
      </c>
      <c r="M584" s="75">
        <v>1685.0093994140625</v>
      </c>
      <c r="N584" s="75">
        <v>2909.336181640625</v>
      </c>
      <c r="O584" s="76"/>
      <c r="P584" s="77"/>
      <c r="Q584" s="77"/>
      <c r="R584" s="89"/>
      <c r="S584" s="49">
        <v>1</v>
      </c>
      <c r="T584" s="49">
        <v>2</v>
      </c>
      <c r="U584" s="50">
        <v>291.666667</v>
      </c>
      <c r="V584" s="50">
        <v>0.001105</v>
      </c>
      <c r="W584" s="50">
        <v>0</v>
      </c>
      <c r="X584" s="50">
        <v>1.123107</v>
      </c>
      <c r="Y584" s="50">
        <v>0.16666666666666666</v>
      </c>
      <c r="Z584" s="50">
        <v>0</v>
      </c>
      <c r="AA584" s="72">
        <v>584</v>
      </c>
      <c r="AB584" s="72"/>
      <c r="AC584" s="73"/>
      <c r="AD584" s="80" t="s">
        <v>2140</v>
      </c>
      <c r="AE584" s="80" t="s">
        <v>2612</v>
      </c>
      <c r="AF584" s="80"/>
      <c r="AG584" s="80"/>
      <c r="AH584" s="80"/>
      <c r="AI584" s="80"/>
      <c r="AJ584" s="87">
        <v>43770.44101851852</v>
      </c>
      <c r="AK584" s="85" t="str">
        <f>HYPERLINK("https://yt3.ggpht.com/ytc/AAUvwngmitNV76DteaE-e8swFLJ7_OxqW4VYKEhxhDYlbA=s88-c-k-c0x00ffffff-no-rj")</f>
        <v>https://yt3.ggpht.com/ytc/AAUvwngmitNV76DteaE-e8swFLJ7_OxqW4VYKEhxhDYlbA=s88-c-k-c0x00ffffff-no-rj</v>
      </c>
      <c r="AL584" s="80">
        <v>2945</v>
      </c>
      <c r="AM584" s="80">
        <v>0</v>
      </c>
      <c r="AN584" s="80">
        <v>53</v>
      </c>
      <c r="AO584" s="80" t="b">
        <v>0</v>
      </c>
      <c r="AP584" s="80">
        <v>89</v>
      </c>
      <c r="AQ584" s="80"/>
      <c r="AR584" s="80"/>
      <c r="AS584" s="80" t="s">
        <v>2664</v>
      </c>
      <c r="AT584" s="85" t="str">
        <f>HYPERLINK("https://www.youtube.com/channel/UCXptVAEtFVNWoBYkirxhSHg")</f>
        <v>https://www.youtube.com/channel/UCXptVAEtFVNWoBYkirxhSHg</v>
      </c>
      <c r="AU584" s="80" t="str">
        <f>REPLACE(INDEX(GroupVertices[Group],MATCH(Vertices[[#This Row],[Vertex]],GroupVertices[Vertex],0)),1,1,"")</f>
        <v>2</v>
      </c>
      <c r="AV584" s="49">
        <v>0</v>
      </c>
      <c r="AW584" s="50">
        <v>0</v>
      </c>
      <c r="AX584" s="49">
        <v>0</v>
      </c>
      <c r="AY584" s="50">
        <v>0</v>
      </c>
      <c r="AZ584" s="49">
        <v>0</v>
      </c>
      <c r="BA584" s="50">
        <v>0</v>
      </c>
      <c r="BB584" s="49">
        <v>15</v>
      </c>
      <c r="BC584" s="50">
        <v>100</v>
      </c>
      <c r="BD584" s="49">
        <v>15</v>
      </c>
      <c r="BE584" s="49"/>
      <c r="BF584" s="49"/>
      <c r="BG584" s="49"/>
      <c r="BH584" s="49"/>
      <c r="BI584" s="49"/>
      <c r="BJ584" s="49"/>
      <c r="BK584" s="111" t="s">
        <v>4092</v>
      </c>
      <c r="BL584" s="111" t="s">
        <v>4143</v>
      </c>
      <c r="BM584" s="111" t="s">
        <v>4553</v>
      </c>
      <c r="BN584" s="111" t="s">
        <v>4589</v>
      </c>
      <c r="BO584" s="2"/>
      <c r="BP584" s="3"/>
      <c r="BQ584" s="3"/>
      <c r="BR584" s="3"/>
      <c r="BS584" s="3"/>
    </row>
    <row r="585" spans="1:71" ht="15">
      <c r="A585" s="65" t="s">
        <v>782</v>
      </c>
      <c r="B585" s="66"/>
      <c r="C585" s="66"/>
      <c r="D585" s="67">
        <v>150</v>
      </c>
      <c r="E585" s="69"/>
      <c r="F585" s="103" t="str">
        <f>HYPERLINK("https://yt3.ggpht.com/ytc/AAUvwngQ1LxLoKczf_NRzkDSZfFOZFSORjhXBzU3kx-kmw=s88-c-k-c0x00ffffff-no-rj")</f>
        <v>https://yt3.ggpht.com/ytc/AAUvwngQ1LxLoKczf_NRzkDSZfFOZFSORjhXBzU3kx-kmw=s88-c-k-c0x00ffffff-no-rj</v>
      </c>
      <c r="G585" s="66"/>
      <c r="H585" s="70" t="s">
        <v>2141</v>
      </c>
      <c r="I585" s="71"/>
      <c r="J585" s="71" t="s">
        <v>159</v>
      </c>
      <c r="K585" s="70" t="s">
        <v>2141</v>
      </c>
      <c r="L585" s="74">
        <v>1</v>
      </c>
      <c r="M585" s="75">
        <v>1598.79541015625</v>
      </c>
      <c r="N585" s="75">
        <v>2819.507080078125</v>
      </c>
      <c r="O585" s="76"/>
      <c r="P585" s="77"/>
      <c r="Q585" s="77"/>
      <c r="R585" s="89"/>
      <c r="S585" s="49">
        <v>0</v>
      </c>
      <c r="T585" s="49">
        <v>2</v>
      </c>
      <c r="U585" s="50">
        <v>0</v>
      </c>
      <c r="V585" s="50">
        <v>0.001103</v>
      </c>
      <c r="W585" s="50">
        <v>0</v>
      </c>
      <c r="X585" s="50">
        <v>0.798459</v>
      </c>
      <c r="Y585" s="50">
        <v>0.5</v>
      </c>
      <c r="Z585" s="50">
        <v>0</v>
      </c>
      <c r="AA585" s="72">
        <v>585</v>
      </c>
      <c r="AB585" s="72"/>
      <c r="AC585" s="73"/>
      <c r="AD585" s="80" t="s">
        <v>2141</v>
      </c>
      <c r="AE585" s="80"/>
      <c r="AF585" s="80"/>
      <c r="AG585" s="80"/>
      <c r="AH585" s="80"/>
      <c r="AI585" s="80"/>
      <c r="AJ585" s="87">
        <v>42384.03778935185</v>
      </c>
      <c r="AK585" s="85" t="str">
        <f>HYPERLINK("https://yt3.ggpht.com/ytc/AAUvwngQ1LxLoKczf_NRzkDSZfFOZFSORjhXBzU3kx-kmw=s88-c-k-c0x00ffffff-no-rj")</f>
        <v>https://yt3.ggpht.com/ytc/AAUvwngQ1LxLoKczf_NRzkDSZfFOZFSORjhXBzU3kx-kmw=s88-c-k-c0x00ffffff-no-rj</v>
      </c>
      <c r="AL585" s="80">
        <v>0</v>
      </c>
      <c r="AM585" s="80">
        <v>0</v>
      </c>
      <c r="AN585" s="80">
        <v>12</v>
      </c>
      <c r="AO585" s="80" t="b">
        <v>0</v>
      </c>
      <c r="AP585" s="80">
        <v>0</v>
      </c>
      <c r="AQ585" s="80"/>
      <c r="AR585" s="80"/>
      <c r="AS585" s="80" t="s">
        <v>2664</v>
      </c>
      <c r="AT585" s="85" t="str">
        <f>HYPERLINK("https://www.youtube.com/channel/UCYbcr3YlItwbRXxWJhXfPMQ")</f>
        <v>https://www.youtube.com/channel/UCYbcr3YlItwbRXxWJhXfPMQ</v>
      </c>
      <c r="AU585" s="80" t="str">
        <f>REPLACE(INDEX(GroupVertices[Group],MATCH(Vertices[[#This Row],[Vertex]],GroupVertices[Vertex],0)),1,1,"")</f>
        <v>2</v>
      </c>
      <c r="AV585" s="49">
        <v>0</v>
      </c>
      <c r="AW585" s="50">
        <v>0</v>
      </c>
      <c r="AX585" s="49">
        <v>0</v>
      </c>
      <c r="AY585" s="50">
        <v>0</v>
      </c>
      <c r="AZ585" s="49">
        <v>0</v>
      </c>
      <c r="BA585" s="50">
        <v>0</v>
      </c>
      <c r="BB585" s="49">
        <v>12</v>
      </c>
      <c r="BC585" s="50">
        <v>100</v>
      </c>
      <c r="BD585" s="49">
        <v>12</v>
      </c>
      <c r="BE585" s="49"/>
      <c r="BF585" s="49"/>
      <c r="BG585" s="49"/>
      <c r="BH585" s="49"/>
      <c r="BI585" s="49"/>
      <c r="BJ585" s="49"/>
      <c r="BK585" s="111" t="s">
        <v>4093</v>
      </c>
      <c r="BL585" s="111" t="s">
        <v>4093</v>
      </c>
      <c r="BM585" s="111" t="s">
        <v>4554</v>
      </c>
      <c r="BN585" s="111" t="s">
        <v>4554</v>
      </c>
      <c r="BO585" s="2"/>
      <c r="BP585" s="3"/>
      <c r="BQ585" s="3"/>
      <c r="BR585" s="3"/>
      <c r="BS585" s="3"/>
    </row>
    <row r="586" spans="1:71" ht="15">
      <c r="A586" s="65" t="s">
        <v>783</v>
      </c>
      <c r="B586" s="66"/>
      <c r="C586" s="66"/>
      <c r="D586" s="67">
        <v>150</v>
      </c>
      <c r="E586" s="69"/>
      <c r="F586" s="103" t="str">
        <f>HYPERLINK("https://yt3.ggpht.com/ytc/AAUvwnie75MX-NuCDK9fP_U0VqRPp5aKXo14FAscKdXh=s88-c-k-c0x00ffffff-no-rj")</f>
        <v>https://yt3.ggpht.com/ytc/AAUvwnie75MX-NuCDK9fP_U0VqRPp5aKXo14FAscKdXh=s88-c-k-c0x00ffffff-no-rj</v>
      </c>
      <c r="G586" s="66"/>
      <c r="H586" s="70" t="s">
        <v>2142</v>
      </c>
      <c r="I586" s="71"/>
      <c r="J586" s="71" t="s">
        <v>159</v>
      </c>
      <c r="K586" s="70" t="s">
        <v>2142</v>
      </c>
      <c r="L586" s="74">
        <v>1</v>
      </c>
      <c r="M586" s="75">
        <v>1955.548828125</v>
      </c>
      <c r="N586" s="75">
        <v>2803.58984375</v>
      </c>
      <c r="O586" s="76"/>
      <c r="P586" s="77"/>
      <c r="Q586" s="77"/>
      <c r="R586" s="89"/>
      <c r="S586" s="49">
        <v>0</v>
      </c>
      <c r="T586" s="49">
        <v>3</v>
      </c>
      <c r="U586" s="50">
        <v>36.333333</v>
      </c>
      <c r="V586" s="50">
        <v>0.001106</v>
      </c>
      <c r="W586" s="50">
        <v>0</v>
      </c>
      <c r="X586" s="50">
        <v>1.094123</v>
      </c>
      <c r="Y586" s="50">
        <v>0.3333333333333333</v>
      </c>
      <c r="Z586" s="50">
        <v>0</v>
      </c>
      <c r="AA586" s="72">
        <v>586</v>
      </c>
      <c r="AB586" s="72"/>
      <c r="AC586" s="73"/>
      <c r="AD586" s="80" t="s">
        <v>2142</v>
      </c>
      <c r="AE586" s="80" t="s">
        <v>2613</v>
      </c>
      <c r="AF586" s="80"/>
      <c r="AG586" s="80"/>
      <c r="AH586" s="80"/>
      <c r="AI586" s="80"/>
      <c r="AJ586" s="87">
        <v>44166.80409722222</v>
      </c>
      <c r="AK586" s="85" t="str">
        <f>HYPERLINK("https://yt3.ggpht.com/ytc/AAUvwnie75MX-NuCDK9fP_U0VqRPp5aKXo14FAscKdXh=s88-c-k-c0x00ffffff-no-rj")</f>
        <v>https://yt3.ggpht.com/ytc/AAUvwnie75MX-NuCDK9fP_U0VqRPp5aKXo14FAscKdXh=s88-c-k-c0x00ffffff-no-rj</v>
      </c>
      <c r="AL586" s="80">
        <v>11</v>
      </c>
      <c r="AM586" s="80">
        <v>0</v>
      </c>
      <c r="AN586" s="80">
        <v>3</v>
      </c>
      <c r="AO586" s="80" t="b">
        <v>0</v>
      </c>
      <c r="AP586" s="80">
        <v>1</v>
      </c>
      <c r="AQ586" s="80"/>
      <c r="AR586" s="80"/>
      <c r="AS586" s="80" t="s">
        <v>2664</v>
      </c>
      <c r="AT586" s="85" t="str">
        <f>HYPERLINK("https://www.youtube.com/channel/UCF5ChGDslgBBC95Q2q_mqTA")</f>
        <v>https://www.youtube.com/channel/UCF5ChGDslgBBC95Q2q_mqTA</v>
      </c>
      <c r="AU586" s="80" t="str">
        <f>REPLACE(INDEX(GroupVertices[Group],MATCH(Vertices[[#This Row],[Vertex]],GroupVertices[Vertex],0)),1,1,"")</f>
        <v>2</v>
      </c>
      <c r="AV586" s="49">
        <v>0</v>
      </c>
      <c r="AW586" s="50">
        <v>0</v>
      </c>
      <c r="AX586" s="49">
        <v>1</v>
      </c>
      <c r="AY586" s="50">
        <v>14.285714285714286</v>
      </c>
      <c r="AZ586" s="49">
        <v>0</v>
      </c>
      <c r="BA586" s="50">
        <v>0</v>
      </c>
      <c r="BB586" s="49">
        <v>6</v>
      </c>
      <c r="BC586" s="50">
        <v>85.71428571428571</v>
      </c>
      <c r="BD586" s="49">
        <v>7</v>
      </c>
      <c r="BE586" s="49"/>
      <c r="BF586" s="49"/>
      <c r="BG586" s="49"/>
      <c r="BH586" s="49"/>
      <c r="BI586" s="49"/>
      <c r="BJ586" s="49"/>
      <c r="BK586" s="111" t="s">
        <v>4094</v>
      </c>
      <c r="BL586" s="111" t="s">
        <v>4094</v>
      </c>
      <c r="BM586" s="111" t="s">
        <v>4555</v>
      </c>
      <c r="BN586" s="111" t="s">
        <v>4555</v>
      </c>
      <c r="BO586" s="2"/>
      <c r="BP586" s="3"/>
      <c r="BQ586" s="3"/>
      <c r="BR586" s="3"/>
      <c r="BS586" s="3"/>
    </row>
    <row r="587" spans="1:71" ht="15">
      <c r="A587" s="65" t="s">
        <v>784</v>
      </c>
      <c r="B587" s="66"/>
      <c r="C587" s="66"/>
      <c r="D587" s="67">
        <v>150</v>
      </c>
      <c r="E587" s="69"/>
      <c r="F587" s="103" t="str">
        <f>HYPERLINK("https://yt3.ggpht.com/ytc/AAUvwnhds9Y-vJyK-TMFOA1zkDPqfW9P6qSKK4k5qk02Bw=s88-c-k-c0x00ffffff-no-rj")</f>
        <v>https://yt3.ggpht.com/ytc/AAUvwnhds9Y-vJyK-TMFOA1zkDPqfW9P6qSKK4k5qk02Bw=s88-c-k-c0x00ffffff-no-rj</v>
      </c>
      <c r="G587" s="66"/>
      <c r="H587" s="70" t="s">
        <v>2143</v>
      </c>
      <c r="I587" s="71"/>
      <c r="J587" s="71" t="s">
        <v>159</v>
      </c>
      <c r="K587" s="70" t="s">
        <v>2143</v>
      </c>
      <c r="L587" s="74">
        <v>1</v>
      </c>
      <c r="M587" s="75">
        <v>1545.934814453125</v>
      </c>
      <c r="N587" s="75">
        <v>2354.38720703125</v>
      </c>
      <c r="O587" s="76"/>
      <c r="P587" s="77"/>
      <c r="Q587" s="77"/>
      <c r="R587" s="89"/>
      <c r="S587" s="49">
        <v>0</v>
      </c>
      <c r="T587" s="49">
        <v>1</v>
      </c>
      <c r="U587" s="50">
        <v>0</v>
      </c>
      <c r="V587" s="50">
        <v>0.001068</v>
      </c>
      <c r="W587" s="50">
        <v>0</v>
      </c>
      <c r="X587" s="50">
        <v>0.467912</v>
      </c>
      <c r="Y587" s="50">
        <v>0</v>
      </c>
      <c r="Z587" s="50">
        <v>0</v>
      </c>
      <c r="AA587" s="72">
        <v>587</v>
      </c>
      <c r="AB587" s="72"/>
      <c r="AC587" s="73"/>
      <c r="AD587" s="80" t="s">
        <v>2143</v>
      </c>
      <c r="AE587" s="80" t="s">
        <v>2614</v>
      </c>
      <c r="AF587" s="80"/>
      <c r="AG587" s="80"/>
      <c r="AH587" s="80"/>
      <c r="AI587" s="80"/>
      <c r="AJ587" s="87">
        <v>43735.382372685184</v>
      </c>
      <c r="AK587" s="85" t="str">
        <f>HYPERLINK("https://yt3.ggpht.com/ytc/AAUvwnhds9Y-vJyK-TMFOA1zkDPqfW9P6qSKK4k5qk02Bw=s88-c-k-c0x00ffffff-no-rj")</f>
        <v>https://yt3.ggpht.com/ytc/AAUvwnhds9Y-vJyK-TMFOA1zkDPqfW9P6qSKK4k5qk02Bw=s88-c-k-c0x00ffffff-no-rj</v>
      </c>
      <c r="AL587" s="80">
        <v>0</v>
      </c>
      <c r="AM587" s="80">
        <v>0</v>
      </c>
      <c r="AN587" s="80">
        <v>1</v>
      </c>
      <c r="AO587" s="80" t="b">
        <v>0</v>
      </c>
      <c r="AP587" s="80">
        <v>0</v>
      </c>
      <c r="AQ587" s="80"/>
      <c r="AR587" s="80"/>
      <c r="AS587" s="80" t="s">
        <v>2664</v>
      </c>
      <c r="AT587" s="85" t="str">
        <f>HYPERLINK("https://www.youtube.com/channel/UCanNtkxGuVo8RHmoYXqQdPQ")</f>
        <v>https://www.youtube.com/channel/UCanNtkxGuVo8RHmoYXqQdPQ</v>
      </c>
      <c r="AU587" s="80" t="str">
        <f>REPLACE(INDEX(GroupVertices[Group],MATCH(Vertices[[#This Row],[Vertex]],GroupVertices[Vertex],0)),1,1,"")</f>
        <v>2</v>
      </c>
      <c r="AV587" s="49">
        <v>1</v>
      </c>
      <c r="AW587" s="50">
        <v>33.333333333333336</v>
      </c>
      <c r="AX587" s="49">
        <v>0</v>
      </c>
      <c r="AY587" s="50">
        <v>0</v>
      </c>
      <c r="AZ587" s="49">
        <v>0</v>
      </c>
      <c r="BA587" s="50">
        <v>0</v>
      </c>
      <c r="BB587" s="49">
        <v>2</v>
      </c>
      <c r="BC587" s="50">
        <v>66.66666666666667</v>
      </c>
      <c r="BD587" s="49">
        <v>3</v>
      </c>
      <c r="BE587" s="49"/>
      <c r="BF587" s="49"/>
      <c r="BG587" s="49"/>
      <c r="BH587" s="49"/>
      <c r="BI587" s="49"/>
      <c r="BJ587" s="49"/>
      <c r="BK587" s="111" t="s">
        <v>4095</v>
      </c>
      <c r="BL587" s="111" t="s">
        <v>4095</v>
      </c>
      <c r="BM587" s="111" t="s">
        <v>4556</v>
      </c>
      <c r="BN587" s="111" t="s">
        <v>4556</v>
      </c>
      <c r="BO587" s="2"/>
      <c r="BP587" s="3"/>
      <c r="BQ587" s="3"/>
      <c r="BR587" s="3"/>
      <c r="BS587" s="3"/>
    </row>
    <row r="588" spans="1:71" ht="15">
      <c r="A588" s="65" t="s">
        <v>785</v>
      </c>
      <c r="B588" s="66"/>
      <c r="C588" s="66"/>
      <c r="D588" s="67">
        <v>150</v>
      </c>
      <c r="E588" s="69"/>
      <c r="F588" s="103" t="str">
        <f>HYPERLINK("https://yt3.ggpht.com/ytc/AAUvwnhKdeXALhpg3-qvAvXk87WJ775g94BvKTZL7A=s88-c-k-c0x00ffffff-no-rj")</f>
        <v>https://yt3.ggpht.com/ytc/AAUvwnhKdeXALhpg3-qvAvXk87WJ775g94BvKTZL7A=s88-c-k-c0x00ffffff-no-rj</v>
      </c>
      <c r="G588" s="66"/>
      <c r="H588" s="70" t="s">
        <v>2144</v>
      </c>
      <c r="I588" s="71"/>
      <c r="J588" s="71" t="s">
        <v>159</v>
      </c>
      <c r="K588" s="70" t="s">
        <v>2144</v>
      </c>
      <c r="L588" s="74">
        <v>1</v>
      </c>
      <c r="M588" s="75">
        <v>1806.0439453125</v>
      </c>
      <c r="N588" s="75">
        <v>1108.9896240234375</v>
      </c>
      <c r="O588" s="76"/>
      <c r="P588" s="77"/>
      <c r="Q588" s="77"/>
      <c r="R588" s="89"/>
      <c r="S588" s="49">
        <v>0</v>
      </c>
      <c r="T588" s="49">
        <v>1</v>
      </c>
      <c r="U588" s="50">
        <v>0</v>
      </c>
      <c r="V588" s="50">
        <v>0.001068</v>
      </c>
      <c r="W588" s="50">
        <v>0</v>
      </c>
      <c r="X588" s="50">
        <v>0.467912</v>
      </c>
      <c r="Y588" s="50">
        <v>0</v>
      </c>
      <c r="Z588" s="50">
        <v>0</v>
      </c>
      <c r="AA588" s="72">
        <v>588</v>
      </c>
      <c r="AB588" s="72"/>
      <c r="AC588" s="73"/>
      <c r="AD588" s="80" t="s">
        <v>2144</v>
      </c>
      <c r="AE588" s="80"/>
      <c r="AF588" s="80"/>
      <c r="AG588" s="80"/>
      <c r="AH588" s="80"/>
      <c r="AI588" s="80"/>
      <c r="AJ588" s="87">
        <v>43656.36450231481</v>
      </c>
      <c r="AK588" s="85" t="str">
        <f>HYPERLINK("https://yt3.ggpht.com/ytc/AAUvwnhKdeXALhpg3-qvAvXk87WJ775g94BvKTZL7A=s88-c-k-c0x00ffffff-no-rj")</f>
        <v>https://yt3.ggpht.com/ytc/AAUvwnhKdeXALhpg3-qvAvXk87WJ775g94BvKTZL7A=s88-c-k-c0x00ffffff-no-rj</v>
      </c>
      <c r="AL588" s="80">
        <v>8</v>
      </c>
      <c r="AM588" s="80">
        <v>0</v>
      </c>
      <c r="AN588" s="80">
        <v>1</v>
      </c>
      <c r="AO588" s="80" t="b">
        <v>0</v>
      </c>
      <c r="AP588" s="80">
        <v>2</v>
      </c>
      <c r="AQ588" s="80"/>
      <c r="AR588" s="80"/>
      <c r="AS588" s="80" t="s">
        <v>2664</v>
      </c>
      <c r="AT588" s="85" t="str">
        <f>HYPERLINK("https://www.youtube.com/channel/UCIRd_KLhNQWScj1-la439iw")</f>
        <v>https://www.youtube.com/channel/UCIRd_KLhNQWScj1-la439iw</v>
      </c>
      <c r="AU588" s="80" t="str">
        <f>REPLACE(INDEX(GroupVertices[Group],MATCH(Vertices[[#This Row],[Vertex]],GroupVertices[Vertex],0)),1,1,"")</f>
        <v>2</v>
      </c>
      <c r="AV588" s="49">
        <v>0</v>
      </c>
      <c r="AW588" s="50">
        <v>0</v>
      </c>
      <c r="AX588" s="49">
        <v>0</v>
      </c>
      <c r="AY588" s="50">
        <v>0</v>
      </c>
      <c r="AZ588" s="49">
        <v>0</v>
      </c>
      <c r="BA588" s="50">
        <v>0</v>
      </c>
      <c r="BB588" s="49">
        <v>3</v>
      </c>
      <c r="BC588" s="50">
        <v>100</v>
      </c>
      <c r="BD588" s="49">
        <v>3</v>
      </c>
      <c r="BE588" s="49"/>
      <c r="BF588" s="49"/>
      <c r="BG588" s="49"/>
      <c r="BH588" s="49"/>
      <c r="BI588" s="49"/>
      <c r="BJ588" s="49"/>
      <c r="BK588" s="111" t="s">
        <v>2932</v>
      </c>
      <c r="BL588" s="111" t="s">
        <v>2932</v>
      </c>
      <c r="BM588" s="111" t="s">
        <v>2390</v>
      </c>
      <c r="BN588" s="111" t="s">
        <v>2390</v>
      </c>
      <c r="BO588" s="2"/>
      <c r="BP588" s="3"/>
      <c r="BQ588" s="3"/>
      <c r="BR588" s="3"/>
      <c r="BS588" s="3"/>
    </row>
    <row r="589" spans="1:71" ht="15">
      <c r="A589" s="65" t="s">
        <v>786</v>
      </c>
      <c r="B589" s="66"/>
      <c r="C589" s="66"/>
      <c r="D589" s="67">
        <v>150</v>
      </c>
      <c r="E589" s="69"/>
      <c r="F589" s="103" t="str">
        <f>HYPERLINK("https://yt3.ggpht.com/ytc/AAUvwng7uWKqcxN_q9dlMHNxK1ooPbFHeEZocLO1-beR6g=s88-c-k-c0x00ffffff-no-rj")</f>
        <v>https://yt3.ggpht.com/ytc/AAUvwng7uWKqcxN_q9dlMHNxK1ooPbFHeEZocLO1-beR6g=s88-c-k-c0x00ffffff-no-rj</v>
      </c>
      <c r="G589" s="66"/>
      <c r="H589" s="70" t="s">
        <v>2145</v>
      </c>
      <c r="I589" s="71"/>
      <c r="J589" s="71" t="s">
        <v>159</v>
      </c>
      <c r="K589" s="70" t="s">
        <v>2145</v>
      </c>
      <c r="L589" s="74">
        <v>1</v>
      </c>
      <c r="M589" s="75">
        <v>3817.514892578125</v>
      </c>
      <c r="N589" s="75">
        <v>8580.78515625</v>
      </c>
      <c r="O589" s="76"/>
      <c r="P589" s="77"/>
      <c r="Q589" s="77"/>
      <c r="R589" s="89"/>
      <c r="S589" s="49">
        <v>0</v>
      </c>
      <c r="T589" s="49">
        <v>2</v>
      </c>
      <c r="U589" s="50">
        <v>20946.066667</v>
      </c>
      <c r="V589" s="50">
        <v>0.001266</v>
      </c>
      <c r="W589" s="50">
        <v>0</v>
      </c>
      <c r="X589" s="50">
        <v>0.835429</v>
      </c>
      <c r="Y589" s="50">
        <v>0</v>
      </c>
      <c r="Z589" s="50">
        <v>0</v>
      </c>
      <c r="AA589" s="72">
        <v>589</v>
      </c>
      <c r="AB589" s="72"/>
      <c r="AC589" s="73"/>
      <c r="AD589" s="80" t="s">
        <v>2145</v>
      </c>
      <c r="AE589" s="80"/>
      <c r="AF589" s="80"/>
      <c r="AG589" s="80"/>
      <c r="AH589" s="80"/>
      <c r="AI589" s="80"/>
      <c r="AJ589" s="87">
        <v>42607.507314814815</v>
      </c>
      <c r="AK589" s="85" t="str">
        <f>HYPERLINK("https://yt3.ggpht.com/ytc/AAUvwng7uWKqcxN_q9dlMHNxK1ooPbFHeEZocLO1-beR6g=s88-c-k-c0x00ffffff-no-rj")</f>
        <v>https://yt3.ggpht.com/ytc/AAUvwng7uWKqcxN_q9dlMHNxK1ooPbFHeEZocLO1-beR6g=s88-c-k-c0x00ffffff-no-rj</v>
      </c>
      <c r="AL589" s="80">
        <v>0</v>
      </c>
      <c r="AM589" s="80">
        <v>0</v>
      </c>
      <c r="AN589" s="80">
        <v>7</v>
      </c>
      <c r="AO589" s="80" t="b">
        <v>0</v>
      </c>
      <c r="AP589" s="80">
        <v>0</v>
      </c>
      <c r="AQ589" s="80"/>
      <c r="AR589" s="80"/>
      <c r="AS589" s="80" t="s">
        <v>2664</v>
      </c>
      <c r="AT589" s="85" t="str">
        <f>HYPERLINK("https://www.youtube.com/channel/UCnkFrB1A-54rSDf1RYW_lnw")</f>
        <v>https://www.youtube.com/channel/UCnkFrB1A-54rSDf1RYW_lnw</v>
      </c>
      <c r="AU589" s="80" t="str">
        <f>REPLACE(INDEX(GroupVertices[Group],MATCH(Vertices[[#This Row],[Vertex]],GroupVertices[Vertex],0)),1,1,"")</f>
        <v>3</v>
      </c>
      <c r="AV589" s="49">
        <v>0</v>
      </c>
      <c r="AW589" s="50">
        <v>0</v>
      </c>
      <c r="AX589" s="49">
        <v>0</v>
      </c>
      <c r="AY589" s="50">
        <v>0</v>
      </c>
      <c r="AZ589" s="49">
        <v>0</v>
      </c>
      <c r="BA589" s="50">
        <v>0</v>
      </c>
      <c r="BB589" s="49">
        <v>4</v>
      </c>
      <c r="BC589" s="50">
        <v>100</v>
      </c>
      <c r="BD589" s="49">
        <v>4</v>
      </c>
      <c r="BE589" s="49"/>
      <c r="BF589" s="49"/>
      <c r="BG589" s="49"/>
      <c r="BH589" s="49"/>
      <c r="BI589" s="49"/>
      <c r="BJ589" s="49"/>
      <c r="BK589" s="111" t="s">
        <v>4096</v>
      </c>
      <c r="BL589" s="111" t="s">
        <v>4096</v>
      </c>
      <c r="BM589" s="111" t="s">
        <v>2390</v>
      </c>
      <c r="BN589" s="111" t="s">
        <v>2390</v>
      </c>
      <c r="BO589" s="2"/>
      <c r="BP589" s="3"/>
      <c r="BQ589" s="3"/>
      <c r="BR589" s="3"/>
      <c r="BS589" s="3"/>
    </row>
    <row r="590" spans="1:71" ht="15">
      <c r="A590" s="65" t="s">
        <v>787</v>
      </c>
      <c r="B590" s="66"/>
      <c r="C590" s="66"/>
      <c r="D590" s="67">
        <v>150</v>
      </c>
      <c r="E590" s="69"/>
      <c r="F590" s="103" t="str">
        <f>HYPERLINK("https://yt3.ggpht.com/ytc/AAUvwni07556i4e6rH6yH-15cpXQVL9IjUGS-HMsC17b=s88-c-k-c0x00ffffff-no-rj")</f>
        <v>https://yt3.ggpht.com/ytc/AAUvwni07556i4e6rH6yH-15cpXQVL9IjUGS-HMsC17b=s88-c-k-c0x00ffffff-no-rj</v>
      </c>
      <c r="G590" s="66"/>
      <c r="H590" s="70" t="s">
        <v>2146</v>
      </c>
      <c r="I590" s="71"/>
      <c r="J590" s="71" t="s">
        <v>159</v>
      </c>
      <c r="K590" s="70" t="s">
        <v>2146</v>
      </c>
      <c r="L590" s="74">
        <v>1</v>
      </c>
      <c r="M590" s="75">
        <v>1211.12744140625</v>
      </c>
      <c r="N590" s="75">
        <v>2007.96875</v>
      </c>
      <c r="O590" s="76"/>
      <c r="P590" s="77"/>
      <c r="Q590" s="77"/>
      <c r="R590" s="89"/>
      <c r="S590" s="49">
        <v>0</v>
      </c>
      <c r="T590" s="49">
        <v>1</v>
      </c>
      <c r="U590" s="50">
        <v>0</v>
      </c>
      <c r="V590" s="50">
        <v>0.001068</v>
      </c>
      <c r="W590" s="50">
        <v>0</v>
      </c>
      <c r="X590" s="50">
        <v>0.467912</v>
      </c>
      <c r="Y590" s="50">
        <v>0</v>
      </c>
      <c r="Z590" s="50">
        <v>0</v>
      </c>
      <c r="AA590" s="72">
        <v>590</v>
      </c>
      <c r="AB590" s="72"/>
      <c r="AC590" s="73"/>
      <c r="AD590" s="80" t="s">
        <v>2146</v>
      </c>
      <c r="AE590" s="80"/>
      <c r="AF590" s="80"/>
      <c r="AG590" s="80"/>
      <c r="AH590" s="80"/>
      <c r="AI590" s="80"/>
      <c r="AJ590" s="87">
        <v>43826.70799768518</v>
      </c>
      <c r="AK590" s="85" t="str">
        <f>HYPERLINK("https://yt3.ggpht.com/ytc/AAUvwni07556i4e6rH6yH-15cpXQVL9IjUGS-HMsC17b=s88-c-k-c0x00ffffff-no-rj")</f>
        <v>https://yt3.ggpht.com/ytc/AAUvwni07556i4e6rH6yH-15cpXQVL9IjUGS-HMsC17b=s88-c-k-c0x00ffffff-no-rj</v>
      </c>
      <c r="AL590" s="80">
        <v>19</v>
      </c>
      <c r="AM590" s="80">
        <v>0</v>
      </c>
      <c r="AN590" s="80">
        <v>3</v>
      </c>
      <c r="AO590" s="80" t="b">
        <v>0</v>
      </c>
      <c r="AP590" s="80">
        <v>2</v>
      </c>
      <c r="AQ590" s="80"/>
      <c r="AR590" s="80"/>
      <c r="AS590" s="80" t="s">
        <v>2664</v>
      </c>
      <c r="AT590" s="85" t="str">
        <f>HYPERLINK("https://www.youtube.com/channel/UCsllZ-JGcQe1GqrWliTwIaQ")</f>
        <v>https://www.youtube.com/channel/UCsllZ-JGcQe1GqrWliTwIaQ</v>
      </c>
      <c r="AU590" s="80" t="str">
        <f>REPLACE(INDEX(GroupVertices[Group],MATCH(Vertices[[#This Row],[Vertex]],GroupVertices[Vertex],0)),1,1,"")</f>
        <v>2</v>
      </c>
      <c r="AV590" s="49">
        <v>1</v>
      </c>
      <c r="AW590" s="50">
        <v>5.882352941176471</v>
      </c>
      <c r="AX590" s="49">
        <v>4</v>
      </c>
      <c r="AY590" s="50">
        <v>23.529411764705884</v>
      </c>
      <c r="AZ590" s="49">
        <v>0</v>
      </c>
      <c r="BA590" s="50">
        <v>0</v>
      </c>
      <c r="BB590" s="49">
        <v>12</v>
      </c>
      <c r="BC590" s="50">
        <v>70.58823529411765</v>
      </c>
      <c r="BD590" s="49">
        <v>17</v>
      </c>
      <c r="BE590" s="49"/>
      <c r="BF590" s="49"/>
      <c r="BG590" s="49"/>
      <c r="BH590" s="49"/>
      <c r="BI590" s="49"/>
      <c r="BJ590" s="49"/>
      <c r="BK590" s="111" t="s">
        <v>4097</v>
      </c>
      <c r="BL590" s="111" t="s">
        <v>4144</v>
      </c>
      <c r="BM590" s="111" t="s">
        <v>4557</v>
      </c>
      <c r="BN590" s="111" t="s">
        <v>4557</v>
      </c>
      <c r="BO590" s="2"/>
      <c r="BP590" s="3"/>
      <c r="BQ590" s="3"/>
      <c r="BR590" s="3"/>
      <c r="BS590" s="3"/>
    </row>
    <row r="591" spans="1:71" ht="15">
      <c r="A591" s="65" t="s">
        <v>788</v>
      </c>
      <c r="B591" s="66"/>
      <c r="C591" s="66"/>
      <c r="D591" s="67">
        <v>150</v>
      </c>
      <c r="E591" s="69"/>
      <c r="F591" s="103" t="str">
        <f>HYPERLINK("https://yt3.ggpht.com/ytc/AAUvwni8sqmMInB_D_FpXZRVoBTX7cdRedG5t0UCxA=s88-c-k-c0x00ffffff-no-rj")</f>
        <v>https://yt3.ggpht.com/ytc/AAUvwni8sqmMInB_D_FpXZRVoBTX7cdRedG5t0UCxA=s88-c-k-c0x00ffffff-no-rj</v>
      </c>
      <c r="G591" s="66"/>
      <c r="H591" s="70" t="s">
        <v>2147</v>
      </c>
      <c r="I591" s="71"/>
      <c r="J591" s="71" t="s">
        <v>159</v>
      </c>
      <c r="K591" s="70" t="s">
        <v>2147</v>
      </c>
      <c r="L591" s="74">
        <v>1</v>
      </c>
      <c r="M591" s="75">
        <v>1360.8837890625</v>
      </c>
      <c r="N591" s="75">
        <v>2216.322998046875</v>
      </c>
      <c r="O591" s="76"/>
      <c r="P591" s="77"/>
      <c r="Q591" s="77"/>
      <c r="R591" s="89"/>
      <c r="S591" s="49">
        <v>0</v>
      </c>
      <c r="T591" s="49">
        <v>1</v>
      </c>
      <c r="U591" s="50">
        <v>0</v>
      </c>
      <c r="V591" s="50">
        <v>0.001068</v>
      </c>
      <c r="W591" s="50">
        <v>0</v>
      </c>
      <c r="X591" s="50">
        <v>0.467912</v>
      </c>
      <c r="Y591" s="50">
        <v>0</v>
      </c>
      <c r="Z591" s="50">
        <v>0</v>
      </c>
      <c r="AA591" s="72">
        <v>591</v>
      </c>
      <c r="AB591" s="72"/>
      <c r="AC591" s="73"/>
      <c r="AD591" s="80" t="s">
        <v>2147</v>
      </c>
      <c r="AE591" s="80"/>
      <c r="AF591" s="80"/>
      <c r="AG591" s="80"/>
      <c r="AH591" s="80"/>
      <c r="AI591" s="80"/>
      <c r="AJ591" s="87">
        <v>43460.168125</v>
      </c>
      <c r="AK591" s="85" t="str">
        <f>HYPERLINK("https://yt3.ggpht.com/ytc/AAUvwni8sqmMInB_D_FpXZRVoBTX7cdRedG5t0UCxA=s88-c-k-c0x00ffffff-no-rj")</f>
        <v>https://yt3.ggpht.com/ytc/AAUvwni8sqmMInB_D_FpXZRVoBTX7cdRedG5t0UCxA=s88-c-k-c0x00ffffff-no-rj</v>
      </c>
      <c r="AL591" s="80">
        <v>44</v>
      </c>
      <c r="AM591" s="80">
        <v>0</v>
      </c>
      <c r="AN591" s="80">
        <v>8</v>
      </c>
      <c r="AO591" s="80" t="b">
        <v>0</v>
      </c>
      <c r="AP591" s="80">
        <v>1</v>
      </c>
      <c r="AQ591" s="80"/>
      <c r="AR591" s="80"/>
      <c r="AS591" s="80" t="s">
        <v>2664</v>
      </c>
      <c r="AT591" s="85" t="str">
        <f>HYPERLINK("https://www.youtube.com/channel/UC7SBoanzWGOIY8cJm5N5XwQ")</f>
        <v>https://www.youtube.com/channel/UC7SBoanzWGOIY8cJm5N5XwQ</v>
      </c>
      <c r="AU591" s="80" t="str">
        <f>REPLACE(INDEX(GroupVertices[Group],MATCH(Vertices[[#This Row],[Vertex]],GroupVertices[Vertex],0)),1,1,"")</f>
        <v>2</v>
      </c>
      <c r="AV591" s="49">
        <v>2</v>
      </c>
      <c r="AW591" s="50">
        <v>33.333333333333336</v>
      </c>
      <c r="AX591" s="49">
        <v>0</v>
      </c>
      <c r="AY591" s="50">
        <v>0</v>
      </c>
      <c r="AZ591" s="49">
        <v>0</v>
      </c>
      <c r="BA591" s="50">
        <v>0</v>
      </c>
      <c r="BB591" s="49">
        <v>4</v>
      </c>
      <c r="BC591" s="50">
        <v>66.66666666666667</v>
      </c>
      <c r="BD591" s="49">
        <v>6</v>
      </c>
      <c r="BE591" s="49"/>
      <c r="BF591" s="49"/>
      <c r="BG591" s="49"/>
      <c r="BH591" s="49"/>
      <c r="BI591" s="49"/>
      <c r="BJ591" s="49"/>
      <c r="BK591" s="111" t="s">
        <v>4098</v>
      </c>
      <c r="BL591" s="111" t="s">
        <v>4098</v>
      </c>
      <c r="BM591" s="111" t="s">
        <v>4558</v>
      </c>
      <c r="BN591" s="111" t="s">
        <v>4558</v>
      </c>
      <c r="BO591" s="2"/>
      <c r="BP591" s="3"/>
      <c r="BQ591" s="3"/>
      <c r="BR591" s="3"/>
      <c r="BS591" s="3"/>
    </row>
    <row r="592" spans="1:71" ht="15">
      <c r="A592" s="65" t="s">
        <v>789</v>
      </c>
      <c r="B592" s="66"/>
      <c r="C592" s="66"/>
      <c r="D592" s="67">
        <v>150</v>
      </c>
      <c r="E592" s="69"/>
      <c r="F592" s="103" t="str">
        <f>HYPERLINK("https://yt3.ggpht.com/ytc/AAUvwnhzI36pAyevh4Ai1I1DnoSoE-OZuWIP8dR_fGKDiA=s88-c-k-c0x00ffffff-no-rj")</f>
        <v>https://yt3.ggpht.com/ytc/AAUvwnhzI36pAyevh4Ai1I1DnoSoE-OZuWIP8dR_fGKDiA=s88-c-k-c0x00ffffff-no-rj</v>
      </c>
      <c r="G592" s="66"/>
      <c r="H592" s="70" t="s">
        <v>2148</v>
      </c>
      <c r="I592" s="71"/>
      <c r="J592" s="71" t="s">
        <v>159</v>
      </c>
      <c r="K592" s="70" t="s">
        <v>2148</v>
      </c>
      <c r="L592" s="74">
        <v>1</v>
      </c>
      <c r="M592" s="75">
        <v>3184.5390625</v>
      </c>
      <c r="N592" s="75">
        <v>1423.7724609375</v>
      </c>
      <c r="O592" s="76"/>
      <c r="P592" s="77"/>
      <c r="Q592" s="77"/>
      <c r="R592" s="89"/>
      <c r="S592" s="49">
        <v>0</v>
      </c>
      <c r="T592" s="49">
        <v>1</v>
      </c>
      <c r="U592" s="50">
        <v>0</v>
      </c>
      <c r="V592" s="50">
        <v>0.000837</v>
      </c>
      <c r="W592" s="50">
        <v>0</v>
      </c>
      <c r="X592" s="50">
        <v>0.445664</v>
      </c>
      <c r="Y592" s="50">
        <v>0</v>
      </c>
      <c r="Z592" s="50">
        <v>0</v>
      </c>
      <c r="AA592" s="72">
        <v>592</v>
      </c>
      <c r="AB592" s="72"/>
      <c r="AC592" s="73"/>
      <c r="AD592" s="80" t="s">
        <v>2148</v>
      </c>
      <c r="AE592" s="80" t="s">
        <v>2615</v>
      </c>
      <c r="AF592" s="80"/>
      <c r="AG592" s="80"/>
      <c r="AH592" s="80"/>
      <c r="AI592" s="80"/>
      <c r="AJ592" s="87">
        <v>42128.20616898148</v>
      </c>
      <c r="AK592" s="85" t="str">
        <f>HYPERLINK("https://yt3.ggpht.com/ytc/AAUvwnhzI36pAyevh4Ai1I1DnoSoE-OZuWIP8dR_fGKDiA=s88-c-k-c0x00ffffff-no-rj")</f>
        <v>https://yt3.ggpht.com/ytc/AAUvwnhzI36pAyevh4Ai1I1DnoSoE-OZuWIP8dR_fGKDiA=s88-c-k-c0x00ffffff-no-rj</v>
      </c>
      <c r="AL592" s="80">
        <v>0</v>
      </c>
      <c r="AM592" s="80">
        <v>0</v>
      </c>
      <c r="AN592" s="80">
        <v>1</v>
      </c>
      <c r="AO592" s="80" t="b">
        <v>0</v>
      </c>
      <c r="AP592" s="80">
        <v>0</v>
      </c>
      <c r="AQ592" s="80"/>
      <c r="AR592" s="80"/>
      <c r="AS592" s="80" t="s">
        <v>2664</v>
      </c>
      <c r="AT592" s="85" t="str">
        <f>HYPERLINK("https://www.youtube.com/channel/UCfSRxcEYb7rjFKHXBw1O2dA")</f>
        <v>https://www.youtube.com/channel/UCfSRxcEYb7rjFKHXBw1O2dA</v>
      </c>
      <c r="AU592" s="80" t="str">
        <f>REPLACE(INDEX(GroupVertices[Group],MATCH(Vertices[[#This Row],[Vertex]],GroupVertices[Vertex],0)),1,1,"")</f>
        <v>2</v>
      </c>
      <c r="AV592" s="49">
        <v>0</v>
      </c>
      <c r="AW592" s="50">
        <v>0</v>
      </c>
      <c r="AX592" s="49">
        <v>0</v>
      </c>
      <c r="AY592" s="50">
        <v>0</v>
      </c>
      <c r="AZ592" s="49">
        <v>0</v>
      </c>
      <c r="BA592" s="50">
        <v>0</v>
      </c>
      <c r="BB592" s="49">
        <v>10</v>
      </c>
      <c r="BC592" s="50">
        <v>100</v>
      </c>
      <c r="BD592" s="49">
        <v>10</v>
      </c>
      <c r="BE592" s="49"/>
      <c r="BF592" s="49"/>
      <c r="BG592" s="49"/>
      <c r="BH592" s="49"/>
      <c r="BI592" s="49"/>
      <c r="BJ592" s="49"/>
      <c r="BK592" s="111" t="s">
        <v>4099</v>
      </c>
      <c r="BL592" s="111" t="s">
        <v>4099</v>
      </c>
      <c r="BM592" s="111" t="s">
        <v>4559</v>
      </c>
      <c r="BN592" s="111" t="s">
        <v>4559</v>
      </c>
      <c r="BO592" s="2"/>
      <c r="BP592" s="3"/>
      <c r="BQ592" s="3"/>
      <c r="BR592" s="3"/>
      <c r="BS592" s="3"/>
    </row>
    <row r="593" spans="1:71" ht="15">
      <c r="A593" s="65" t="s">
        <v>790</v>
      </c>
      <c r="B593" s="66"/>
      <c r="C593" s="66"/>
      <c r="D593" s="67">
        <v>858.3333333333334</v>
      </c>
      <c r="E593" s="69"/>
      <c r="F593" s="103" t="str">
        <f>HYPERLINK("https://yt3.ggpht.com/ytc/AAUvwnjAqmG6dgc-VTbtSA7yV9uCn5cVet7QpPncjdzt=s88-c-k-c0x00ffffff-no-rj")</f>
        <v>https://yt3.ggpht.com/ytc/AAUvwnjAqmG6dgc-VTbtSA7yV9uCn5cVet7QpPncjdzt=s88-c-k-c0x00ffffff-no-rj</v>
      </c>
      <c r="G593" s="66"/>
      <c r="H593" s="70" t="s">
        <v>2149</v>
      </c>
      <c r="I593" s="71"/>
      <c r="J593" s="71" t="s">
        <v>75</v>
      </c>
      <c r="K593" s="70" t="s">
        <v>2149</v>
      </c>
      <c r="L593" s="74">
        <v>477.0952380952381</v>
      </c>
      <c r="M593" s="75">
        <v>2197.46630859375</v>
      </c>
      <c r="N593" s="75">
        <v>2515.90771484375</v>
      </c>
      <c r="O593" s="76"/>
      <c r="P593" s="77"/>
      <c r="Q593" s="77"/>
      <c r="R593" s="89"/>
      <c r="S593" s="49">
        <v>5</v>
      </c>
      <c r="T593" s="49">
        <v>2</v>
      </c>
      <c r="U593" s="50">
        <v>765</v>
      </c>
      <c r="V593" s="50">
        <v>0.001075</v>
      </c>
      <c r="W593" s="50">
        <v>0</v>
      </c>
      <c r="X593" s="50">
        <v>2.087042</v>
      </c>
      <c r="Y593" s="50">
        <v>0.1</v>
      </c>
      <c r="Z593" s="50">
        <v>0</v>
      </c>
      <c r="AA593" s="72">
        <v>593</v>
      </c>
      <c r="AB593" s="72"/>
      <c r="AC593" s="73"/>
      <c r="AD593" s="80" t="s">
        <v>2149</v>
      </c>
      <c r="AE593" s="80"/>
      <c r="AF593" s="80"/>
      <c r="AG593" s="80"/>
      <c r="AH593" s="80"/>
      <c r="AI593" s="80"/>
      <c r="AJ593" s="87">
        <v>42577.961550925924</v>
      </c>
      <c r="AK593" s="85" t="str">
        <f>HYPERLINK("https://yt3.ggpht.com/ytc/AAUvwnjAqmG6dgc-VTbtSA7yV9uCn5cVet7QpPncjdzt=s88-c-k-c0x00ffffff-no-rj")</f>
        <v>https://yt3.ggpht.com/ytc/AAUvwnjAqmG6dgc-VTbtSA7yV9uCn5cVet7QpPncjdzt=s88-c-k-c0x00ffffff-no-rj</v>
      </c>
      <c r="AL593" s="80">
        <v>0</v>
      </c>
      <c r="AM593" s="80">
        <v>0</v>
      </c>
      <c r="AN593" s="80">
        <v>0</v>
      </c>
      <c r="AO593" s="80" t="b">
        <v>0</v>
      </c>
      <c r="AP593" s="80">
        <v>0</v>
      </c>
      <c r="AQ593" s="80"/>
      <c r="AR593" s="80"/>
      <c r="AS593" s="80" t="s">
        <v>2664</v>
      </c>
      <c r="AT593" s="85" t="str">
        <f>HYPERLINK("https://www.youtube.com/channel/UC8_oQ7TS8UBU5j1es2pvHHg")</f>
        <v>https://www.youtube.com/channel/UC8_oQ7TS8UBU5j1es2pvHHg</v>
      </c>
      <c r="AU593" s="80" t="str">
        <f>REPLACE(INDEX(GroupVertices[Group],MATCH(Vertices[[#This Row],[Vertex]],GroupVertices[Vertex],0)),1,1,"")</f>
        <v>2</v>
      </c>
      <c r="AV593" s="49">
        <v>0</v>
      </c>
      <c r="AW593" s="50">
        <v>0</v>
      </c>
      <c r="AX593" s="49">
        <v>0</v>
      </c>
      <c r="AY593" s="50">
        <v>0</v>
      </c>
      <c r="AZ593" s="49">
        <v>0</v>
      </c>
      <c r="BA593" s="50">
        <v>0</v>
      </c>
      <c r="BB593" s="49">
        <v>12</v>
      </c>
      <c r="BC593" s="50">
        <v>100</v>
      </c>
      <c r="BD593" s="49">
        <v>12</v>
      </c>
      <c r="BE593" s="49"/>
      <c r="BF593" s="49"/>
      <c r="BG593" s="49"/>
      <c r="BH593" s="49"/>
      <c r="BI593" s="49"/>
      <c r="BJ593" s="49"/>
      <c r="BK593" s="111" t="s">
        <v>4100</v>
      </c>
      <c r="BL593" s="111" t="s">
        <v>4100</v>
      </c>
      <c r="BM593" s="111" t="s">
        <v>4560</v>
      </c>
      <c r="BN593" s="111" t="s">
        <v>4560</v>
      </c>
      <c r="BO593" s="2"/>
      <c r="BP593" s="3"/>
      <c r="BQ593" s="3"/>
      <c r="BR593" s="3"/>
      <c r="BS593" s="3"/>
    </row>
    <row r="594" spans="1:71" ht="15">
      <c r="A594" s="65" t="s">
        <v>791</v>
      </c>
      <c r="B594" s="66"/>
      <c r="C594" s="66"/>
      <c r="D594" s="67">
        <v>150</v>
      </c>
      <c r="E594" s="69"/>
      <c r="F594" s="103" t="str">
        <f>HYPERLINK("https://yt3.ggpht.com/ytc/AAUvwnhsjSTRQmGv-z-zmUaA-1vMEyGdzT6DofstydKU=s88-c-k-c0x00ffffff-no-rj")</f>
        <v>https://yt3.ggpht.com/ytc/AAUvwnhsjSTRQmGv-z-zmUaA-1vMEyGdzT6DofstydKU=s88-c-k-c0x00ffffff-no-rj</v>
      </c>
      <c r="G594" s="66"/>
      <c r="H594" s="70" t="s">
        <v>2150</v>
      </c>
      <c r="I594" s="71"/>
      <c r="J594" s="71" t="s">
        <v>159</v>
      </c>
      <c r="K594" s="70" t="s">
        <v>2150</v>
      </c>
      <c r="L594" s="74">
        <v>1</v>
      </c>
      <c r="M594" s="75">
        <v>1634.6087646484375</v>
      </c>
      <c r="N594" s="75">
        <v>3699.4013671875</v>
      </c>
      <c r="O594" s="76"/>
      <c r="P594" s="77"/>
      <c r="Q594" s="77"/>
      <c r="R594" s="89"/>
      <c r="S594" s="49">
        <v>0</v>
      </c>
      <c r="T594" s="49">
        <v>2</v>
      </c>
      <c r="U594" s="50">
        <v>2</v>
      </c>
      <c r="V594" s="50">
        <v>0.000859</v>
      </c>
      <c r="W594" s="50">
        <v>0</v>
      </c>
      <c r="X594" s="50">
        <v>0.763878</v>
      </c>
      <c r="Y594" s="50">
        <v>0</v>
      </c>
      <c r="Z594" s="50">
        <v>0</v>
      </c>
      <c r="AA594" s="72">
        <v>594</v>
      </c>
      <c r="AB594" s="72"/>
      <c r="AC594" s="73"/>
      <c r="AD594" s="80" t="s">
        <v>2150</v>
      </c>
      <c r="AE594" s="80"/>
      <c r="AF594" s="80"/>
      <c r="AG594" s="80"/>
      <c r="AH594" s="80"/>
      <c r="AI594" s="80"/>
      <c r="AJ594" s="87">
        <v>44001.18650462963</v>
      </c>
      <c r="AK594" s="85" t="str">
        <f>HYPERLINK("https://yt3.ggpht.com/ytc/AAUvwnhsjSTRQmGv-z-zmUaA-1vMEyGdzT6DofstydKU=s88-c-k-c0x00ffffff-no-rj")</f>
        <v>https://yt3.ggpht.com/ytc/AAUvwnhsjSTRQmGv-z-zmUaA-1vMEyGdzT6DofstydKU=s88-c-k-c0x00ffffff-no-rj</v>
      </c>
      <c r="AL594" s="80">
        <v>16</v>
      </c>
      <c r="AM594" s="80">
        <v>0</v>
      </c>
      <c r="AN594" s="80">
        <v>4</v>
      </c>
      <c r="AO594" s="80" t="b">
        <v>0</v>
      </c>
      <c r="AP594" s="80">
        <v>2</v>
      </c>
      <c r="AQ594" s="80"/>
      <c r="AR594" s="80"/>
      <c r="AS594" s="80" t="s">
        <v>2664</v>
      </c>
      <c r="AT594" s="85" t="str">
        <f>HYPERLINK("https://www.youtube.com/channel/UCnRYGBsqdgTYMJN96h4DoTQ")</f>
        <v>https://www.youtube.com/channel/UCnRYGBsqdgTYMJN96h4DoTQ</v>
      </c>
      <c r="AU594" s="80" t="str">
        <f>REPLACE(INDEX(GroupVertices[Group],MATCH(Vertices[[#This Row],[Vertex]],GroupVertices[Vertex],0)),1,1,"")</f>
        <v>2</v>
      </c>
      <c r="AV594" s="49">
        <v>0</v>
      </c>
      <c r="AW594" s="50">
        <v>0</v>
      </c>
      <c r="AX594" s="49">
        <v>0</v>
      </c>
      <c r="AY594" s="50">
        <v>0</v>
      </c>
      <c r="AZ594" s="49">
        <v>0</v>
      </c>
      <c r="BA594" s="50">
        <v>0</v>
      </c>
      <c r="BB594" s="49">
        <v>4</v>
      </c>
      <c r="BC594" s="50">
        <v>100</v>
      </c>
      <c r="BD594" s="49">
        <v>4</v>
      </c>
      <c r="BE594" s="49"/>
      <c r="BF594" s="49"/>
      <c r="BG594" s="49"/>
      <c r="BH594" s="49"/>
      <c r="BI594" s="49"/>
      <c r="BJ594" s="49"/>
      <c r="BK594" s="111" t="s">
        <v>4101</v>
      </c>
      <c r="BL594" s="111" t="s">
        <v>4101</v>
      </c>
      <c r="BM594" s="111" t="s">
        <v>2390</v>
      </c>
      <c r="BN594" s="111" t="s">
        <v>2390</v>
      </c>
      <c r="BO594" s="2"/>
      <c r="BP594" s="3"/>
      <c r="BQ594" s="3"/>
      <c r="BR594" s="3"/>
      <c r="BS594" s="3"/>
    </row>
    <row r="595" spans="1:71" ht="15">
      <c r="A595" s="65" t="s">
        <v>792</v>
      </c>
      <c r="B595" s="66"/>
      <c r="C595" s="66"/>
      <c r="D595" s="67">
        <v>150</v>
      </c>
      <c r="E595" s="69"/>
      <c r="F595" s="103" t="str">
        <f>HYPERLINK("https://yt3.ggpht.com/ytc/AAUvwnh4PRIIBsBB_TU3k090WFGoVoAF0lXrthRftzD5=s88-c-k-c0x00ffffff-no-rj")</f>
        <v>https://yt3.ggpht.com/ytc/AAUvwnh4PRIIBsBB_TU3k090WFGoVoAF0lXrthRftzD5=s88-c-k-c0x00ffffff-no-rj</v>
      </c>
      <c r="G595" s="66"/>
      <c r="H595" s="70" t="s">
        <v>2151</v>
      </c>
      <c r="I595" s="71"/>
      <c r="J595" s="71" t="s">
        <v>159</v>
      </c>
      <c r="K595" s="70" t="s">
        <v>2151</v>
      </c>
      <c r="L595" s="74">
        <v>1</v>
      </c>
      <c r="M595" s="75">
        <v>2507.665771484375</v>
      </c>
      <c r="N595" s="75">
        <v>2394.6142578125</v>
      </c>
      <c r="O595" s="76"/>
      <c r="P595" s="77"/>
      <c r="Q595" s="77"/>
      <c r="R595" s="89"/>
      <c r="S595" s="49">
        <v>0</v>
      </c>
      <c r="T595" s="49">
        <v>1</v>
      </c>
      <c r="U595" s="50">
        <v>0</v>
      </c>
      <c r="V595" s="50">
        <v>0.001068</v>
      </c>
      <c r="W595" s="50">
        <v>0</v>
      </c>
      <c r="X595" s="50">
        <v>0.467912</v>
      </c>
      <c r="Y595" s="50">
        <v>0</v>
      </c>
      <c r="Z595" s="50">
        <v>0</v>
      </c>
      <c r="AA595" s="72">
        <v>595</v>
      </c>
      <c r="AB595" s="72"/>
      <c r="AC595" s="73"/>
      <c r="AD595" s="80" t="s">
        <v>2151</v>
      </c>
      <c r="AE595" s="80"/>
      <c r="AF595" s="80"/>
      <c r="AG595" s="80"/>
      <c r="AH595" s="80"/>
      <c r="AI595" s="80"/>
      <c r="AJ595" s="87">
        <v>43976.40982638889</v>
      </c>
      <c r="AK595" s="85" t="str">
        <f>HYPERLINK("https://yt3.ggpht.com/ytc/AAUvwnh4PRIIBsBB_TU3k090WFGoVoAF0lXrthRftzD5=s88-c-k-c0x00ffffff-no-rj")</f>
        <v>https://yt3.ggpht.com/ytc/AAUvwnh4PRIIBsBB_TU3k090WFGoVoAF0lXrthRftzD5=s88-c-k-c0x00ffffff-no-rj</v>
      </c>
      <c r="AL595" s="80">
        <v>0</v>
      </c>
      <c r="AM595" s="80">
        <v>0</v>
      </c>
      <c r="AN595" s="80">
        <v>1</v>
      </c>
      <c r="AO595" s="80" t="b">
        <v>0</v>
      </c>
      <c r="AP595" s="80">
        <v>0</v>
      </c>
      <c r="AQ595" s="80"/>
      <c r="AR595" s="80"/>
      <c r="AS595" s="80" t="s">
        <v>2664</v>
      </c>
      <c r="AT595" s="85" t="str">
        <f>HYPERLINK("https://www.youtube.com/channel/UC3htKE-dyoJeXF-fZ7JS_jw")</f>
        <v>https://www.youtube.com/channel/UC3htKE-dyoJeXF-fZ7JS_jw</v>
      </c>
      <c r="AU595" s="80" t="str">
        <f>REPLACE(INDEX(GroupVertices[Group],MATCH(Vertices[[#This Row],[Vertex]],GroupVertices[Vertex],0)),1,1,"")</f>
        <v>2</v>
      </c>
      <c r="AV595" s="49">
        <v>1</v>
      </c>
      <c r="AW595" s="50">
        <v>33.333333333333336</v>
      </c>
      <c r="AX595" s="49">
        <v>0</v>
      </c>
      <c r="AY595" s="50">
        <v>0</v>
      </c>
      <c r="AZ595" s="49">
        <v>0</v>
      </c>
      <c r="BA595" s="50">
        <v>0</v>
      </c>
      <c r="BB595" s="49">
        <v>2</v>
      </c>
      <c r="BC595" s="50">
        <v>66.66666666666667</v>
      </c>
      <c r="BD595" s="49">
        <v>3</v>
      </c>
      <c r="BE595" s="49"/>
      <c r="BF595" s="49"/>
      <c r="BG595" s="49"/>
      <c r="BH595" s="49"/>
      <c r="BI595" s="49"/>
      <c r="BJ595" s="49"/>
      <c r="BK595" s="111" t="s">
        <v>2719</v>
      </c>
      <c r="BL595" s="111" t="s">
        <v>2719</v>
      </c>
      <c r="BM595" s="111" t="s">
        <v>2390</v>
      </c>
      <c r="BN595" s="111" t="s">
        <v>2390</v>
      </c>
      <c r="BO595" s="2"/>
      <c r="BP595" s="3"/>
      <c r="BQ595" s="3"/>
      <c r="BR595" s="3"/>
      <c r="BS595" s="3"/>
    </row>
    <row r="596" spans="1:71" ht="15">
      <c r="A596" s="65" t="s">
        <v>793</v>
      </c>
      <c r="B596" s="66"/>
      <c r="C596" s="66"/>
      <c r="D596" s="67">
        <v>150</v>
      </c>
      <c r="E596" s="69"/>
      <c r="F596" s="103" t="str">
        <f>HYPERLINK("https://yt3.ggpht.com/ytc/AAUvwnhNf9AFXmNmhEKyBhxrsk3HinlZJT_8EmVDdTid=s88-c-k-c0x00ffffff-no-rj")</f>
        <v>https://yt3.ggpht.com/ytc/AAUvwnhNf9AFXmNmhEKyBhxrsk3HinlZJT_8EmVDdTid=s88-c-k-c0x00ffffff-no-rj</v>
      </c>
      <c r="G596" s="66"/>
      <c r="H596" s="70" t="s">
        <v>2152</v>
      </c>
      <c r="I596" s="71"/>
      <c r="J596" s="71" t="s">
        <v>159</v>
      </c>
      <c r="K596" s="70" t="s">
        <v>2152</v>
      </c>
      <c r="L596" s="74">
        <v>1</v>
      </c>
      <c r="M596" s="75">
        <v>2417.241455078125</v>
      </c>
      <c r="N596" s="75">
        <v>2164.828369140625</v>
      </c>
      <c r="O596" s="76"/>
      <c r="P596" s="77"/>
      <c r="Q596" s="77"/>
      <c r="R596" s="89"/>
      <c r="S596" s="49">
        <v>0</v>
      </c>
      <c r="T596" s="49">
        <v>1</v>
      </c>
      <c r="U596" s="50">
        <v>0</v>
      </c>
      <c r="V596" s="50">
        <v>0.001068</v>
      </c>
      <c r="W596" s="50">
        <v>0</v>
      </c>
      <c r="X596" s="50">
        <v>0.467912</v>
      </c>
      <c r="Y596" s="50">
        <v>0</v>
      </c>
      <c r="Z596" s="50">
        <v>0</v>
      </c>
      <c r="AA596" s="72">
        <v>596</v>
      </c>
      <c r="AB596" s="72"/>
      <c r="AC596" s="73"/>
      <c r="AD596" s="80" t="s">
        <v>2152</v>
      </c>
      <c r="AE596" s="80"/>
      <c r="AF596" s="80"/>
      <c r="AG596" s="80"/>
      <c r="AH596" s="80"/>
      <c r="AI596" s="80"/>
      <c r="AJ596" s="87">
        <v>43133.11232638889</v>
      </c>
      <c r="AK596" s="85" t="str">
        <f>HYPERLINK("https://yt3.ggpht.com/ytc/AAUvwnhNf9AFXmNmhEKyBhxrsk3HinlZJT_8EmVDdTid=s88-c-k-c0x00ffffff-no-rj")</f>
        <v>https://yt3.ggpht.com/ytc/AAUvwnhNf9AFXmNmhEKyBhxrsk3HinlZJT_8EmVDdTid=s88-c-k-c0x00ffffff-no-rj</v>
      </c>
      <c r="AL596" s="80">
        <v>0</v>
      </c>
      <c r="AM596" s="80">
        <v>0</v>
      </c>
      <c r="AN596" s="80">
        <v>2</v>
      </c>
      <c r="AO596" s="80" t="b">
        <v>0</v>
      </c>
      <c r="AP596" s="80">
        <v>0</v>
      </c>
      <c r="AQ596" s="80"/>
      <c r="AR596" s="80"/>
      <c r="AS596" s="80" t="s">
        <v>2664</v>
      </c>
      <c r="AT596" s="85" t="str">
        <f>HYPERLINK("https://www.youtube.com/channel/UC7nIPfgorPJhL52Ne5qkn4Q")</f>
        <v>https://www.youtube.com/channel/UC7nIPfgorPJhL52Ne5qkn4Q</v>
      </c>
      <c r="AU596" s="80" t="str">
        <f>REPLACE(INDEX(GroupVertices[Group],MATCH(Vertices[[#This Row],[Vertex]],GroupVertices[Vertex],0)),1,1,"")</f>
        <v>2</v>
      </c>
      <c r="AV596" s="49">
        <v>0</v>
      </c>
      <c r="AW596" s="50">
        <v>0</v>
      </c>
      <c r="AX596" s="49">
        <v>0</v>
      </c>
      <c r="AY596" s="50">
        <v>0</v>
      </c>
      <c r="AZ596" s="49">
        <v>0</v>
      </c>
      <c r="BA596" s="50">
        <v>0</v>
      </c>
      <c r="BB596" s="49">
        <v>2</v>
      </c>
      <c r="BC596" s="50">
        <v>100</v>
      </c>
      <c r="BD596" s="49">
        <v>2</v>
      </c>
      <c r="BE596" s="49"/>
      <c r="BF596" s="49"/>
      <c r="BG596" s="49"/>
      <c r="BH596" s="49"/>
      <c r="BI596" s="49"/>
      <c r="BJ596" s="49"/>
      <c r="BK596" s="111" t="s">
        <v>1532</v>
      </c>
      <c r="BL596" s="111" t="s">
        <v>1532</v>
      </c>
      <c r="BM596" s="111" t="s">
        <v>4561</v>
      </c>
      <c r="BN596" s="111" t="s">
        <v>4561</v>
      </c>
      <c r="BO596" s="2"/>
      <c r="BP596" s="3"/>
      <c r="BQ596" s="3"/>
      <c r="BR596" s="3"/>
      <c r="BS596" s="3"/>
    </row>
    <row r="597" spans="1:71" ht="15">
      <c r="A597" s="65" t="s">
        <v>794</v>
      </c>
      <c r="B597" s="66"/>
      <c r="C597" s="66"/>
      <c r="D597" s="67">
        <v>150</v>
      </c>
      <c r="E597" s="69"/>
      <c r="F597" s="103" t="str">
        <f>HYPERLINK("https://yt3.ggpht.com/ytc/AAUvwniKAQgIhUrWc8sVllKI7HIRXCJtff1-cH7-qBps=s88-c-k-c0x00ffffff-no-rj")</f>
        <v>https://yt3.ggpht.com/ytc/AAUvwniKAQgIhUrWc8sVllKI7HIRXCJtff1-cH7-qBps=s88-c-k-c0x00ffffff-no-rj</v>
      </c>
      <c r="G597" s="66"/>
      <c r="H597" s="70" t="s">
        <v>2153</v>
      </c>
      <c r="I597" s="71"/>
      <c r="J597" s="71" t="s">
        <v>159</v>
      </c>
      <c r="K597" s="70" t="s">
        <v>2153</v>
      </c>
      <c r="L597" s="74">
        <v>1</v>
      </c>
      <c r="M597" s="75">
        <v>2013.839111328125</v>
      </c>
      <c r="N597" s="75">
        <v>1596.9010009765625</v>
      </c>
      <c r="O597" s="76"/>
      <c r="P597" s="77"/>
      <c r="Q597" s="77"/>
      <c r="R597" s="89"/>
      <c r="S597" s="49">
        <v>0</v>
      </c>
      <c r="T597" s="49">
        <v>1</v>
      </c>
      <c r="U597" s="50">
        <v>0</v>
      </c>
      <c r="V597" s="50">
        <v>0.001068</v>
      </c>
      <c r="W597" s="50">
        <v>0</v>
      </c>
      <c r="X597" s="50">
        <v>0.467912</v>
      </c>
      <c r="Y597" s="50">
        <v>0</v>
      </c>
      <c r="Z597" s="50">
        <v>0</v>
      </c>
      <c r="AA597" s="72">
        <v>597</v>
      </c>
      <c r="AB597" s="72"/>
      <c r="AC597" s="73"/>
      <c r="AD597" s="80" t="s">
        <v>2153</v>
      </c>
      <c r="AE597" s="80"/>
      <c r="AF597" s="80"/>
      <c r="AG597" s="80"/>
      <c r="AH597" s="80"/>
      <c r="AI597" s="80"/>
      <c r="AJ597" s="87">
        <v>40315.74806712963</v>
      </c>
      <c r="AK597" s="85" t="str">
        <f>HYPERLINK("https://yt3.ggpht.com/ytc/AAUvwniKAQgIhUrWc8sVllKI7HIRXCJtff1-cH7-qBps=s88-c-k-c0x00ffffff-no-rj")</f>
        <v>https://yt3.ggpht.com/ytc/AAUvwniKAQgIhUrWc8sVllKI7HIRXCJtff1-cH7-qBps=s88-c-k-c0x00ffffff-no-rj</v>
      </c>
      <c r="AL597" s="80">
        <v>0</v>
      </c>
      <c r="AM597" s="80">
        <v>0</v>
      </c>
      <c r="AN597" s="80">
        <v>0</v>
      </c>
      <c r="AO597" s="80" t="b">
        <v>0</v>
      </c>
      <c r="AP597" s="80">
        <v>0</v>
      </c>
      <c r="AQ597" s="80"/>
      <c r="AR597" s="80"/>
      <c r="AS597" s="80" t="s">
        <v>2664</v>
      </c>
      <c r="AT597" s="85" t="str">
        <f>HYPERLINK("https://www.youtube.com/channel/UCMqj6PcNzNbrIBmmVl0yoag")</f>
        <v>https://www.youtube.com/channel/UCMqj6PcNzNbrIBmmVl0yoag</v>
      </c>
      <c r="AU597" s="80" t="str">
        <f>REPLACE(INDEX(GroupVertices[Group],MATCH(Vertices[[#This Row],[Vertex]],GroupVertices[Vertex],0)),1,1,"")</f>
        <v>2</v>
      </c>
      <c r="AV597" s="49">
        <v>2</v>
      </c>
      <c r="AW597" s="50">
        <v>50</v>
      </c>
      <c r="AX597" s="49">
        <v>0</v>
      </c>
      <c r="AY597" s="50">
        <v>0</v>
      </c>
      <c r="AZ597" s="49">
        <v>0</v>
      </c>
      <c r="BA597" s="50">
        <v>0</v>
      </c>
      <c r="BB597" s="49">
        <v>2</v>
      </c>
      <c r="BC597" s="50">
        <v>50</v>
      </c>
      <c r="BD597" s="49">
        <v>4</v>
      </c>
      <c r="BE597" s="49"/>
      <c r="BF597" s="49"/>
      <c r="BG597" s="49"/>
      <c r="BH597" s="49"/>
      <c r="BI597" s="49"/>
      <c r="BJ597" s="49"/>
      <c r="BK597" s="111" t="s">
        <v>4102</v>
      </c>
      <c r="BL597" s="111" t="s">
        <v>4102</v>
      </c>
      <c r="BM597" s="111" t="s">
        <v>4562</v>
      </c>
      <c r="BN597" s="111" t="s">
        <v>4562</v>
      </c>
      <c r="BO597" s="2"/>
      <c r="BP597" s="3"/>
      <c r="BQ597" s="3"/>
      <c r="BR597" s="3"/>
      <c r="BS597" s="3"/>
    </row>
    <row r="598" spans="1:71" ht="15">
      <c r="A598" s="65" t="s">
        <v>795</v>
      </c>
      <c r="B598" s="66"/>
      <c r="C598" s="66"/>
      <c r="D598" s="67">
        <v>150</v>
      </c>
      <c r="E598" s="69"/>
      <c r="F598" s="103" t="str">
        <f>HYPERLINK("https://yt3.ggpht.com/ytc/AAUvwnjNDx194SmvuEmxSrp2KscU8bn5-SoXYAzRWg=s88-c-k-c0x00ffffff-no-rj")</f>
        <v>https://yt3.ggpht.com/ytc/AAUvwnjNDx194SmvuEmxSrp2KscU8bn5-SoXYAzRWg=s88-c-k-c0x00ffffff-no-rj</v>
      </c>
      <c r="G598" s="66"/>
      <c r="H598" s="70" t="s">
        <v>2154</v>
      </c>
      <c r="I598" s="71"/>
      <c r="J598" s="71" t="s">
        <v>159</v>
      </c>
      <c r="K598" s="70" t="s">
        <v>2154</v>
      </c>
      <c r="L598" s="74">
        <v>1</v>
      </c>
      <c r="M598" s="75">
        <v>1408.366455078125</v>
      </c>
      <c r="N598" s="75">
        <v>1195.8404541015625</v>
      </c>
      <c r="O598" s="76"/>
      <c r="P598" s="77"/>
      <c r="Q598" s="77"/>
      <c r="R598" s="89"/>
      <c r="S598" s="49">
        <v>0</v>
      </c>
      <c r="T598" s="49">
        <v>1</v>
      </c>
      <c r="U598" s="50">
        <v>0</v>
      </c>
      <c r="V598" s="50">
        <v>0.001068</v>
      </c>
      <c r="W598" s="50">
        <v>0</v>
      </c>
      <c r="X598" s="50">
        <v>0.467912</v>
      </c>
      <c r="Y598" s="50">
        <v>0</v>
      </c>
      <c r="Z598" s="50">
        <v>0</v>
      </c>
      <c r="AA598" s="72">
        <v>598</v>
      </c>
      <c r="AB598" s="72"/>
      <c r="AC598" s="73"/>
      <c r="AD598" s="80" t="s">
        <v>2154</v>
      </c>
      <c r="AE598" s="80"/>
      <c r="AF598" s="80"/>
      <c r="AG598" s="80"/>
      <c r="AH598" s="80"/>
      <c r="AI598" s="80"/>
      <c r="AJ598" s="87">
        <v>43989.574907407405</v>
      </c>
      <c r="AK598" s="85" t="str">
        <f>HYPERLINK("https://yt3.ggpht.com/ytc/AAUvwnjNDx194SmvuEmxSrp2KscU8bn5-SoXYAzRWg=s88-c-k-c0x00ffffff-no-rj")</f>
        <v>https://yt3.ggpht.com/ytc/AAUvwnjNDx194SmvuEmxSrp2KscU8bn5-SoXYAzRWg=s88-c-k-c0x00ffffff-no-rj</v>
      </c>
      <c r="AL598" s="80">
        <v>0</v>
      </c>
      <c r="AM598" s="80">
        <v>0</v>
      </c>
      <c r="AN598" s="80">
        <v>0</v>
      </c>
      <c r="AO598" s="80" t="b">
        <v>0</v>
      </c>
      <c r="AP598" s="80">
        <v>0</v>
      </c>
      <c r="AQ598" s="80"/>
      <c r="AR598" s="80"/>
      <c r="AS598" s="80" t="s">
        <v>2664</v>
      </c>
      <c r="AT598" s="85" t="str">
        <f>HYPERLINK("https://www.youtube.com/channel/UCr8qF5f_vLyTxQe2fw02d8w")</f>
        <v>https://www.youtube.com/channel/UCr8qF5f_vLyTxQe2fw02d8w</v>
      </c>
      <c r="AU598" s="80" t="str">
        <f>REPLACE(INDEX(GroupVertices[Group],MATCH(Vertices[[#This Row],[Vertex]],GroupVertices[Vertex],0)),1,1,"")</f>
        <v>2</v>
      </c>
      <c r="AV598" s="49">
        <v>0</v>
      </c>
      <c r="AW598" s="50">
        <v>0</v>
      </c>
      <c r="AX598" s="49">
        <v>0</v>
      </c>
      <c r="AY598" s="50">
        <v>0</v>
      </c>
      <c r="AZ598" s="49">
        <v>0</v>
      </c>
      <c r="BA598" s="50">
        <v>0</v>
      </c>
      <c r="BB598" s="49">
        <v>1</v>
      </c>
      <c r="BC598" s="50">
        <v>100</v>
      </c>
      <c r="BD598" s="49">
        <v>1</v>
      </c>
      <c r="BE598" s="49"/>
      <c r="BF598" s="49"/>
      <c r="BG598" s="49"/>
      <c r="BH598" s="49"/>
      <c r="BI598" s="49"/>
      <c r="BJ598" s="49"/>
      <c r="BK598" s="111" t="s">
        <v>2390</v>
      </c>
      <c r="BL598" s="111" t="s">
        <v>2390</v>
      </c>
      <c r="BM598" s="111" t="s">
        <v>2390</v>
      </c>
      <c r="BN598" s="111" t="s">
        <v>2390</v>
      </c>
      <c r="BO598" s="2"/>
      <c r="BP598" s="3"/>
      <c r="BQ598" s="3"/>
      <c r="BR598" s="3"/>
      <c r="BS598" s="3"/>
    </row>
    <row r="599" spans="1:71" ht="15">
      <c r="A599" s="65" t="s">
        <v>796</v>
      </c>
      <c r="B599" s="66"/>
      <c r="C599" s="66"/>
      <c r="D599" s="67">
        <v>150</v>
      </c>
      <c r="E599" s="69"/>
      <c r="F599" s="103" t="str">
        <f>HYPERLINK("https://yt3.ggpht.com/ytc/AAUvwnhC4H8GBcYOGOZsLj0ltwQsdiQPaG9u7k2Y2nxGIA=s88-c-k-c0x00ffffff-no-rj")</f>
        <v>https://yt3.ggpht.com/ytc/AAUvwnhC4H8GBcYOGOZsLj0ltwQsdiQPaG9u7k2Y2nxGIA=s88-c-k-c0x00ffffff-no-rj</v>
      </c>
      <c r="G599" s="66"/>
      <c r="H599" s="70" t="s">
        <v>2155</v>
      </c>
      <c r="I599" s="71"/>
      <c r="J599" s="71" t="s">
        <v>159</v>
      </c>
      <c r="K599" s="70" t="s">
        <v>2155</v>
      </c>
      <c r="L599" s="74">
        <v>1</v>
      </c>
      <c r="M599" s="75">
        <v>2144.849609375</v>
      </c>
      <c r="N599" s="75">
        <v>1906.5546875</v>
      </c>
      <c r="O599" s="76"/>
      <c r="P599" s="77"/>
      <c r="Q599" s="77"/>
      <c r="R599" s="89"/>
      <c r="S599" s="49">
        <v>0</v>
      </c>
      <c r="T599" s="49">
        <v>1</v>
      </c>
      <c r="U599" s="50">
        <v>0</v>
      </c>
      <c r="V599" s="50">
        <v>0.001068</v>
      </c>
      <c r="W599" s="50">
        <v>0</v>
      </c>
      <c r="X599" s="50">
        <v>0.467912</v>
      </c>
      <c r="Y599" s="50">
        <v>0</v>
      </c>
      <c r="Z599" s="50">
        <v>0</v>
      </c>
      <c r="AA599" s="72">
        <v>599</v>
      </c>
      <c r="AB599" s="72"/>
      <c r="AC599" s="73"/>
      <c r="AD599" s="80" t="s">
        <v>2155</v>
      </c>
      <c r="AE599" s="80"/>
      <c r="AF599" s="80"/>
      <c r="AG599" s="80"/>
      <c r="AH599" s="80"/>
      <c r="AI599" s="80"/>
      <c r="AJ599" s="87">
        <v>43389.25351851852</v>
      </c>
      <c r="AK599" s="85" t="str">
        <f>HYPERLINK("https://yt3.ggpht.com/ytc/AAUvwnhC4H8GBcYOGOZsLj0ltwQsdiQPaG9u7k2Y2nxGIA=s88-c-k-c0x00ffffff-no-rj")</f>
        <v>https://yt3.ggpht.com/ytc/AAUvwnhC4H8GBcYOGOZsLj0ltwQsdiQPaG9u7k2Y2nxGIA=s88-c-k-c0x00ffffff-no-rj</v>
      </c>
      <c r="AL599" s="80">
        <v>0</v>
      </c>
      <c r="AM599" s="80">
        <v>0</v>
      </c>
      <c r="AN599" s="80">
        <v>0</v>
      </c>
      <c r="AO599" s="80" t="b">
        <v>0</v>
      </c>
      <c r="AP599" s="80">
        <v>0</v>
      </c>
      <c r="AQ599" s="80"/>
      <c r="AR599" s="80"/>
      <c r="AS599" s="80" t="s">
        <v>2664</v>
      </c>
      <c r="AT599" s="85" t="str">
        <f>HYPERLINK("https://www.youtube.com/channel/UCh-2TKI04EBmj1G6P1OB6Pw")</f>
        <v>https://www.youtube.com/channel/UCh-2TKI04EBmj1G6P1OB6Pw</v>
      </c>
      <c r="AU599" s="80" t="str">
        <f>REPLACE(INDEX(GroupVertices[Group],MATCH(Vertices[[#This Row],[Vertex]],GroupVertices[Vertex],0)),1,1,"")</f>
        <v>2</v>
      </c>
      <c r="AV599" s="49">
        <v>0</v>
      </c>
      <c r="AW599" s="50">
        <v>0</v>
      </c>
      <c r="AX599" s="49">
        <v>0</v>
      </c>
      <c r="AY599" s="50">
        <v>0</v>
      </c>
      <c r="AZ599" s="49">
        <v>0</v>
      </c>
      <c r="BA599" s="50">
        <v>0</v>
      </c>
      <c r="BB599" s="49">
        <v>0</v>
      </c>
      <c r="BC599" s="50">
        <v>0</v>
      </c>
      <c r="BD599" s="49">
        <v>0</v>
      </c>
      <c r="BE599" s="49"/>
      <c r="BF599" s="49"/>
      <c r="BG599" s="49"/>
      <c r="BH599" s="49"/>
      <c r="BI599" s="49"/>
      <c r="BJ599" s="49"/>
      <c r="BK599" s="111" t="s">
        <v>2390</v>
      </c>
      <c r="BL599" s="111" t="s">
        <v>2390</v>
      </c>
      <c r="BM599" s="111" t="s">
        <v>2390</v>
      </c>
      <c r="BN599" s="111" t="s">
        <v>2390</v>
      </c>
      <c r="BO599" s="2"/>
      <c r="BP599" s="3"/>
      <c r="BQ599" s="3"/>
      <c r="BR599" s="3"/>
      <c r="BS599" s="3"/>
    </row>
    <row r="600" spans="1:71" ht="15">
      <c r="A600" s="65" t="s">
        <v>798</v>
      </c>
      <c r="B600" s="66"/>
      <c r="C600" s="66"/>
      <c r="D600" s="67">
        <v>575</v>
      </c>
      <c r="E600" s="69"/>
      <c r="F600" s="103" t="str">
        <f>HYPERLINK("https://yt3.ggpht.com/ytc/AAUvwni-XK59TdQECdUxhj6JJgOVvh8kOllipImUeuCM=s88-c-k-c0x00ffffff-no-rj")</f>
        <v>https://yt3.ggpht.com/ytc/AAUvwni-XK59TdQECdUxhj6JJgOVvh8kOllipImUeuCM=s88-c-k-c0x00ffffff-no-rj</v>
      </c>
      <c r="G600" s="66"/>
      <c r="H600" s="70" t="s">
        <v>2157</v>
      </c>
      <c r="I600" s="71"/>
      <c r="J600" s="71" t="s">
        <v>75</v>
      </c>
      <c r="K600" s="70" t="s">
        <v>2157</v>
      </c>
      <c r="L600" s="74">
        <v>286.65714285714284</v>
      </c>
      <c r="M600" s="75">
        <v>877.6922607421875</v>
      </c>
      <c r="N600" s="75">
        <v>2131.985595703125</v>
      </c>
      <c r="O600" s="76"/>
      <c r="P600" s="77"/>
      <c r="Q600" s="77"/>
      <c r="R600" s="89"/>
      <c r="S600" s="49">
        <v>3</v>
      </c>
      <c r="T600" s="49">
        <v>2</v>
      </c>
      <c r="U600" s="50">
        <v>163.6</v>
      </c>
      <c r="V600" s="50">
        <v>0.001072</v>
      </c>
      <c r="W600" s="50">
        <v>0</v>
      </c>
      <c r="X600" s="50">
        <v>1.395446</v>
      </c>
      <c r="Y600" s="50">
        <v>0.16666666666666666</v>
      </c>
      <c r="Z600" s="50">
        <v>0</v>
      </c>
      <c r="AA600" s="72">
        <v>600</v>
      </c>
      <c r="AB600" s="72"/>
      <c r="AC600" s="73"/>
      <c r="AD600" s="80" t="s">
        <v>2157</v>
      </c>
      <c r="AE600" s="80"/>
      <c r="AF600" s="80"/>
      <c r="AG600" s="80"/>
      <c r="AH600" s="80"/>
      <c r="AI600" s="80"/>
      <c r="AJ600" s="87">
        <v>43993.49716435185</v>
      </c>
      <c r="AK600" s="85" t="str">
        <f>HYPERLINK("https://yt3.ggpht.com/ytc/AAUvwni-XK59TdQECdUxhj6JJgOVvh8kOllipImUeuCM=s88-c-k-c0x00ffffff-no-rj")</f>
        <v>https://yt3.ggpht.com/ytc/AAUvwni-XK59TdQECdUxhj6JJgOVvh8kOllipImUeuCM=s88-c-k-c0x00ffffff-no-rj</v>
      </c>
      <c r="AL600" s="80">
        <v>0</v>
      </c>
      <c r="AM600" s="80">
        <v>0</v>
      </c>
      <c r="AN600" s="80">
        <v>13</v>
      </c>
      <c r="AO600" s="80" t="b">
        <v>0</v>
      </c>
      <c r="AP600" s="80">
        <v>0</v>
      </c>
      <c r="AQ600" s="80"/>
      <c r="AR600" s="80"/>
      <c r="AS600" s="80" t="s">
        <v>2664</v>
      </c>
      <c r="AT600" s="85" t="str">
        <f>HYPERLINK("https://www.youtube.com/channel/UCaIeo4JpCmSTtmQfmfH4eAg")</f>
        <v>https://www.youtube.com/channel/UCaIeo4JpCmSTtmQfmfH4eAg</v>
      </c>
      <c r="AU600" s="80" t="str">
        <f>REPLACE(INDEX(GroupVertices[Group],MATCH(Vertices[[#This Row],[Vertex]],GroupVertices[Vertex],0)),1,1,"")</f>
        <v>2</v>
      </c>
      <c r="AV600" s="49">
        <v>6</v>
      </c>
      <c r="AW600" s="50">
        <v>2.912621359223301</v>
      </c>
      <c r="AX600" s="49">
        <v>4</v>
      </c>
      <c r="AY600" s="50">
        <v>1.941747572815534</v>
      </c>
      <c r="AZ600" s="49">
        <v>0</v>
      </c>
      <c r="BA600" s="50">
        <v>0</v>
      </c>
      <c r="BB600" s="49">
        <v>196</v>
      </c>
      <c r="BC600" s="50">
        <v>95.14563106796116</v>
      </c>
      <c r="BD600" s="49">
        <v>206</v>
      </c>
      <c r="BE600" s="49" t="s">
        <v>3422</v>
      </c>
      <c r="BF600" s="49" t="s">
        <v>3422</v>
      </c>
      <c r="BG600" s="49" t="s">
        <v>2381</v>
      </c>
      <c r="BH600" s="49" t="s">
        <v>2381</v>
      </c>
      <c r="BI600" s="49"/>
      <c r="BJ600" s="49"/>
      <c r="BK600" s="111" t="s">
        <v>4103</v>
      </c>
      <c r="BL600" s="111" t="s">
        <v>4145</v>
      </c>
      <c r="BM600" s="111" t="s">
        <v>4563</v>
      </c>
      <c r="BN600" s="111" t="s">
        <v>4563</v>
      </c>
      <c r="BO600" s="2"/>
      <c r="BP600" s="3"/>
      <c r="BQ600" s="3"/>
      <c r="BR600" s="3"/>
      <c r="BS600" s="3"/>
    </row>
    <row r="601" spans="1:71" ht="15">
      <c r="A601" s="65" t="s">
        <v>797</v>
      </c>
      <c r="B601" s="66"/>
      <c r="C601" s="66"/>
      <c r="D601" s="67">
        <v>150</v>
      </c>
      <c r="E601" s="69"/>
      <c r="F601" s="103" t="str">
        <f>HYPERLINK("https://yt3.ggpht.com/ytc/AAUvwng2uDj3DN0PqanVeHRtSINPJNR5wKDUb6mEsHTn=s88-c-k-c0x00ffffff-no-rj")</f>
        <v>https://yt3.ggpht.com/ytc/AAUvwng2uDj3DN0PqanVeHRtSINPJNR5wKDUb6mEsHTn=s88-c-k-c0x00ffffff-no-rj</v>
      </c>
      <c r="G601" s="66"/>
      <c r="H601" s="70" t="s">
        <v>2156</v>
      </c>
      <c r="I601" s="71"/>
      <c r="J601" s="71" t="s">
        <v>159</v>
      </c>
      <c r="K601" s="70" t="s">
        <v>2156</v>
      </c>
      <c r="L601" s="74">
        <v>1</v>
      </c>
      <c r="M601" s="75">
        <v>1032.8109130859375</v>
      </c>
      <c r="N601" s="75">
        <v>2116.791015625</v>
      </c>
      <c r="O601" s="76"/>
      <c r="P601" s="77"/>
      <c r="Q601" s="77"/>
      <c r="R601" s="89"/>
      <c r="S601" s="49">
        <v>0</v>
      </c>
      <c r="T601" s="49">
        <v>2</v>
      </c>
      <c r="U601" s="50">
        <v>0</v>
      </c>
      <c r="V601" s="50">
        <v>0.001071</v>
      </c>
      <c r="W601" s="50">
        <v>0</v>
      </c>
      <c r="X601" s="50">
        <v>0.764445</v>
      </c>
      <c r="Y601" s="50">
        <v>0.5</v>
      </c>
      <c r="Z601" s="50">
        <v>0</v>
      </c>
      <c r="AA601" s="72">
        <v>601</v>
      </c>
      <c r="AB601" s="72"/>
      <c r="AC601" s="73"/>
      <c r="AD601" s="80" t="s">
        <v>2156</v>
      </c>
      <c r="AE601" s="80"/>
      <c r="AF601" s="80"/>
      <c r="AG601" s="80"/>
      <c r="AH601" s="80"/>
      <c r="AI601" s="80"/>
      <c r="AJ601" s="87">
        <v>42635.291284722225</v>
      </c>
      <c r="AK601" s="85" t="str">
        <f>HYPERLINK("https://yt3.ggpht.com/ytc/AAUvwng2uDj3DN0PqanVeHRtSINPJNR5wKDUb6mEsHTn=s88-c-k-c0x00ffffff-no-rj")</f>
        <v>https://yt3.ggpht.com/ytc/AAUvwng2uDj3DN0PqanVeHRtSINPJNR5wKDUb6mEsHTn=s88-c-k-c0x00ffffff-no-rj</v>
      </c>
      <c r="AL601" s="80">
        <v>0</v>
      </c>
      <c r="AM601" s="80">
        <v>0</v>
      </c>
      <c r="AN601" s="80">
        <v>3</v>
      </c>
      <c r="AO601" s="80" t="b">
        <v>0</v>
      </c>
      <c r="AP601" s="80">
        <v>0</v>
      </c>
      <c r="AQ601" s="80"/>
      <c r="AR601" s="80"/>
      <c r="AS601" s="80" t="s">
        <v>2664</v>
      </c>
      <c r="AT601" s="85" t="str">
        <f>HYPERLINK("https://www.youtube.com/channel/UC1l0Bbv3upJ90bFKIfT2JCA")</f>
        <v>https://www.youtube.com/channel/UC1l0Bbv3upJ90bFKIfT2JCA</v>
      </c>
      <c r="AU601" s="80" t="str">
        <f>REPLACE(INDEX(GroupVertices[Group],MATCH(Vertices[[#This Row],[Vertex]],GroupVertices[Vertex],0)),1,1,"")</f>
        <v>2</v>
      </c>
      <c r="AV601" s="49">
        <v>1</v>
      </c>
      <c r="AW601" s="50">
        <v>6.666666666666667</v>
      </c>
      <c r="AX601" s="49">
        <v>0</v>
      </c>
      <c r="AY601" s="50">
        <v>0</v>
      </c>
      <c r="AZ601" s="49">
        <v>0</v>
      </c>
      <c r="BA601" s="50">
        <v>0</v>
      </c>
      <c r="BB601" s="49">
        <v>14</v>
      </c>
      <c r="BC601" s="50">
        <v>93.33333333333333</v>
      </c>
      <c r="BD601" s="49">
        <v>15</v>
      </c>
      <c r="BE601" s="49"/>
      <c r="BF601" s="49"/>
      <c r="BG601" s="49"/>
      <c r="BH601" s="49"/>
      <c r="BI601" s="49"/>
      <c r="BJ601" s="49"/>
      <c r="BK601" s="111" t="s">
        <v>4104</v>
      </c>
      <c r="BL601" s="111" t="s">
        <v>4104</v>
      </c>
      <c r="BM601" s="111" t="s">
        <v>4564</v>
      </c>
      <c r="BN601" s="111" t="s">
        <v>4564</v>
      </c>
      <c r="BO601" s="2"/>
      <c r="BP601" s="3"/>
      <c r="BQ601" s="3"/>
      <c r="BR601" s="3"/>
      <c r="BS601" s="3"/>
    </row>
    <row r="602" spans="1:71" ht="15">
      <c r="A602" s="65" t="s">
        <v>799</v>
      </c>
      <c r="B602" s="66"/>
      <c r="C602" s="66"/>
      <c r="D602" s="67">
        <v>150</v>
      </c>
      <c r="E602" s="69"/>
      <c r="F602" s="103" t="str">
        <f>HYPERLINK("https://yt3.ggpht.com/ytc/AAUvwnjmswHA1Q6cjUVMyDYoRMyCn21pziYh14UzCA=s88-c-k-c0x00ffffff-no-rj")</f>
        <v>https://yt3.ggpht.com/ytc/AAUvwnjmswHA1Q6cjUVMyDYoRMyCn21pziYh14UzCA=s88-c-k-c0x00ffffff-no-rj</v>
      </c>
      <c r="G602" s="66"/>
      <c r="H602" s="70" t="s">
        <v>2158</v>
      </c>
      <c r="I602" s="71"/>
      <c r="J602" s="71" t="s">
        <v>159</v>
      </c>
      <c r="K602" s="70" t="s">
        <v>2158</v>
      </c>
      <c r="L602" s="74">
        <v>1</v>
      </c>
      <c r="M602" s="75">
        <v>2249.353759765625</v>
      </c>
      <c r="N602" s="75">
        <v>1305.5877685546875</v>
      </c>
      <c r="O602" s="76"/>
      <c r="P602" s="77"/>
      <c r="Q602" s="77"/>
      <c r="R602" s="89"/>
      <c r="S602" s="49">
        <v>0</v>
      </c>
      <c r="T602" s="49">
        <v>1</v>
      </c>
      <c r="U602" s="50">
        <v>0</v>
      </c>
      <c r="V602" s="50">
        <v>0.001068</v>
      </c>
      <c r="W602" s="50">
        <v>0</v>
      </c>
      <c r="X602" s="50">
        <v>0.467912</v>
      </c>
      <c r="Y602" s="50">
        <v>0</v>
      </c>
      <c r="Z602" s="50">
        <v>0</v>
      </c>
      <c r="AA602" s="72">
        <v>602</v>
      </c>
      <c r="AB602" s="72"/>
      <c r="AC602" s="73"/>
      <c r="AD602" s="80" t="s">
        <v>2158</v>
      </c>
      <c r="AE602" s="80"/>
      <c r="AF602" s="80"/>
      <c r="AG602" s="80"/>
      <c r="AH602" s="80"/>
      <c r="AI602" s="80"/>
      <c r="AJ602" s="87">
        <v>42166.71601851852</v>
      </c>
      <c r="AK602" s="85" t="str">
        <f>HYPERLINK("https://yt3.ggpht.com/ytc/AAUvwnjmswHA1Q6cjUVMyDYoRMyCn21pziYh14UzCA=s88-c-k-c0x00ffffff-no-rj")</f>
        <v>https://yt3.ggpht.com/ytc/AAUvwnjmswHA1Q6cjUVMyDYoRMyCn21pziYh14UzCA=s88-c-k-c0x00ffffff-no-rj</v>
      </c>
      <c r="AL602" s="80">
        <v>0</v>
      </c>
      <c r="AM602" s="80">
        <v>0</v>
      </c>
      <c r="AN602" s="80">
        <v>0</v>
      </c>
      <c r="AO602" s="80" t="b">
        <v>0</v>
      </c>
      <c r="AP602" s="80">
        <v>0</v>
      </c>
      <c r="AQ602" s="80"/>
      <c r="AR602" s="80"/>
      <c r="AS602" s="80" t="s">
        <v>2664</v>
      </c>
      <c r="AT602" s="85" t="str">
        <f>HYPERLINK("https://www.youtube.com/channel/UCD3JkquUUlOui749jhE6Mvg")</f>
        <v>https://www.youtube.com/channel/UCD3JkquUUlOui749jhE6Mvg</v>
      </c>
      <c r="AU602" s="80" t="str">
        <f>REPLACE(INDEX(GroupVertices[Group],MATCH(Vertices[[#This Row],[Vertex]],GroupVertices[Vertex],0)),1,1,"")</f>
        <v>2</v>
      </c>
      <c r="AV602" s="49">
        <v>1</v>
      </c>
      <c r="AW602" s="50">
        <v>7.142857142857143</v>
      </c>
      <c r="AX602" s="49">
        <v>0</v>
      </c>
      <c r="AY602" s="50">
        <v>0</v>
      </c>
      <c r="AZ602" s="49">
        <v>0</v>
      </c>
      <c r="BA602" s="50">
        <v>0</v>
      </c>
      <c r="BB602" s="49">
        <v>13</v>
      </c>
      <c r="BC602" s="50">
        <v>92.85714285714286</v>
      </c>
      <c r="BD602" s="49">
        <v>14</v>
      </c>
      <c r="BE602" s="49"/>
      <c r="BF602" s="49"/>
      <c r="BG602" s="49"/>
      <c r="BH602" s="49"/>
      <c r="BI602" s="49"/>
      <c r="BJ602" s="49"/>
      <c r="BK602" s="111" t="s">
        <v>4105</v>
      </c>
      <c r="BL602" s="111" t="s">
        <v>4105</v>
      </c>
      <c r="BM602" s="111" t="s">
        <v>4565</v>
      </c>
      <c r="BN602" s="111" t="s">
        <v>4565</v>
      </c>
      <c r="BO602" s="2"/>
      <c r="BP602" s="3"/>
      <c r="BQ602" s="3"/>
      <c r="BR602" s="3"/>
      <c r="BS602" s="3"/>
    </row>
    <row r="603" spans="1:71" ht="15">
      <c r="A603" s="65" t="s">
        <v>800</v>
      </c>
      <c r="B603" s="66"/>
      <c r="C603" s="66"/>
      <c r="D603" s="67">
        <v>150</v>
      </c>
      <c r="E603" s="69"/>
      <c r="F603" s="103" t="str">
        <f>HYPERLINK("https://yt3.ggpht.com/ytc/AAUvwng7v_JL2Ofq5wWNE6xzPih9iXBv_sMiyXW3rK1d1w=s88-c-k-c0x00ffffff-no-rj")</f>
        <v>https://yt3.ggpht.com/ytc/AAUvwng7v_JL2Ofq5wWNE6xzPih9iXBv_sMiyXW3rK1d1w=s88-c-k-c0x00ffffff-no-rj</v>
      </c>
      <c r="G603" s="66"/>
      <c r="H603" s="70" t="s">
        <v>2159</v>
      </c>
      <c r="I603" s="71"/>
      <c r="J603" s="71" t="s">
        <v>159</v>
      </c>
      <c r="K603" s="70" t="s">
        <v>2159</v>
      </c>
      <c r="L603" s="74">
        <v>1</v>
      </c>
      <c r="M603" s="75">
        <v>1054.19677734375</v>
      </c>
      <c r="N603" s="75">
        <v>2340.710205078125</v>
      </c>
      <c r="O603" s="76"/>
      <c r="P603" s="77"/>
      <c r="Q603" s="77"/>
      <c r="R603" s="89"/>
      <c r="S603" s="49">
        <v>0</v>
      </c>
      <c r="T603" s="49">
        <v>1</v>
      </c>
      <c r="U603" s="50">
        <v>0</v>
      </c>
      <c r="V603" s="50">
        <v>0.001068</v>
      </c>
      <c r="W603" s="50">
        <v>0</v>
      </c>
      <c r="X603" s="50">
        <v>0.467912</v>
      </c>
      <c r="Y603" s="50">
        <v>0</v>
      </c>
      <c r="Z603" s="50">
        <v>0</v>
      </c>
      <c r="AA603" s="72">
        <v>603</v>
      </c>
      <c r="AB603" s="72"/>
      <c r="AC603" s="73"/>
      <c r="AD603" s="80" t="s">
        <v>2159</v>
      </c>
      <c r="AE603" s="80"/>
      <c r="AF603" s="80"/>
      <c r="AG603" s="80"/>
      <c r="AH603" s="80"/>
      <c r="AI603" s="80"/>
      <c r="AJ603" s="87">
        <v>43995.53770833334</v>
      </c>
      <c r="AK603" s="85" t="str">
        <f>HYPERLINK("https://yt3.ggpht.com/ytc/AAUvwng7v_JL2Ofq5wWNE6xzPih9iXBv_sMiyXW3rK1d1w=s88-c-k-c0x00ffffff-no-rj")</f>
        <v>https://yt3.ggpht.com/ytc/AAUvwng7v_JL2Ofq5wWNE6xzPih9iXBv_sMiyXW3rK1d1w=s88-c-k-c0x00ffffff-no-rj</v>
      </c>
      <c r="AL603" s="80">
        <v>245</v>
      </c>
      <c r="AM603" s="80">
        <v>0</v>
      </c>
      <c r="AN603" s="80">
        <v>6</v>
      </c>
      <c r="AO603" s="80" t="b">
        <v>0</v>
      </c>
      <c r="AP603" s="80">
        <v>10</v>
      </c>
      <c r="AQ603" s="80"/>
      <c r="AR603" s="80"/>
      <c r="AS603" s="80" t="s">
        <v>2664</v>
      </c>
      <c r="AT603" s="85" t="str">
        <f>HYPERLINK("https://www.youtube.com/channel/UCLj0oRJSMJlFtBvj2MqARiQ")</f>
        <v>https://www.youtube.com/channel/UCLj0oRJSMJlFtBvj2MqARiQ</v>
      </c>
      <c r="AU603" s="80" t="str">
        <f>REPLACE(INDEX(GroupVertices[Group],MATCH(Vertices[[#This Row],[Vertex]],GroupVertices[Vertex],0)),1,1,"")</f>
        <v>2</v>
      </c>
      <c r="AV603" s="49">
        <v>1</v>
      </c>
      <c r="AW603" s="50">
        <v>50</v>
      </c>
      <c r="AX603" s="49">
        <v>0</v>
      </c>
      <c r="AY603" s="50">
        <v>0</v>
      </c>
      <c r="AZ603" s="49">
        <v>0</v>
      </c>
      <c r="BA603" s="50">
        <v>0</v>
      </c>
      <c r="BB603" s="49">
        <v>1</v>
      </c>
      <c r="BC603" s="50">
        <v>50</v>
      </c>
      <c r="BD603" s="49">
        <v>2</v>
      </c>
      <c r="BE603" s="49"/>
      <c r="BF603" s="49"/>
      <c r="BG603" s="49"/>
      <c r="BH603" s="49"/>
      <c r="BI603" s="49"/>
      <c r="BJ603" s="49"/>
      <c r="BK603" s="111" t="s">
        <v>1540</v>
      </c>
      <c r="BL603" s="111" t="s">
        <v>1540</v>
      </c>
      <c r="BM603" s="111" t="s">
        <v>4566</v>
      </c>
      <c r="BN603" s="111" t="s">
        <v>4566</v>
      </c>
      <c r="BO603" s="2"/>
      <c r="BP603" s="3"/>
      <c r="BQ603" s="3"/>
      <c r="BR603" s="3"/>
      <c r="BS603" s="3"/>
    </row>
    <row r="604" spans="1:71" ht="15">
      <c r="A604" s="65" t="s">
        <v>801</v>
      </c>
      <c r="B604" s="66"/>
      <c r="C604" s="66"/>
      <c r="D604" s="67">
        <v>150</v>
      </c>
      <c r="E604" s="69"/>
      <c r="F604" s="103" t="str">
        <f>HYPERLINK("https://yt3.ggpht.com/ytc/AAUvwnhSpkDWOEhLIPh3kxkLF5S4NfCvhD6wjdgMTw=s88-c-k-c0x00ffffff-no-rj")</f>
        <v>https://yt3.ggpht.com/ytc/AAUvwnhSpkDWOEhLIPh3kxkLF5S4NfCvhD6wjdgMTw=s88-c-k-c0x00ffffff-no-rj</v>
      </c>
      <c r="G604" s="66"/>
      <c r="H604" s="70" t="s">
        <v>2160</v>
      </c>
      <c r="I604" s="71"/>
      <c r="J604" s="71" t="s">
        <v>159</v>
      </c>
      <c r="K604" s="70" t="s">
        <v>2160</v>
      </c>
      <c r="L604" s="74">
        <v>1</v>
      </c>
      <c r="M604" s="75">
        <v>1856.2926025390625</v>
      </c>
      <c r="N604" s="75">
        <v>1820.28662109375</v>
      </c>
      <c r="O604" s="76"/>
      <c r="P604" s="77"/>
      <c r="Q604" s="77"/>
      <c r="R604" s="89"/>
      <c r="S604" s="49">
        <v>0</v>
      </c>
      <c r="T604" s="49">
        <v>1</v>
      </c>
      <c r="U604" s="50">
        <v>0</v>
      </c>
      <c r="V604" s="50">
        <v>0.001068</v>
      </c>
      <c r="W604" s="50">
        <v>0</v>
      </c>
      <c r="X604" s="50">
        <v>0.467912</v>
      </c>
      <c r="Y604" s="50">
        <v>0</v>
      </c>
      <c r="Z604" s="50">
        <v>0</v>
      </c>
      <c r="AA604" s="72">
        <v>604</v>
      </c>
      <c r="AB604" s="72"/>
      <c r="AC604" s="73"/>
      <c r="AD604" s="80" t="s">
        <v>2160</v>
      </c>
      <c r="AE604" s="80"/>
      <c r="AF604" s="80"/>
      <c r="AG604" s="80"/>
      <c r="AH604" s="80"/>
      <c r="AI604" s="80"/>
      <c r="AJ604" s="87">
        <v>43811.58954861111</v>
      </c>
      <c r="AK604" s="85" t="str">
        <f>HYPERLINK("https://yt3.ggpht.com/ytc/AAUvwnhSpkDWOEhLIPh3kxkLF5S4NfCvhD6wjdgMTw=s88-c-k-c0x00ffffff-no-rj")</f>
        <v>https://yt3.ggpht.com/ytc/AAUvwnhSpkDWOEhLIPh3kxkLF5S4NfCvhD6wjdgMTw=s88-c-k-c0x00ffffff-no-rj</v>
      </c>
      <c r="AL604" s="80">
        <v>0</v>
      </c>
      <c r="AM604" s="80">
        <v>0</v>
      </c>
      <c r="AN604" s="80">
        <v>0</v>
      </c>
      <c r="AO604" s="80" t="b">
        <v>0</v>
      </c>
      <c r="AP604" s="80">
        <v>0</v>
      </c>
      <c r="AQ604" s="80"/>
      <c r="AR604" s="80"/>
      <c r="AS604" s="80" t="s">
        <v>2664</v>
      </c>
      <c r="AT604" s="85" t="str">
        <f>HYPERLINK("https://www.youtube.com/channel/UC1aILpkji8MPAKECCmV6exQ")</f>
        <v>https://www.youtube.com/channel/UC1aILpkji8MPAKECCmV6exQ</v>
      </c>
      <c r="AU604" s="80" t="str">
        <f>REPLACE(INDEX(GroupVertices[Group],MATCH(Vertices[[#This Row],[Vertex]],GroupVertices[Vertex],0)),1,1,"")</f>
        <v>2</v>
      </c>
      <c r="AV604" s="49">
        <v>1</v>
      </c>
      <c r="AW604" s="50">
        <v>50</v>
      </c>
      <c r="AX604" s="49">
        <v>0</v>
      </c>
      <c r="AY604" s="50">
        <v>0</v>
      </c>
      <c r="AZ604" s="49">
        <v>0</v>
      </c>
      <c r="BA604" s="50">
        <v>0</v>
      </c>
      <c r="BB604" s="49">
        <v>1</v>
      </c>
      <c r="BC604" s="50">
        <v>50</v>
      </c>
      <c r="BD604" s="49">
        <v>2</v>
      </c>
      <c r="BE604" s="49"/>
      <c r="BF604" s="49"/>
      <c r="BG604" s="49"/>
      <c r="BH604" s="49"/>
      <c r="BI604" s="49"/>
      <c r="BJ604" s="49"/>
      <c r="BK604" s="111" t="s">
        <v>4106</v>
      </c>
      <c r="BL604" s="111" t="s">
        <v>4106</v>
      </c>
      <c r="BM604" s="111" t="s">
        <v>2390</v>
      </c>
      <c r="BN604" s="111" t="s">
        <v>2390</v>
      </c>
      <c r="BO604" s="2"/>
      <c r="BP604" s="3"/>
      <c r="BQ604" s="3"/>
      <c r="BR604" s="3"/>
      <c r="BS604" s="3"/>
    </row>
    <row r="605" spans="1:71" ht="15">
      <c r="A605" s="65" t="s">
        <v>802</v>
      </c>
      <c r="B605" s="66"/>
      <c r="C605" s="66"/>
      <c r="D605" s="67">
        <v>150</v>
      </c>
      <c r="E605" s="69"/>
      <c r="F605" s="103" t="str">
        <f>HYPERLINK("https://yt3.ggpht.com/ytc/AAUvwni9sDGQ871WeFiAkidHuWAe0VAVMMKP_YThW5mpZQ=s88-c-k-c0x00ffffff-no-rj")</f>
        <v>https://yt3.ggpht.com/ytc/AAUvwni9sDGQ871WeFiAkidHuWAe0VAVMMKP_YThW5mpZQ=s88-c-k-c0x00ffffff-no-rj</v>
      </c>
      <c r="G605" s="66"/>
      <c r="H605" s="70" t="s">
        <v>2161</v>
      </c>
      <c r="I605" s="71"/>
      <c r="J605" s="71" t="s">
        <v>159</v>
      </c>
      <c r="K605" s="70" t="s">
        <v>2161</v>
      </c>
      <c r="L605" s="74">
        <v>1</v>
      </c>
      <c r="M605" s="75">
        <v>2306.977294921875</v>
      </c>
      <c r="N605" s="75">
        <v>2333.593017578125</v>
      </c>
      <c r="O605" s="76"/>
      <c r="P605" s="77"/>
      <c r="Q605" s="77"/>
      <c r="R605" s="89"/>
      <c r="S605" s="49">
        <v>0</v>
      </c>
      <c r="T605" s="49">
        <v>1</v>
      </c>
      <c r="U605" s="50">
        <v>0</v>
      </c>
      <c r="V605" s="50">
        <v>0.001068</v>
      </c>
      <c r="W605" s="50">
        <v>0</v>
      </c>
      <c r="X605" s="50">
        <v>0.467912</v>
      </c>
      <c r="Y605" s="50">
        <v>0</v>
      </c>
      <c r="Z605" s="50">
        <v>0</v>
      </c>
      <c r="AA605" s="72">
        <v>605</v>
      </c>
      <c r="AB605" s="72"/>
      <c r="AC605" s="73"/>
      <c r="AD605" s="80" t="s">
        <v>2161</v>
      </c>
      <c r="AE605" s="80"/>
      <c r="AF605" s="80"/>
      <c r="AG605" s="80"/>
      <c r="AH605" s="80"/>
      <c r="AI605" s="80"/>
      <c r="AJ605" s="87">
        <v>41295.89486111111</v>
      </c>
      <c r="AK605" s="85" t="str">
        <f>HYPERLINK("https://yt3.ggpht.com/ytc/AAUvwni9sDGQ871WeFiAkidHuWAe0VAVMMKP_YThW5mpZQ=s88-c-k-c0x00ffffff-no-rj")</f>
        <v>https://yt3.ggpht.com/ytc/AAUvwni9sDGQ871WeFiAkidHuWAe0VAVMMKP_YThW5mpZQ=s88-c-k-c0x00ffffff-no-rj</v>
      </c>
      <c r="AL605" s="80">
        <v>0</v>
      </c>
      <c r="AM605" s="80">
        <v>0</v>
      </c>
      <c r="AN605" s="80">
        <v>1</v>
      </c>
      <c r="AO605" s="80" t="b">
        <v>0</v>
      </c>
      <c r="AP605" s="80">
        <v>0</v>
      </c>
      <c r="AQ605" s="80"/>
      <c r="AR605" s="80"/>
      <c r="AS605" s="80" t="s">
        <v>2664</v>
      </c>
      <c r="AT605" s="85" t="str">
        <f>HYPERLINK("https://www.youtube.com/channel/UCjXQ1_b7RUp86iL0t4I4XrQ")</f>
        <v>https://www.youtube.com/channel/UCjXQ1_b7RUp86iL0t4I4XrQ</v>
      </c>
      <c r="AU605" s="80" t="str">
        <f>REPLACE(INDEX(GroupVertices[Group],MATCH(Vertices[[#This Row],[Vertex]],GroupVertices[Vertex],0)),1,1,"")</f>
        <v>2</v>
      </c>
      <c r="AV605" s="49">
        <v>1</v>
      </c>
      <c r="AW605" s="50">
        <v>50</v>
      </c>
      <c r="AX605" s="49">
        <v>0</v>
      </c>
      <c r="AY605" s="50">
        <v>0</v>
      </c>
      <c r="AZ605" s="49">
        <v>0</v>
      </c>
      <c r="BA605" s="50">
        <v>0</v>
      </c>
      <c r="BB605" s="49">
        <v>1</v>
      </c>
      <c r="BC605" s="50">
        <v>50</v>
      </c>
      <c r="BD605" s="49">
        <v>2</v>
      </c>
      <c r="BE605" s="49"/>
      <c r="BF605" s="49"/>
      <c r="BG605" s="49"/>
      <c r="BH605" s="49"/>
      <c r="BI605" s="49"/>
      <c r="BJ605" s="49"/>
      <c r="BK605" s="111" t="s">
        <v>1421</v>
      </c>
      <c r="BL605" s="111" t="s">
        <v>1421</v>
      </c>
      <c r="BM605" s="111" t="s">
        <v>2390</v>
      </c>
      <c r="BN605" s="111" t="s">
        <v>2390</v>
      </c>
      <c r="BO605" s="2"/>
      <c r="BP605" s="3"/>
      <c r="BQ605" s="3"/>
      <c r="BR605" s="3"/>
      <c r="BS605" s="3"/>
    </row>
    <row r="606" spans="1:71" ht="15">
      <c r="A606" s="65" t="s">
        <v>803</v>
      </c>
      <c r="B606" s="66"/>
      <c r="C606" s="66"/>
      <c r="D606" s="67">
        <v>150</v>
      </c>
      <c r="E606" s="69"/>
      <c r="F606" s="103" t="str">
        <f>HYPERLINK("https://yt3.ggpht.com/ytc/AAUvwnhi_M1_76qQ6nzXTML9PIRWAVf9NShrPLnMVQ=s88-c-k-c0x00ffffff-no-rj")</f>
        <v>https://yt3.ggpht.com/ytc/AAUvwnhi_M1_76qQ6nzXTML9PIRWAVf9NShrPLnMVQ=s88-c-k-c0x00ffffff-no-rj</v>
      </c>
      <c r="G606" s="66"/>
      <c r="H606" s="70" t="s">
        <v>2162</v>
      </c>
      <c r="I606" s="71"/>
      <c r="J606" s="71" t="s">
        <v>159</v>
      </c>
      <c r="K606" s="70" t="s">
        <v>2162</v>
      </c>
      <c r="L606" s="74">
        <v>1</v>
      </c>
      <c r="M606" s="75">
        <v>2173.789794921875</v>
      </c>
      <c r="N606" s="75">
        <v>1489.35400390625</v>
      </c>
      <c r="O606" s="76"/>
      <c r="P606" s="77"/>
      <c r="Q606" s="77"/>
      <c r="R606" s="89"/>
      <c r="S606" s="49">
        <v>0</v>
      </c>
      <c r="T606" s="49">
        <v>1</v>
      </c>
      <c r="U606" s="50">
        <v>0</v>
      </c>
      <c r="V606" s="50">
        <v>0.001068</v>
      </c>
      <c r="W606" s="50">
        <v>0</v>
      </c>
      <c r="X606" s="50">
        <v>0.467912</v>
      </c>
      <c r="Y606" s="50">
        <v>0</v>
      </c>
      <c r="Z606" s="50">
        <v>0</v>
      </c>
      <c r="AA606" s="72">
        <v>606</v>
      </c>
      <c r="AB606" s="72"/>
      <c r="AC606" s="73"/>
      <c r="AD606" s="80" t="s">
        <v>2162</v>
      </c>
      <c r="AE606" s="80"/>
      <c r="AF606" s="80"/>
      <c r="AG606" s="80"/>
      <c r="AH606" s="80"/>
      <c r="AI606" s="80"/>
      <c r="AJ606" s="87">
        <v>43083.54193287037</v>
      </c>
      <c r="AK606" s="85" t="str">
        <f>HYPERLINK("https://yt3.ggpht.com/ytc/AAUvwnhi_M1_76qQ6nzXTML9PIRWAVf9NShrPLnMVQ=s88-c-k-c0x00ffffff-no-rj")</f>
        <v>https://yt3.ggpht.com/ytc/AAUvwnhi_M1_76qQ6nzXTML9PIRWAVf9NShrPLnMVQ=s88-c-k-c0x00ffffff-no-rj</v>
      </c>
      <c r="AL606" s="80">
        <v>0</v>
      </c>
      <c r="AM606" s="80">
        <v>0</v>
      </c>
      <c r="AN606" s="80">
        <v>0</v>
      </c>
      <c r="AO606" s="80" t="b">
        <v>0</v>
      </c>
      <c r="AP606" s="80">
        <v>0</v>
      </c>
      <c r="AQ606" s="80"/>
      <c r="AR606" s="80"/>
      <c r="AS606" s="80" t="s">
        <v>2664</v>
      </c>
      <c r="AT606" s="85" t="str">
        <f>HYPERLINK("https://www.youtube.com/channel/UCBWw8SH9UeJw3XQVEBJtQrA")</f>
        <v>https://www.youtube.com/channel/UCBWw8SH9UeJw3XQVEBJtQrA</v>
      </c>
      <c r="AU606" s="80" t="str">
        <f>REPLACE(INDEX(GroupVertices[Group],MATCH(Vertices[[#This Row],[Vertex]],GroupVertices[Vertex],0)),1,1,"")</f>
        <v>2</v>
      </c>
      <c r="AV606" s="49">
        <v>1</v>
      </c>
      <c r="AW606" s="50">
        <v>25</v>
      </c>
      <c r="AX606" s="49">
        <v>0</v>
      </c>
      <c r="AY606" s="50">
        <v>0</v>
      </c>
      <c r="AZ606" s="49">
        <v>0</v>
      </c>
      <c r="BA606" s="50">
        <v>0</v>
      </c>
      <c r="BB606" s="49">
        <v>3</v>
      </c>
      <c r="BC606" s="50">
        <v>75</v>
      </c>
      <c r="BD606" s="49">
        <v>4</v>
      </c>
      <c r="BE606" s="49"/>
      <c r="BF606" s="49"/>
      <c r="BG606" s="49"/>
      <c r="BH606" s="49"/>
      <c r="BI606" s="49"/>
      <c r="BJ606" s="49"/>
      <c r="BK606" s="111" t="s">
        <v>2752</v>
      </c>
      <c r="BL606" s="111" t="s">
        <v>2752</v>
      </c>
      <c r="BM606" s="111" t="s">
        <v>2390</v>
      </c>
      <c r="BN606" s="111" t="s">
        <v>2390</v>
      </c>
      <c r="BO606" s="2"/>
      <c r="BP606" s="3"/>
      <c r="BQ606" s="3"/>
      <c r="BR606" s="3"/>
      <c r="BS606" s="3"/>
    </row>
    <row r="607" spans="1:71" ht="15">
      <c r="A607" s="65" t="s">
        <v>804</v>
      </c>
      <c r="B607" s="66"/>
      <c r="C607" s="66"/>
      <c r="D607" s="67">
        <v>150</v>
      </c>
      <c r="E607" s="69"/>
      <c r="F607" s="103" t="str">
        <f>HYPERLINK("https://yt3.ggpht.com/ytc/AAUvwngqjnRk5JE49mOCzuRoRjt9Q0aNGfTjV1uepqFodg=s88-c-k-c0x00ffffff-no-rj")</f>
        <v>https://yt3.ggpht.com/ytc/AAUvwngqjnRk5JE49mOCzuRoRjt9Q0aNGfTjV1uepqFodg=s88-c-k-c0x00ffffff-no-rj</v>
      </c>
      <c r="G607" s="66"/>
      <c r="H607" s="70" t="s">
        <v>2163</v>
      </c>
      <c r="I607" s="71"/>
      <c r="J607" s="71" t="s">
        <v>159</v>
      </c>
      <c r="K607" s="70" t="s">
        <v>2163</v>
      </c>
      <c r="L607" s="74">
        <v>1</v>
      </c>
      <c r="M607" s="75">
        <v>1126.048828125</v>
      </c>
      <c r="N607" s="75">
        <v>2462.35107421875</v>
      </c>
      <c r="O607" s="76"/>
      <c r="P607" s="77"/>
      <c r="Q607" s="77"/>
      <c r="R607" s="89"/>
      <c r="S607" s="49">
        <v>0</v>
      </c>
      <c r="T607" s="49">
        <v>1</v>
      </c>
      <c r="U607" s="50">
        <v>0</v>
      </c>
      <c r="V607" s="50">
        <v>0.001068</v>
      </c>
      <c r="W607" s="50">
        <v>0</v>
      </c>
      <c r="X607" s="50">
        <v>0.467912</v>
      </c>
      <c r="Y607" s="50">
        <v>0</v>
      </c>
      <c r="Z607" s="50">
        <v>0</v>
      </c>
      <c r="AA607" s="72">
        <v>607</v>
      </c>
      <c r="AB607" s="72"/>
      <c r="AC607" s="73"/>
      <c r="AD607" s="80" t="s">
        <v>2163</v>
      </c>
      <c r="AE607" s="80" t="s">
        <v>2616</v>
      </c>
      <c r="AF607" s="80"/>
      <c r="AG607" s="80"/>
      <c r="AH607" s="80"/>
      <c r="AI607" s="80"/>
      <c r="AJ607" s="87">
        <v>42631.02197916667</v>
      </c>
      <c r="AK607" s="85" t="str">
        <f>HYPERLINK("https://yt3.ggpht.com/ytc/AAUvwngqjnRk5JE49mOCzuRoRjt9Q0aNGfTjV1uepqFodg=s88-c-k-c0x00ffffff-no-rj")</f>
        <v>https://yt3.ggpht.com/ytc/AAUvwngqjnRk5JE49mOCzuRoRjt9Q0aNGfTjV1uepqFodg=s88-c-k-c0x00ffffff-no-rj</v>
      </c>
      <c r="AL607" s="80">
        <v>7629</v>
      </c>
      <c r="AM607" s="80">
        <v>0</v>
      </c>
      <c r="AN607" s="80">
        <v>214</v>
      </c>
      <c r="AO607" s="80" t="b">
        <v>0</v>
      </c>
      <c r="AP607" s="80">
        <v>79</v>
      </c>
      <c r="AQ607" s="80"/>
      <c r="AR607" s="80"/>
      <c r="AS607" s="80" t="s">
        <v>2664</v>
      </c>
      <c r="AT607" s="85" t="str">
        <f>HYPERLINK("https://www.youtube.com/channel/UCSFVipfASWh43ZpnFG3Alvg")</f>
        <v>https://www.youtube.com/channel/UCSFVipfASWh43ZpnFG3Alvg</v>
      </c>
      <c r="AU607" s="80" t="str">
        <f>REPLACE(INDEX(GroupVertices[Group],MATCH(Vertices[[#This Row],[Vertex]],GroupVertices[Vertex],0)),1,1,"")</f>
        <v>2</v>
      </c>
      <c r="AV607" s="49">
        <v>0</v>
      </c>
      <c r="AW607" s="50">
        <v>0</v>
      </c>
      <c r="AX607" s="49">
        <v>0</v>
      </c>
      <c r="AY607" s="50">
        <v>0</v>
      </c>
      <c r="AZ607" s="49">
        <v>0</v>
      </c>
      <c r="BA607" s="50">
        <v>0</v>
      </c>
      <c r="BB607" s="49">
        <v>10</v>
      </c>
      <c r="BC607" s="50">
        <v>100</v>
      </c>
      <c r="BD607" s="49">
        <v>10</v>
      </c>
      <c r="BE607" s="49"/>
      <c r="BF607" s="49"/>
      <c r="BG607" s="49"/>
      <c r="BH607" s="49"/>
      <c r="BI607" s="49"/>
      <c r="BJ607" s="49"/>
      <c r="BK607" s="111" t="s">
        <v>4107</v>
      </c>
      <c r="BL607" s="111" t="s">
        <v>4107</v>
      </c>
      <c r="BM607" s="111" t="s">
        <v>4567</v>
      </c>
      <c r="BN607" s="111" t="s">
        <v>4567</v>
      </c>
      <c r="BO607" s="2"/>
      <c r="BP607" s="3"/>
      <c r="BQ607" s="3"/>
      <c r="BR607" s="3"/>
      <c r="BS607" s="3"/>
    </row>
    <row r="608" spans="1:71" ht="15">
      <c r="A608" s="65" t="s">
        <v>805</v>
      </c>
      <c r="B608" s="66"/>
      <c r="C608" s="66"/>
      <c r="D608" s="67">
        <v>150</v>
      </c>
      <c r="E608" s="69"/>
      <c r="F608" s="103" t="str">
        <f>HYPERLINK("https://yt3.ggpht.com/ytc/AAUvwniB01PukmJPT6vGMOqQ0DpBEvuTn3p6OyDJlKfF=s88-c-k-c0x00ffffff-no-rj")</f>
        <v>https://yt3.ggpht.com/ytc/AAUvwniB01PukmJPT6vGMOqQ0DpBEvuTn3p6OyDJlKfF=s88-c-k-c0x00ffffff-no-rj</v>
      </c>
      <c r="G608" s="66"/>
      <c r="H608" s="70" t="s">
        <v>2164</v>
      </c>
      <c r="I608" s="71"/>
      <c r="J608" s="71" t="s">
        <v>159</v>
      </c>
      <c r="K608" s="70" t="s">
        <v>2164</v>
      </c>
      <c r="L608" s="74">
        <v>1</v>
      </c>
      <c r="M608" s="75">
        <v>1318.5855712890625</v>
      </c>
      <c r="N608" s="75">
        <v>2452.78857421875</v>
      </c>
      <c r="O608" s="76"/>
      <c r="P608" s="77"/>
      <c r="Q608" s="77"/>
      <c r="R608" s="89"/>
      <c r="S608" s="49">
        <v>0</v>
      </c>
      <c r="T608" s="49">
        <v>1</v>
      </c>
      <c r="U608" s="50">
        <v>0</v>
      </c>
      <c r="V608" s="50">
        <v>0.001068</v>
      </c>
      <c r="W608" s="50">
        <v>0</v>
      </c>
      <c r="X608" s="50">
        <v>0.467912</v>
      </c>
      <c r="Y608" s="50">
        <v>0</v>
      </c>
      <c r="Z608" s="50">
        <v>0</v>
      </c>
      <c r="AA608" s="72">
        <v>608</v>
      </c>
      <c r="AB608" s="72"/>
      <c r="AC608" s="73"/>
      <c r="AD608" s="80" t="s">
        <v>2164</v>
      </c>
      <c r="AE608" s="80"/>
      <c r="AF608" s="80"/>
      <c r="AG608" s="80"/>
      <c r="AH608" s="80"/>
      <c r="AI608" s="80"/>
      <c r="AJ608" s="87">
        <v>42702.97775462963</v>
      </c>
      <c r="AK608" s="85" t="str">
        <f>HYPERLINK("https://yt3.ggpht.com/ytc/AAUvwniB01PukmJPT6vGMOqQ0DpBEvuTn3p6OyDJlKfF=s88-c-k-c0x00ffffff-no-rj")</f>
        <v>https://yt3.ggpht.com/ytc/AAUvwniB01PukmJPT6vGMOqQ0DpBEvuTn3p6OyDJlKfF=s88-c-k-c0x00ffffff-no-rj</v>
      </c>
      <c r="AL608" s="80">
        <v>0</v>
      </c>
      <c r="AM608" s="80">
        <v>0</v>
      </c>
      <c r="AN608" s="80">
        <v>2</v>
      </c>
      <c r="AO608" s="80" t="b">
        <v>0</v>
      </c>
      <c r="AP608" s="80">
        <v>0</v>
      </c>
      <c r="AQ608" s="80"/>
      <c r="AR608" s="80"/>
      <c r="AS608" s="80" t="s">
        <v>2664</v>
      </c>
      <c r="AT608" s="85" t="str">
        <f>HYPERLINK("https://www.youtube.com/channel/UCmtBrY48_j-28UhxzpxRVyg")</f>
        <v>https://www.youtube.com/channel/UCmtBrY48_j-28UhxzpxRVyg</v>
      </c>
      <c r="AU608" s="80" t="str">
        <f>REPLACE(INDEX(GroupVertices[Group],MATCH(Vertices[[#This Row],[Vertex]],GroupVertices[Vertex],0)),1,1,"")</f>
        <v>2</v>
      </c>
      <c r="AV608" s="49">
        <v>0</v>
      </c>
      <c r="AW608" s="50">
        <v>0</v>
      </c>
      <c r="AX608" s="49">
        <v>0</v>
      </c>
      <c r="AY608" s="50">
        <v>0</v>
      </c>
      <c r="AZ608" s="49">
        <v>0</v>
      </c>
      <c r="BA608" s="50">
        <v>0</v>
      </c>
      <c r="BB608" s="49">
        <v>1</v>
      </c>
      <c r="BC608" s="50">
        <v>100</v>
      </c>
      <c r="BD608" s="49">
        <v>1</v>
      </c>
      <c r="BE608" s="49"/>
      <c r="BF608" s="49"/>
      <c r="BG608" s="49"/>
      <c r="BH608" s="49"/>
      <c r="BI608" s="49"/>
      <c r="BJ608" s="49"/>
      <c r="BK608" s="111" t="s">
        <v>4108</v>
      </c>
      <c r="BL608" s="111" t="s">
        <v>4108</v>
      </c>
      <c r="BM608" s="111" t="s">
        <v>2390</v>
      </c>
      <c r="BN608" s="111" t="s">
        <v>2390</v>
      </c>
      <c r="BO608" s="2"/>
      <c r="BP608" s="3"/>
      <c r="BQ608" s="3"/>
      <c r="BR608" s="3"/>
      <c r="BS608" s="3"/>
    </row>
    <row r="609" spans="1:71" ht="15">
      <c r="A609" s="65" t="s">
        <v>806</v>
      </c>
      <c r="B609" s="66"/>
      <c r="C609" s="66"/>
      <c r="D609" s="67">
        <v>150</v>
      </c>
      <c r="E609" s="69"/>
      <c r="F609" s="103" t="str">
        <f>HYPERLINK("https://yt3.ggpht.com/ytc/AAUvwnjrnw4z81ECxs-pijRA1El23txBY_hc807Q=s88-c-k-c0x00ffffff-no-rj")</f>
        <v>https://yt3.ggpht.com/ytc/AAUvwnjrnw4z81ECxs-pijRA1El23txBY_hc807Q=s88-c-k-c0x00ffffff-no-rj</v>
      </c>
      <c r="G609" s="66"/>
      <c r="H609" s="70" t="s">
        <v>2165</v>
      </c>
      <c r="I609" s="71"/>
      <c r="J609" s="71" t="s">
        <v>159</v>
      </c>
      <c r="K609" s="70" t="s">
        <v>2165</v>
      </c>
      <c r="L609" s="74">
        <v>1</v>
      </c>
      <c r="M609" s="75">
        <v>1542.0504150390625</v>
      </c>
      <c r="N609" s="75">
        <v>1717.1380615234375</v>
      </c>
      <c r="O609" s="76"/>
      <c r="P609" s="77"/>
      <c r="Q609" s="77"/>
      <c r="R609" s="89"/>
      <c r="S609" s="49">
        <v>0</v>
      </c>
      <c r="T609" s="49">
        <v>1</v>
      </c>
      <c r="U609" s="50">
        <v>0</v>
      </c>
      <c r="V609" s="50">
        <v>0.001068</v>
      </c>
      <c r="W609" s="50">
        <v>0</v>
      </c>
      <c r="X609" s="50">
        <v>0.467912</v>
      </c>
      <c r="Y609" s="50">
        <v>0</v>
      </c>
      <c r="Z609" s="50">
        <v>0</v>
      </c>
      <c r="AA609" s="72">
        <v>609</v>
      </c>
      <c r="AB609" s="72"/>
      <c r="AC609" s="73"/>
      <c r="AD609" s="80" t="s">
        <v>2165</v>
      </c>
      <c r="AE609" s="80"/>
      <c r="AF609" s="80"/>
      <c r="AG609" s="80"/>
      <c r="AH609" s="80"/>
      <c r="AI609" s="80"/>
      <c r="AJ609" s="87">
        <v>43177.93071759259</v>
      </c>
      <c r="AK609" s="85" t="str">
        <f>HYPERLINK("https://yt3.ggpht.com/ytc/AAUvwnjrnw4z81ECxs-pijRA1El23txBY_hc807Q=s88-c-k-c0x00ffffff-no-rj")</f>
        <v>https://yt3.ggpht.com/ytc/AAUvwnjrnw4z81ECxs-pijRA1El23txBY_hc807Q=s88-c-k-c0x00ffffff-no-rj</v>
      </c>
      <c r="AL609" s="80">
        <v>0</v>
      </c>
      <c r="AM609" s="80">
        <v>0</v>
      </c>
      <c r="AN609" s="80">
        <v>0</v>
      </c>
      <c r="AO609" s="80" t="b">
        <v>0</v>
      </c>
      <c r="AP609" s="80">
        <v>0</v>
      </c>
      <c r="AQ609" s="80"/>
      <c r="AR609" s="80"/>
      <c r="AS609" s="80" t="s">
        <v>2664</v>
      </c>
      <c r="AT609" s="85" t="str">
        <f>HYPERLINK("https://www.youtube.com/channel/UCkoGhJVmkMOztmnzPa30EWA")</f>
        <v>https://www.youtube.com/channel/UCkoGhJVmkMOztmnzPa30EWA</v>
      </c>
      <c r="AU609" s="80" t="str">
        <f>REPLACE(INDEX(GroupVertices[Group],MATCH(Vertices[[#This Row],[Vertex]],GroupVertices[Vertex],0)),1,1,"")</f>
        <v>2</v>
      </c>
      <c r="AV609" s="49">
        <v>1</v>
      </c>
      <c r="AW609" s="50">
        <v>20</v>
      </c>
      <c r="AX609" s="49">
        <v>0</v>
      </c>
      <c r="AY609" s="50">
        <v>0</v>
      </c>
      <c r="AZ609" s="49">
        <v>0</v>
      </c>
      <c r="BA609" s="50">
        <v>0</v>
      </c>
      <c r="BB609" s="49">
        <v>4</v>
      </c>
      <c r="BC609" s="50">
        <v>80</v>
      </c>
      <c r="BD609" s="49">
        <v>5</v>
      </c>
      <c r="BE609" s="49"/>
      <c r="BF609" s="49"/>
      <c r="BG609" s="49"/>
      <c r="BH609" s="49"/>
      <c r="BI609" s="49"/>
      <c r="BJ609" s="49"/>
      <c r="BK609" s="111" t="s">
        <v>4109</v>
      </c>
      <c r="BL609" s="111" t="s">
        <v>4109</v>
      </c>
      <c r="BM609" s="111" t="s">
        <v>4568</v>
      </c>
      <c r="BN609" s="111" t="s">
        <v>4568</v>
      </c>
      <c r="BO609" s="2"/>
      <c r="BP609" s="3"/>
      <c r="BQ609" s="3"/>
      <c r="BR609" s="3"/>
      <c r="BS609" s="3"/>
    </row>
    <row r="610" spans="1:71" ht="15">
      <c r="A610" s="65" t="s">
        <v>807</v>
      </c>
      <c r="B610" s="66"/>
      <c r="C610" s="66"/>
      <c r="D610" s="67">
        <v>150</v>
      </c>
      <c r="E610" s="69"/>
      <c r="F610" s="103" t="str">
        <f>HYPERLINK("https://yt3.ggpht.com/ytc/AAUvwnjqSai1i3F-Vfmj8h6IviEY0o9SJ5iDhdxEuhBguq4=s88-c-k-c0x00ffffff-no-rj")</f>
        <v>https://yt3.ggpht.com/ytc/AAUvwnjqSai1i3F-Vfmj8h6IviEY0o9SJ5iDhdxEuhBguq4=s88-c-k-c0x00ffffff-no-rj</v>
      </c>
      <c r="G610" s="66"/>
      <c r="H610" s="70" t="s">
        <v>2166</v>
      </c>
      <c r="I610" s="71"/>
      <c r="J610" s="71" t="s">
        <v>159</v>
      </c>
      <c r="K610" s="70" t="s">
        <v>2166</v>
      </c>
      <c r="L610" s="74">
        <v>1</v>
      </c>
      <c r="M610" s="75">
        <v>2153.299560546875</v>
      </c>
      <c r="N610" s="75">
        <v>2166.685791015625</v>
      </c>
      <c r="O610" s="76"/>
      <c r="P610" s="77"/>
      <c r="Q610" s="77"/>
      <c r="R610" s="89"/>
      <c r="S610" s="49">
        <v>0</v>
      </c>
      <c r="T610" s="49">
        <v>1</v>
      </c>
      <c r="U610" s="50">
        <v>0</v>
      </c>
      <c r="V610" s="50">
        <v>0.001068</v>
      </c>
      <c r="W610" s="50">
        <v>0</v>
      </c>
      <c r="X610" s="50">
        <v>0.467912</v>
      </c>
      <c r="Y610" s="50">
        <v>0</v>
      </c>
      <c r="Z610" s="50">
        <v>0</v>
      </c>
      <c r="AA610" s="72">
        <v>610</v>
      </c>
      <c r="AB610" s="72"/>
      <c r="AC610" s="73"/>
      <c r="AD610" s="80" t="s">
        <v>2166</v>
      </c>
      <c r="AE610" s="80"/>
      <c r="AF610" s="80"/>
      <c r="AG610" s="80"/>
      <c r="AH610" s="80"/>
      <c r="AI610" s="80"/>
      <c r="AJ610" s="87">
        <v>41209.47895833333</v>
      </c>
      <c r="AK610" s="85" t="str">
        <f>HYPERLINK("https://yt3.ggpht.com/ytc/AAUvwnjqSai1i3F-Vfmj8h6IviEY0o9SJ5iDhdxEuhBguq4=s88-c-k-c0x00ffffff-no-rj")</f>
        <v>https://yt3.ggpht.com/ytc/AAUvwnjqSai1i3F-Vfmj8h6IviEY0o9SJ5iDhdxEuhBguq4=s88-c-k-c0x00ffffff-no-rj</v>
      </c>
      <c r="AL610" s="80">
        <v>92</v>
      </c>
      <c r="AM610" s="80">
        <v>0</v>
      </c>
      <c r="AN610" s="80">
        <v>15</v>
      </c>
      <c r="AO610" s="80" t="b">
        <v>0</v>
      </c>
      <c r="AP610" s="80">
        <v>1</v>
      </c>
      <c r="AQ610" s="80"/>
      <c r="AR610" s="80"/>
      <c r="AS610" s="80" t="s">
        <v>2664</v>
      </c>
      <c r="AT610" s="85" t="str">
        <f>HYPERLINK("https://www.youtube.com/channel/UCUUcUvc-YNLzYoX7ztHzLsw")</f>
        <v>https://www.youtube.com/channel/UCUUcUvc-YNLzYoX7ztHzLsw</v>
      </c>
      <c r="AU610" s="80" t="str">
        <f>REPLACE(INDEX(GroupVertices[Group],MATCH(Vertices[[#This Row],[Vertex]],GroupVertices[Vertex],0)),1,1,"")</f>
        <v>2</v>
      </c>
      <c r="AV610" s="49">
        <v>1</v>
      </c>
      <c r="AW610" s="50">
        <v>100</v>
      </c>
      <c r="AX610" s="49">
        <v>0</v>
      </c>
      <c r="AY610" s="50">
        <v>0</v>
      </c>
      <c r="AZ610" s="49">
        <v>0</v>
      </c>
      <c r="BA610" s="50">
        <v>0</v>
      </c>
      <c r="BB610" s="49">
        <v>0</v>
      </c>
      <c r="BC610" s="50">
        <v>0</v>
      </c>
      <c r="BD610" s="49">
        <v>1</v>
      </c>
      <c r="BE610" s="49"/>
      <c r="BF610" s="49"/>
      <c r="BG610" s="49"/>
      <c r="BH610" s="49"/>
      <c r="BI610" s="49"/>
      <c r="BJ610" s="49"/>
      <c r="BK610" s="111" t="s">
        <v>1421</v>
      </c>
      <c r="BL610" s="111" t="s">
        <v>1421</v>
      </c>
      <c r="BM610" s="111" t="s">
        <v>2390</v>
      </c>
      <c r="BN610" s="111" t="s">
        <v>2390</v>
      </c>
      <c r="BO610" s="2"/>
      <c r="BP610" s="3"/>
      <c r="BQ610" s="3"/>
      <c r="BR610" s="3"/>
      <c r="BS610" s="3"/>
    </row>
    <row r="611" spans="1:71" ht="15">
      <c r="A611" s="65" t="s">
        <v>808</v>
      </c>
      <c r="B611" s="66"/>
      <c r="C611" s="66"/>
      <c r="D611" s="67">
        <v>291.66666666666663</v>
      </c>
      <c r="E611" s="69"/>
      <c r="F611" s="103" t="str">
        <f>HYPERLINK("https://yt3.ggpht.com/ytc/AAUvwnhnqH4HkQAueUNiyfAjLvhQi3GTmy4s6iu1GQ=s88-c-k-c0x00ffffff-no-rj")</f>
        <v>https://yt3.ggpht.com/ytc/AAUvwnhnqH4HkQAueUNiyfAjLvhQi3GTmy4s6iu1GQ=s88-c-k-c0x00ffffff-no-rj</v>
      </c>
      <c r="G611" s="66"/>
      <c r="H611" s="70" t="s">
        <v>2167</v>
      </c>
      <c r="I611" s="71"/>
      <c r="J611" s="71" t="s">
        <v>159</v>
      </c>
      <c r="K611" s="70" t="s">
        <v>2167</v>
      </c>
      <c r="L611" s="74">
        <v>96.21904761904761</v>
      </c>
      <c r="M611" s="75">
        <v>1129.0474853515625</v>
      </c>
      <c r="N611" s="75">
        <v>2586.55419921875</v>
      </c>
      <c r="O611" s="76"/>
      <c r="P611" s="77"/>
      <c r="Q611" s="77"/>
      <c r="R611" s="89"/>
      <c r="S611" s="49">
        <v>1</v>
      </c>
      <c r="T611" s="49">
        <v>2</v>
      </c>
      <c r="U611" s="50">
        <v>0</v>
      </c>
      <c r="V611" s="50">
        <v>0.001068</v>
      </c>
      <c r="W611" s="50">
        <v>0</v>
      </c>
      <c r="X611" s="50">
        <v>0.813761</v>
      </c>
      <c r="Y611" s="50">
        <v>0</v>
      </c>
      <c r="Z611" s="50">
        <v>0</v>
      </c>
      <c r="AA611" s="72">
        <v>611</v>
      </c>
      <c r="AB611" s="72"/>
      <c r="AC611" s="73"/>
      <c r="AD611" s="80" t="s">
        <v>2167</v>
      </c>
      <c r="AE611" s="80"/>
      <c r="AF611" s="80"/>
      <c r="AG611" s="80"/>
      <c r="AH611" s="80"/>
      <c r="AI611" s="80"/>
      <c r="AJ611" s="87">
        <v>41617.71771990741</v>
      </c>
      <c r="AK611" s="85" t="str">
        <f>HYPERLINK("https://yt3.ggpht.com/ytc/AAUvwnhnqH4HkQAueUNiyfAjLvhQi3GTmy4s6iu1GQ=s88-c-k-c0x00ffffff-no-rj")</f>
        <v>https://yt3.ggpht.com/ytc/AAUvwnhnqH4HkQAueUNiyfAjLvhQi3GTmy4s6iu1GQ=s88-c-k-c0x00ffffff-no-rj</v>
      </c>
      <c r="AL611" s="80">
        <v>0</v>
      </c>
      <c r="AM611" s="80">
        <v>0</v>
      </c>
      <c r="AN611" s="80">
        <v>0</v>
      </c>
      <c r="AO611" s="80" t="b">
        <v>0</v>
      </c>
      <c r="AP611" s="80">
        <v>0</v>
      </c>
      <c r="AQ611" s="80"/>
      <c r="AR611" s="80"/>
      <c r="AS611" s="80" t="s">
        <v>2664</v>
      </c>
      <c r="AT611" s="85" t="str">
        <f>HYPERLINK("https://www.youtube.com/channel/UC-MVjybu6gbAbIDiQosKimA")</f>
        <v>https://www.youtube.com/channel/UC-MVjybu6gbAbIDiQosKimA</v>
      </c>
      <c r="AU611" s="80" t="str">
        <f>REPLACE(INDEX(GroupVertices[Group],MATCH(Vertices[[#This Row],[Vertex]],GroupVertices[Vertex],0)),1,1,"")</f>
        <v>2</v>
      </c>
      <c r="AV611" s="49">
        <v>1</v>
      </c>
      <c r="AW611" s="50">
        <v>3.225806451612903</v>
      </c>
      <c r="AX611" s="49">
        <v>0</v>
      </c>
      <c r="AY611" s="50">
        <v>0</v>
      </c>
      <c r="AZ611" s="49">
        <v>0</v>
      </c>
      <c r="BA611" s="50">
        <v>0</v>
      </c>
      <c r="BB611" s="49">
        <v>30</v>
      </c>
      <c r="BC611" s="50">
        <v>96.7741935483871</v>
      </c>
      <c r="BD611" s="49">
        <v>31</v>
      </c>
      <c r="BE611" s="49"/>
      <c r="BF611" s="49"/>
      <c r="BG611" s="49"/>
      <c r="BH611" s="49"/>
      <c r="BI611" s="49"/>
      <c r="BJ611" s="49"/>
      <c r="BK611" s="111" t="s">
        <v>4110</v>
      </c>
      <c r="BL611" s="111" t="s">
        <v>4110</v>
      </c>
      <c r="BM611" s="111" t="s">
        <v>4569</v>
      </c>
      <c r="BN611" s="111" t="s">
        <v>4569</v>
      </c>
      <c r="BO611" s="2"/>
      <c r="BP611" s="3"/>
      <c r="BQ611" s="3"/>
      <c r="BR611" s="3"/>
      <c r="BS611" s="3"/>
    </row>
    <row r="612" spans="1:71" ht="15">
      <c r="A612" s="65" t="s">
        <v>809</v>
      </c>
      <c r="B612" s="66"/>
      <c r="C612" s="66"/>
      <c r="D612" s="67">
        <v>150</v>
      </c>
      <c r="E612" s="69"/>
      <c r="F612" s="103" t="str">
        <f>HYPERLINK("https://yt3.ggpht.com/ytc/AAUvwnjK_afEbJufe6Vyo11XsVc6mmXOH8pAAdCQbOK6oQ=s88-c-k-c0x00ffffff-no-rj")</f>
        <v>https://yt3.ggpht.com/ytc/AAUvwnjK_afEbJufe6Vyo11XsVc6mmXOH8pAAdCQbOK6oQ=s88-c-k-c0x00ffffff-no-rj</v>
      </c>
      <c r="G612" s="66"/>
      <c r="H612" s="70" t="s">
        <v>2168</v>
      </c>
      <c r="I612" s="71"/>
      <c r="J612" s="71" t="s">
        <v>159</v>
      </c>
      <c r="K612" s="70" t="s">
        <v>2168</v>
      </c>
      <c r="L612" s="74">
        <v>1</v>
      </c>
      <c r="M612" s="75">
        <v>106.14649963378906</v>
      </c>
      <c r="N612" s="75">
        <v>2290.7900390625</v>
      </c>
      <c r="O612" s="76"/>
      <c r="P612" s="77"/>
      <c r="Q612" s="77"/>
      <c r="R612" s="89"/>
      <c r="S612" s="49">
        <v>0</v>
      </c>
      <c r="T612" s="49">
        <v>1</v>
      </c>
      <c r="U612" s="50">
        <v>0</v>
      </c>
      <c r="V612" s="50">
        <v>0.000834</v>
      </c>
      <c r="W612" s="50">
        <v>0</v>
      </c>
      <c r="X612" s="50">
        <v>0.546165</v>
      </c>
      <c r="Y612" s="50">
        <v>0</v>
      </c>
      <c r="Z612" s="50">
        <v>0</v>
      </c>
      <c r="AA612" s="72">
        <v>612</v>
      </c>
      <c r="AB612" s="72"/>
      <c r="AC612" s="73"/>
      <c r="AD612" s="80" t="s">
        <v>2168</v>
      </c>
      <c r="AE612" s="80"/>
      <c r="AF612" s="80"/>
      <c r="AG612" s="80"/>
      <c r="AH612" s="80"/>
      <c r="AI612" s="80"/>
      <c r="AJ612" s="87">
        <v>42711.23265046296</v>
      </c>
      <c r="AK612" s="85" t="str">
        <f>HYPERLINK("https://yt3.ggpht.com/ytc/AAUvwnjK_afEbJufe6Vyo11XsVc6mmXOH8pAAdCQbOK6oQ=s88-c-k-c0x00ffffff-no-rj")</f>
        <v>https://yt3.ggpht.com/ytc/AAUvwnjK_afEbJufe6Vyo11XsVc6mmXOH8pAAdCQbOK6oQ=s88-c-k-c0x00ffffff-no-rj</v>
      </c>
      <c r="AL612" s="80">
        <v>0</v>
      </c>
      <c r="AM612" s="80">
        <v>0</v>
      </c>
      <c r="AN612" s="80">
        <v>2</v>
      </c>
      <c r="AO612" s="80" t="b">
        <v>0</v>
      </c>
      <c r="AP612" s="80">
        <v>0</v>
      </c>
      <c r="AQ612" s="80"/>
      <c r="AR612" s="80"/>
      <c r="AS612" s="80" t="s">
        <v>2664</v>
      </c>
      <c r="AT612" s="85" t="str">
        <f>HYPERLINK("https://www.youtube.com/channel/UC6E4aPR3UIKueoV4Zv4vCeA")</f>
        <v>https://www.youtube.com/channel/UC6E4aPR3UIKueoV4Zv4vCeA</v>
      </c>
      <c r="AU612" s="80" t="str">
        <f>REPLACE(INDEX(GroupVertices[Group],MATCH(Vertices[[#This Row],[Vertex]],GroupVertices[Vertex],0)),1,1,"")</f>
        <v>2</v>
      </c>
      <c r="AV612" s="49">
        <v>0</v>
      </c>
      <c r="AW612" s="50">
        <v>0</v>
      </c>
      <c r="AX612" s="49">
        <v>0</v>
      </c>
      <c r="AY612" s="50">
        <v>0</v>
      </c>
      <c r="AZ612" s="49">
        <v>0</v>
      </c>
      <c r="BA612" s="50">
        <v>0</v>
      </c>
      <c r="BB612" s="49">
        <v>3</v>
      </c>
      <c r="BC612" s="50">
        <v>100</v>
      </c>
      <c r="BD612" s="49">
        <v>3</v>
      </c>
      <c r="BE612" s="49"/>
      <c r="BF612" s="49"/>
      <c r="BG612" s="49"/>
      <c r="BH612" s="49"/>
      <c r="BI612" s="49"/>
      <c r="BJ612" s="49"/>
      <c r="BK612" s="111" t="s">
        <v>4111</v>
      </c>
      <c r="BL612" s="111" t="s">
        <v>4111</v>
      </c>
      <c r="BM612" s="111" t="s">
        <v>4570</v>
      </c>
      <c r="BN612" s="111" t="s">
        <v>4570</v>
      </c>
      <c r="BO612" s="2"/>
      <c r="BP612" s="3"/>
      <c r="BQ612" s="3"/>
      <c r="BR612" s="3"/>
      <c r="BS612" s="3"/>
    </row>
    <row r="613" spans="1:71" ht="15">
      <c r="A613" s="65" t="s">
        <v>810</v>
      </c>
      <c r="B613" s="66"/>
      <c r="C613" s="66"/>
      <c r="D613" s="67">
        <v>291.66666666666663</v>
      </c>
      <c r="E613" s="69"/>
      <c r="F613" s="103" t="str">
        <f>HYPERLINK("https://yt3.ggpht.com/-kwcyZa4ZIq_5lcfYv_pkJvOdGMgRgnDL7jWzywpeShryrhFdRkEskHXdH8IkNW3yGhvEJoxOlM=s88-c-k-c0x00ffffff-no-rj")</f>
        <v>https://yt3.ggpht.com/-kwcyZa4ZIq_5lcfYv_pkJvOdGMgRgnDL7jWzywpeShryrhFdRkEskHXdH8IkNW3yGhvEJoxOlM=s88-c-k-c0x00ffffff-no-rj</v>
      </c>
      <c r="G613" s="66"/>
      <c r="H613" s="70" t="s">
        <v>2169</v>
      </c>
      <c r="I613" s="71"/>
      <c r="J613" s="71" t="s">
        <v>159</v>
      </c>
      <c r="K613" s="70" t="s">
        <v>2169</v>
      </c>
      <c r="L613" s="74">
        <v>96.21904761904761</v>
      </c>
      <c r="M613" s="75">
        <v>890.35546875</v>
      </c>
      <c r="N613" s="75">
        <v>2370.463623046875</v>
      </c>
      <c r="O613" s="76"/>
      <c r="P613" s="77"/>
      <c r="Q613" s="77"/>
      <c r="R613" s="89"/>
      <c r="S613" s="49">
        <v>1</v>
      </c>
      <c r="T613" s="49">
        <v>1</v>
      </c>
      <c r="U613" s="50">
        <v>530</v>
      </c>
      <c r="V613" s="50">
        <v>0.001071</v>
      </c>
      <c r="W613" s="50">
        <v>0</v>
      </c>
      <c r="X613" s="50">
        <v>0.932152</v>
      </c>
      <c r="Y613" s="50">
        <v>0</v>
      </c>
      <c r="Z613" s="50">
        <v>0</v>
      </c>
      <c r="AA613" s="72">
        <v>613</v>
      </c>
      <c r="AB613" s="72"/>
      <c r="AC613" s="73"/>
      <c r="AD613" s="80" t="s">
        <v>2169</v>
      </c>
      <c r="AE613" s="80" t="s">
        <v>2617</v>
      </c>
      <c r="AF613" s="80"/>
      <c r="AG613" s="80"/>
      <c r="AH613" s="80"/>
      <c r="AI613" s="80"/>
      <c r="AJ613" s="87">
        <v>43359.06601851852</v>
      </c>
      <c r="AK613" s="85" t="str">
        <f>HYPERLINK("https://yt3.ggpht.com/-kwcyZa4ZIq_5lcfYv_pkJvOdGMgRgnDL7jWzywpeShryrhFdRkEskHXdH8IkNW3yGhvEJoxOlM=s88-c-k-c0x00ffffff-no-rj")</f>
        <v>https://yt3.ggpht.com/-kwcyZa4ZIq_5lcfYv_pkJvOdGMgRgnDL7jWzywpeShryrhFdRkEskHXdH8IkNW3yGhvEJoxOlM=s88-c-k-c0x00ffffff-no-rj</v>
      </c>
      <c r="AL613" s="80">
        <v>0</v>
      </c>
      <c r="AM613" s="80">
        <v>0</v>
      </c>
      <c r="AN613" s="80">
        <v>5</v>
      </c>
      <c r="AO613" s="80" t="b">
        <v>0</v>
      </c>
      <c r="AP613" s="80">
        <v>0</v>
      </c>
      <c r="AQ613" s="80"/>
      <c r="AR613" s="80"/>
      <c r="AS613" s="80" t="s">
        <v>2664</v>
      </c>
      <c r="AT613" s="85" t="str">
        <f>HYPERLINK("https://www.youtube.com/channel/UCgquf9LuuyNk4tYNC7gZKgg")</f>
        <v>https://www.youtube.com/channel/UCgquf9LuuyNk4tYNC7gZKgg</v>
      </c>
      <c r="AU613" s="80" t="str">
        <f>REPLACE(INDEX(GroupVertices[Group],MATCH(Vertices[[#This Row],[Vertex]],GroupVertices[Vertex],0)),1,1,"")</f>
        <v>2</v>
      </c>
      <c r="AV613" s="49">
        <v>0</v>
      </c>
      <c r="AW613" s="50">
        <v>0</v>
      </c>
      <c r="AX613" s="49">
        <v>0</v>
      </c>
      <c r="AY613" s="50">
        <v>0</v>
      </c>
      <c r="AZ613" s="49">
        <v>0</v>
      </c>
      <c r="BA613" s="50">
        <v>0</v>
      </c>
      <c r="BB613" s="49">
        <v>12</v>
      </c>
      <c r="BC613" s="50">
        <v>100</v>
      </c>
      <c r="BD613" s="49">
        <v>12</v>
      </c>
      <c r="BE613" s="49"/>
      <c r="BF613" s="49"/>
      <c r="BG613" s="49"/>
      <c r="BH613" s="49"/>
      <c r="BI613" s="49"/>
      <c r="BJ613" s="49"/>
      <c r="BK613" s="111" t="s">
        <v>4112</v>
      </c>
      <c r="BL613" s="111" t="s">
        <v>4112</v>
      </c>
      <c r="BM613" s="111" t="s">
        <v>4571</v>
      </c>
      <c r="BN613" s="111" t="s">
        <v>4571</v>
      </c>
      <c r="BO613" s="2"/>
      <c r="BP613" s="3"/>
      <c r="BQ613" s="3"/>
      <c r="BR613" s="3"/>
      <c r="BS613" s="3"/>
    </row>
    <row r="614" spans="1:71" ht="15">
      <c r="A614" s="65" t="s">
        <v>811</v>
      </c>
      <c r="B614" s="66"/>
      <c r="C614" s="66"/>
      <c r="D614" s="67">
        <v>150</v>
      </c>
      <c r="E614" s="69"/>
      <c r="F614" s="103" t="str">
        <f>HYPERLINK("https://yt3.ggpht.com/ytc/AAUvwnir2Ns0AvMZHJ-4HckvygM4MgI5_7oJWqM9O2oT=s88-c-k-c0x00ffffff-no-rj")</f>
        <v>https://yt3.ggpht.com/ytc/AAUvwnir2Ns0AvMZHJ-4HckvygM4MgI5_7oJWqM9O2oT=s88-c-k-c0x00ffffff-no-rj</v>
      </c>
      <c r="G614" s="66"/>
      <c r="H614" s="70" t="s">
        <v>2170</v>
      </c>
      <c r="I614" s="71"/>
      <c r="J614" s="71" t="s">
        <v>159</v>
      </c>
      <c r="K614" s="70" t="s">
        <v>2170</v>
      </c>
      <c r="L614" s="74">
        <v>1</v>
      </c>
      <c r="M614" s="75">
        <v>1589.4180908203125</v>
      </c>
      <c r="N614" s="75">
        <v>1200.303955078125</v>
      </c>
      <c r="O614" s="76"/>
      <c r="P614" s="77"/>
      <c r="Q614" s="77"/>
      <c r="R614" s="89"/>
      <c r="S614" s="49">
        <v>0</v>
      </c>
      <c r="T614" s="49">
        <v>1</v>
      </c>
      <c r="U614" s="50">
        <v>0</v>
      </c>
      <c r="V614" s="50">
        <v>0.001068</v>
      </c>
      <c r="W614" s="50">
        <v>0</v>
      </c>
      <c r="X614" s="50">
        <v>0.467912</v>
      </c>
      <c r="Y614" s="50">
        <v>0</v>
      </c>
      <c r="Z614" s="50">
        <v>0</v>
      </c>
      <c r="AA614" s="72">
        <v>614</v>
      </c>
      <c r="AB614" s="72"/>
      <c r="AC614" s="73"/>
      <c r="AD614" s="80" t="s">
        <v>2170</v>
      </c>
      <c r="AE614" s="80"/>
      <c r="AF614" s="80"/>
      <c r="AG614" s="80"/>
      <c r="AH614" s="80"/>
      <c r="AI614" s="80"/>
      <c r="AJ614" s="87">
        <v>44209.72888888889</v>
      </c>
      <c r="AK614" s="85" t="str">
        <f>HYPERLINK("https://yt3.ggpht.com/ytc/AAUvwnir2Ns0AvMZHJ-4HckvygM4MgI5_7oJWqM9O2oT=s88-c-k-c0x00ffffff-no-rj")</f>
        <v>https://yt3.ggpht.com/ytc/AAUvwnir2Ns0AvMZHJ-4HckvygM4MgI5_7oJWqM9O2oT=s88-c-k-c0x00ffffff-no-rj</v>
      </c>
      <c r="AL614" s="80">
        <v>0</v>
      </c>
      <c r="AM614" s="80">
        <v>0</v>
      </c>
      <c r="AN614" s="80">
        <v>0</v>
      </c>
      <c r="AO614" s="80" t="b">
        <v>0</v>
      </c>
      <c r="AP614" s="80">
        <v>0</v>
      </c>
      <c r="AQ614" s="80"/>
      <c r="AR614" s="80"/>
      <c r="AS614" s="80" t="s">
        <v>2664</v>
      </c>
      <c r="AT614" s="85" t="str">
        <f>HYPERLINK("https://www.youtube.com/channel/UCPO2vYJeMPUThpD2I7nA5KQ")</f>
        <v>https://www.youtube.com/channel/UCPO2vYJeMPUThpD2I7nA5KQ</v>
      </c>
      <c r="AU614" s="80" t="str">
        <f>REPLACE(INDEX(GroupVertices[Group],MATCH(Vertices[[#This Row],[Vertex]],GroupVertices[Vertex],0)),1,1,"")</f>
        <v>2</v>
      </c>
      <c r="AV614" s="49">
        <v>0</v>
      </c>
      <c r="AW614" s="50">
        <v>0</v>
      </c>
      <c r="AX614" s="49">
        <v>0</v>
      </c>
      <c r="AY614" s="50">
        <v>0</v>
      </c>
      <c r="AZ614" s="49">
        <v>0</v>
      </c>
      <c r="BA614" s="50">
        <v>0</v>
      </c>
      <c r="BB614" s="49">
        <v>1</v>
      </c>
      <c r="BC614" s="50">
        <v>100</v>
      </c>
      <c r="BD614" s="49">
        <v>1</v>
      </c>
      <c r="BE614" s="49"/>
      <c r="BF614" s="49"/>
      <c r="BG614" s="49"/>
      <c r="BH614" s="49"/>
      <c r="BI614" s="49"/>
      <c r="BJ614" s="49"/>
      <c r="BK614" s="111" t="s">
        <v>2390</v>
      </c>
      <c r="BL614" s="111" t="s">
        <v>2390</v>
      </c>
      <c r="BM614" s="111" t="s">
        <v>2390</v>
      </c>
      <c r="BN614" s="111" t="s">
        <v>2390</v>
      </c>
      <c r="BO614" s="2"/>
      <c r="BP614" s="3"/>
      <c r="BQ614" s="3"/>
      <c r="BR614" s="3"/>
      <c r="BS614" s="3"/>
    </row>
    <row r="615" spans="1:71" ht="15">
      <c r="A615" s="65" t="s">
        <v>812</v>
      </c>
      <c r="B615" s="66"/>
      <c r="C615" s="66"/>
      <c r="D615" s="67">
        <v>150</v>
      </c>
      <c r="E615" s="69"/>
      <c r="F615" s="103" t="str">
        <f>HYPERLINK("https://yt3.ggpht.com/ytc/AAUvwng16vW--E5QpP_e2AB25FxwAzWzDD6pMrJ1YwaU=s88-c-k-c0x00ffffff-no-rj")</f>
        <v>https://yt3.ggpht.com/ytc/AAUvwng16vW--E5QpP_e2AB25FxwAzWzDD6pMrJ1YwaU=s88-c-k-c0x00ffffff-no-rj</v>
      </c>
      <c r="G615" s="66"/>
      <c r="H615" s="70" t="s">
        <v>2171</v>
      </c>
      <c r="I615" s="71"/>
      <c r="J615" s="71" t="s">
        <v>159</v>
      </c>
      <c r="K615" s="70" t="s">
        <v>2171</v>
      </c>
      <c r="L615" s="74">
        <v>1</v>
      </c>
      <c r="M615" s="75">
        <v>2421.10595703125</v>
      </c>
      <c r="N615" s="75">
        <v>1923.151611328125</v>
      </c>
      <c r="O615" s="76"/>
      <c r="P615" s="77"/>
      <c r="Q615" s="77"/>
      <c r="R615" s="89"/>
      <c r="S615" s="49">
        <v>0</v>
      </c>
      <c r="T615" s="49">
        <v>1</v>
      </c>
      <c r="U615" s="50">
        <v>0</v>
      </c>
      <c r="V615" s="50">
        <v>0.001068</v>
      </c>
      <c r="W615" s="50">
        <v>0</v>
      </c>
      <c r="X615" s="50">
        <v>0.467912</v>
      </c>
      <c r="Y615" s="50">
        <v>0</v>
      </c>
      <c r="Z615" s="50">
        <v>0</v>
      </c>
      <c r="AA615" s="72">
        <v>615</v>
      </c>
      <c r="AB615" s="72"/>
      <c r="AC615" s="73"/>
      <c r="AD615" s="80" t="s">
        <v>2171</v>
      </c>
      <c r="AE615" s="80"/>
      <c r="AF615" s="80"/>
      <c r="AG615" s="80"/>
      <c r="AH615" s="80"/>
      <c r="AI615" s="80"/>
      <c r="AJ615" s="87">
        <v>44113.293078703704</v>
      </c>
      <c r="AK615" s="85" t="str">
        <f>HYPERLINK("https://yt3.ggpht.com/ytc/AAUvwng16vW--E5QpP_e2AB25FxwAzWzDD6pMrJ1YwaU=s88-c-k-c0x00ffffff-no-rj")</f>
        <v>https://yt3.ggpht.com/ytc/AAUvwng16vW--E5QpP_e2AB25FxwAzWzDD6pMrJ1YwaU=s88-c-k-c0x00ffffff-no-rj</v>
      </c>
      <c r="AL615" s="80">
        <v>0</v>
      </c>
      <c r="AM615" s="80">
        <v>0</v>
      </c>
      <c r="AN615" s="80">
        <v>0</v>
      </c>
      <c r="AO615" s="80" t="b">
        <v>0</v>
      </c>
      <c r="AP615" s="80">
        <v>0</v>
      </c>
      <c r="AQ615" s="80"/>
      <c r="AR615" s="80"/>
      <c r="AS615" s="80" t="s">
        <v>2664</v>
      </c>
      <c r="AT615" s="85" t="str">
        <f>HYPERLINK("https://www.youtube.com/channel/UChTJoaRW4cXLkDd7UQsILEw")</f>
        <v>https://www.youtube.com/channel/UChTJoaRW4cXLkDd7UQsILEw</v>
      </c>
      <c r="AU615" s="80" t="str">
        <f>REPLACE(INDEX(GroupVertices[Group],MATCH(Vertices[[#This Row],[Vertex]],GroupVertices[Vertex],0)),1,1,"")</f>
        <v>2</v>
      </c>
      <c r="AV615" s="49">
        <v>0</v>
      </c>
      <c r="AW615" s="50">
        <v>0</v>
      </c>
      <c r="AX615" s="49">
        <v>0</v>
      </c>
      <c r="AY615" s="50">
        <v>0</v>
      </c>
      <c r="AZ615" s="49">
        <v>0</v>
      </c>
      <c r="BA615" s="50">
        <v>0</v>
      </c>
      <c r="BB615" s="49">
        <v>9</v>
      </c>
      <c r="BC615" s="50">
        <v>100</v>
      </c>
      <c r="BD615" s="49">
        <v>9</v>
      </c>
      <c r="BE615" s="49"/>
      <c r="BF615" s="49"/>
      <c r="BG615" s="49"/>
      <c r="BH615" s="49"/>
      <c r="BI615" s="49"/>
      <c r="BJ615" s="49"/>
      <c r="BK615" s="111" t="s">
        <v>4113</v>
      </c>
      <c r="BL615" s="111" t="s">
        <v>4113</v>
      </c>
      <c r="BM615" s="111" t="s">
        <v>4572</v>
      </c>
      <c r="BN615" s="111" t="s">
        <v>4572</v>
      </c>
      <c r="BO615" s="2"/>
      <c r="BP615" s="3"/>
      <c r="BQ615" s="3"/>
      <c r="BR615" s="3"/>
      <c r="BS615" s="3"/>
    </row>
    <row r="616" spans="1:71" ht="15">
      <c r="A616" s="65" t="s">
        <v>813</v>
      </c>
      <c r="B616" s="66"/>
      <c r="C616" s="66"/>
      <c r="D616" s="67">
        <v>150</v>
      </c>
      <c r="E616" s="69"/>
      <c r="F616" s="103" t="str">
        <f>HYPERLINK("https://yt3.ggpht.com/ytc/AAUvwnjbNMGIhW5rcNOXwbVzK92GOn7oYClNggQSLis8=s88-c-k-c0x00ffffff-no-rj")</f>
        <v>https://yt3.ggpht.com/ytc/AAUvwnjbNMGIhW5rcNOXwbVzK92GOn7oYClNggQSLis8=s88-c-k-c0x00ffffff-no-rj</v>
      </c>
      <c r="G616" s="66"/>
      <c r="H616" s="70" t="s">
        <v>2172</v>
      </c>
      <c r="I616" s="71"/>
      <c r="J616" s="71" t="s">
        <v>159</v>
      </c>
      <c r="K616" s="70" t="s">
        <v>2172</v>
      </c>
      <c r="L616" s="74">
        <v>1</v>
      </c>
      <c r="M616" s="75">
        <v>2085.01318359375</v>
      </c>
      <c r="N616" s="75">
        <v>1256.5511474609375</v>
      </c>
      <c r="O616" s="76"/>
      <c r="P616" s="77"/>
      <c r="Q616" s="77"/>
      <c r="R616" s="89"/>
      <c r="S616" s="49">
        <v>0</v>
      </c>
      <c r="T616" s="49">
        <v>1</v>
      </c>
      <c r="U616" s="50">
        <v>0</v>
      </c>
      <c r="V616" s="50">
        <v>0.001068</v>
      </c>
      <c r="W616" s="50">
        <v>0</v>
      </c>
      <c r="X616" s="50">
        <v>0.467912</v>
      </c>
      <c r="Y616" s="50">
        <v>0</v>
      </c>
      <c r="Z616" s="50">
        <v>0</v>
      </c>
      <c r="AA616" s="72">
        <v>616</v>
      </c>
      <c r="AB616" s="72"/>
      <c r="AC616" s="73"/>
      <c r="AD616" s="80" t="s">
        <v>2172</v>
      </c>
      <c r="AE616" s="80"/>
      <c r="AF616" s="80"/>
      <c r="AG616" s="80"/>
      <c r="AH616" s="80"/>
      <c r="AI616" s="80"/>
      <c r="AJ616" s="87">
        <v>44113.391331018516</v>
      </c>
      <c r="AK616" s="85" t="str">
        <f>HYPERLINK("https://yt3.ggpht.com/ytc/AAUvwnjbNMGIhW5rcNOXwbVzK92GOn7oYClNggQSLis8=s88-c-k-c0x00ffffff-no-rj")</f>
        <v>https://yt3.ggpht.com/ytc/AAUvwnjbNMGIhW5rcNOXwbVzK92GOn7oYClNggQSLis8=s88-c-k-c0x00ffffff-no-rj</v>
      </c>
      <c r="AL616" s="80">
        <v>12</v>
      </c>
      <c r="AM616" s="80">
        <v>0</v>
      </c>
      <c r="AN616" s="80">
        <v>4</v>
      </c>
      <c r="AO616" s="80" t="b">
        <v>0</v>
      </c>
      <c r="AP616" s="80">
        <v>1</v>
      </c>
      <c r="AQ616" s="80"/>
      <c r="AR616" s="80"/>
      <c r="AS616" s="80" t="s">
        <v>2664</v>
      </c>
      <c r="AT616" s="85" t="str">
        <f>HYPERLINK("https://www.youtube.com/channel/UCHmOPF4RgEpc7Cn_fQchGLw")</f>
        <v>https://www.youtube.com/channel/UCHmOPF4RgEpc7Cn_fQchGLw</v>
      </c>
      <c r="AU616" s="80" t="str">
        <f>REPLACE(INDEX(GroupVertices[Group],MATCH(Vertices[[#This Row],[Vertex]],GroupVertices[Vertex],0)),1,1,"")</f>
        <v>2</v>
      </c>
      <c r="AV616" s="49">
        <v>0</v>
      </c>
      <c r="AW616" s="50">
        <v>0</v>
      </c>
      <c r="AX616" s="49">
        <v>0</v>
      </c>
      <c r="AY616" s="50">
        <v>0</v>
      </c>
      <c r="AZ616" s="49">
        <v>0</v>
      </c>
      <c r="BA616" s="50">
        <v>0</v>
      </c>
      <c r="BB616" s="49">
        <v>7</v>
      </c>
      <c r="BC616" s="50">
        <v>100</v>
      </c>
      <c r="BD616" s="49">
        <v>7</v>
      </c>
      <c r="BE616" s="49"/>
      <c r="BF616" s="49"/>
      <c r="BG616" s="49"/>
      <c r="BH616" s="49"/>
      <c r="BI616" s="49"/>
      <c r="BJ616" s="49"/>
      <c r="BK616" s="111" t="s">
        <v>3067</v>
      </c>
      <c r="BL616" s="111" t="s">
        <v>3067</v>
      </c>
      <c r="BM616" s="111" t="s">
        <v>2390</v>
      </c>
      <c r="BN616" s="111" t="s">
        <v>2390</v>
      </c>
      <c r="BO616" s="2"/>
      <c r="BP616" s="3"/>
      <c r="BQ616" s="3"/>
      <c r="BR616" s="3"/>
      <c r="BS616" s="3"/>
    </row>
    <row r="617" spans="1:71" ht="15">
      <c r="A617" s="65" t="s">
        <v>814</v>
      </c>
      <c r="B617" s="66"/>
      <c r="C617" s="66"/>
      <c r="D617" s="67">
        <v>150</v>
      </c>
      <c r="E617" s="69"/>
      <c r="F617" s="103" t="str">
        <f>HYPERLINK("https://yt3.ggpht.com/ytc/AAUvwnjCVGm93ZnKKj5yP3jHuyb1BiVaUMIpF7hikA=s88-c-k-c0x00ffffff-no-rj")</f>
        <v>https://yt3.ggpht.com/ytc/AAUvwnjCVGm93ZnKKj5yP3jHuyb1BiVaUMIpF7hikA=s88-c-k-c0x00ffffff-no-rj</v>
      </c>
      <c r="G617" s="66"/>
      <c r="H617" s="70" t="s">
        <v>2173</v>
      </c>
      <c r="I617" s="71"/>
      <c r="J617" s="71" t="s">
        <v>159</v>
      </c>
      <c r="K617" s="70" t="s">
        <v>2173</v>
      </c>
      <c r="L617" s="74">
        <v>1</v>
      </c>
      <c r="M617" s="75">
        <v>1347.496826171875</v>
      </c>
      <c r="N617" s="75">
        <v>1393.0604248046875</v>
      </c>
      <c r="O617" s="76"/>
      <c r="P617" s="77"/>
      <c r="Q617" s="77"/>
      <c r="R617" s="89"/>
      <c r="S617" s="49">
        <v>0</v>
      </c>
      <c r="T617" s="49">
        <v>1</v>
      </c>
      <c r="U617" s="50">
        <v>0</v>
      </c>
      <c r="V617" s="50">
        <v>0.001068</v>
      </c>
      <c r="W617" s="50">
        <v>0</v>
      </c>
      <c r="X617" s="50">
        <v>0.467912</v>
      </c>
      <c r="Y617" s="50">
        <v>0</v>
      </c>
      <c r="Z617" s="50">
        <v>0</v>
      </c>
      <c r="AA617" s="72">
        <v>617</v>
      </c>
      <c r="AB617" s="72"/>
      <c r="AC617" s="73"/>
      <c r="AD617" s="80" t="s">
        <v>2173</v>
      </c>
      <c r="AE617" s="80"/>
      <c r="AF617" s="80"/>
      <c r="AG617" s="80"/>
      <c r="AH617" s="80"/>
      <c r="AI617" s="80"/>
      <c r="AJ617" s="87">
        <v>44243.3146412037</v>
      </c>
      <c r="AK617" s="85" t="str">
        <f>HYPERLINK("https://yt3.ggpht.com/ytc/AAUvwnjCVGm93ZnKKj5yP3jHuyb1BiVaUMIpF7hikA=s88-c-k-c0x00ffffff-no-rj")</f>
        <v>https://yt3.ggpht.com/ytc/AAUvwnjCVGm93ZnKKj5yP3jHuyb1BiVaUMIpF7hikA=s88-c-k-c0x00ffffff-no-rj</v>
      </c>
      <c r="AL617" s="80">
        <v>0</v>
      </c>
      <c r="AM617" s="80">
        <v>0</v>
      </c>
      <c r="AN617" s="80">
        <v>0</v>
      </c>
      <c r="AO617" s="80" t="b">
        <v>0</v>
      </c>
      <c r="AP617" s="80">
        <v>0</v>
      </c>
      <c r="AQ617" s="80"/>
      <c r="AR617" s="80"/>
      <c r="AS617" s="80" t="s">
        <v>2664</v>
      </c>
      <c r="AT617" s="85" t="str">
        <f>HYPERLINK("https://www.youtube.com/channel/UCruo99Y6FBB2DcBuWKn4lsw")</f>
        <v>https://www.youtube.com/channel/UCruo99Y6FBB2DcBuWKn4lsw</v>
      </c>
      <c r="AU617" s="80" t="str">
        <f>REPLACE(INDEX(GroupVertices[Group],MATCH(Vertices[[#This Row],[Vertex]],GroupVertices[Vertex],0)),1,1,"")</f>
        <v>2</v>
      </c>
      <c r="AV617" s="49">
        <v>0</v>
      </c>
      <c r="AW617" s="50">
        <v>0</v>
      </c>
      <c r="AX617" s="49">
        <v>0</v>
      </c>
      <c r="AY617" s="50">
        <v>0</v>
      </c>
      <c r="AZ617" s="49">
        <v>0</v>
      </c>
      <c r="BA617" s="50">
        <v>0</v>
      </c>
      <c r="BB617" s="49">
        <v>5</v>
      </c>
      <c r="BC617" s="50">
        <v>100</v>
      </c>
      <c r="BD617" s="49">
        <v>5</v>
      </c>
      <c r="BE617" s="49"/>
      <c r="BF617" s="49"/>
      <c r="BG617" s="49"/>
      <c r="BH617" s="49"/>
      <c r="BI617" s="49"/>
      <c r="BJ617" s="49"/>
      <c r="BK617" s="111" t="s">
        <v>2727</v>
      </c>
      <c r="BL617" s="111" t="s">
        <v>2727</v>
      </c>
      <c r="BM617" s="111" t="s">
        <v>2390</v>
      </c>
      <c r="BN617" s="111" t="s">
        <v>2390</v>
      </c>
      <c r="BO617" s="2"/>
      <c r="BP617" s="3"/>
      <c r="BQ617" s="3"/>
      <c r="BR617" s="3"/>
      <c r="BS617" s="3"/>
    </row>
    <row r="618" spans="1:71" ht="15">
      <c r="A618" s="65" t="s">
        <v>815</v>
      </c>
      <c r="B618" s="66"/>
      <c r="C618" s="66"/>
      <c r="D618" s="67">
        <v>150</v>
      </c>
      <c r="E618" s="69"/>
      <c r="F618" s="103" t="str">
        <f>HYPERLINK("https://yt3.ggpht.com/YlDU6plnMODP_t6i5YR451x5LWXm9jSKqFWbUD1Q7tOPE2g04jSLRDkJf1W11maK6EBelSDEobU=s88-c-k-c0x00ffffff-no-rj")</f>
        <v>https://yt3.ggpht.com/YlDU6plnMODP_t6i5YR451x5LWXm9jSKqFWbUD1Q7tOPE2g04jSLRDkJf1W11maK6EBelSDEobU=s88-c-k-c0x00ffffff-no-rj</v>
      </c>
      <c r="G618" s="66"/>
      <c r="H618" s="70" t="s">
        <v>2174</v>
      </c>
      <c r="I618" s="71"/>
      <c r="J618" s="71" t="s">
        <v>159</v>
      </c>
      <c r="K618" s="70" t="s">
        <v>2174</v>
      </c>
      <c r="L618" s="74">
        <v>1</v>
      </c>
      <c r="M618" s="75">
        <v>2401.301513671875</v>
      </c>
      <c r="N618" s="75">
        <v>2511.052734375</v>
      </c>
      <c r="O618" s="76"/>
      <c r="P618" s="77"/>
      <c r="Q618" s="77"/>
      <c r="R618" s="89"/>
      <c r="S618" s="49">
        <v>0</v>
      </c>
      <c r="T618" s="49">
        <v>1</v>
      </c>
      <c r="U618" s="50">
        <v>0</v>
      </c>
      <c r="V618" s="50">
        <v>0.001068</v>
      </c>
      <c r="W618" s="50">
        <v>0</v>
      </c>
      <c r="X618" s="50">
        <v>0.467912</v>
      </c>
      <c r="Y618" s="50">
        <v>0</v>
      </c>
      <c r="Z618" s="50">
        <v>0</v>
      </c>
      <c r="AA618" s="72">
        <v>618</v>
      </c>
      <c r="AB618" s="72"/>
      <c r="AC618" s="73"/>
      <c r="AD618" s="80" t="s">
        <v>2174</v>
      </c>
      <c r="AE618" s="80" t="s">
        <v>2618</v>
      </c>
      <c r="AF618" s="80"/>
      <c r="AG618" s="80"/>
      <c r="AH618" s="80"/>
      <c r="AI618" s="80"/>
      <c r="AJ618" s="87">
        <v>44069.130949074075</v>
      </c>
      <c r="AK618" s="85" t="str">
        <f>HYPERLINK("https://yt3.ggpht.com/YlDU6plnMODP_t6i5YR451x5LWXm9jSKqFWbUD1Q7tOPE2g04jSLRDkJf1W11maK6EBelSDEobU=s88-c-k-c0x00ffffff-no-rj")</f>
        <v>https://yt3.ggpht.com/YlDU6plnMODP_t6i5YR451x5LWXm9jSKqFWbUD1Q7tOPE2g04jSLRDkJf1W11maK6EBelSDEobU=s88-c-k-c0x00ffffff-no-rj</v>
      </c>
      <c r="AL618" s="80">
        <v>190</v>
      </c>
      <c r="AM618" s="80">
        <v>0</v>
      </c>
      <c r="AN618" s="80">
        <v>19</v>
      </c>
      <c r="AO618" s="80" t="b">
        <v>0</v>
      </c>
      <c r="AP618" s="80">
        <v>5</v>
      </c>
      <c r="AQ618" s="80"/>
      <c r="AR618" s="80"/>
      <c r="AS618" s="80" t="s">
        <v>2664</v>
      </c>
      <c r="AT618" s="85" t="str">
        <f>HYPERLINK("https://www.youtube.com/channel/UChDxGApugufXgdbkew0BHEA")</f>
        <v>https://www.youtube.com/channel/UChDxGApugufXgdbkew0BHEA</v>
      </c>
      <c r="AU618" s="80" t="str">
        <f>REPLACE(INDEX(GroupVertices[Group],MATCH(Vertices[[#This Row],[Vertex]],GroupVertices[Vertex],0)),1,1,"")</f>
        <v>2</v>
      </c>
      <c r="AV618" s="49">
        <v>0</v>
      </c>
      <c r="AW618" s="50">
        <v>0</v>
      </c>
      <c r="AX618" s="49">
        <v>0</v>
      </c>
      <c r="AY618" s="50">
        <v>0</v>
      </c>
      <c r="AZ618" s="49">
        <v>0</v>
      </c>
      <c r="BA618" s="50">
        <v>0</v>
      </c>
      <c r="BB618" s="49">
        <v>10</v>
      </c>
      <c r="BC618" s="50">
        <v>100</v>
      </c>
      <c r="BD618" s="49">
        <v>10</v>
      </c>
      <c r="BE618" s="49"/>
      <c r="BF618" s="49"/>
      <c r="BG618" s="49"/>
      <c r="BH618" s="49"/>
      <c r="BI618" s="49"/>
      <c r="BJ618" s="49"/>
      <c r="BK618" s="111" t="s">
        <v>4114</v>
      </c>
      <c r="BL618" s="111" t="s">
        <v>4114</v>
      </c>
      <c r="BM618" s="111" t="s">
        <v>4573</v>
      </c>
      <c r="BN618" s="111" t="s">
        <v>4573</v>
      </c>
      <c r="BO618" s="2"/>
      <c r="BP618" s="3"/>
      <c r="BQ618" s="3"/>
      <c r="BR618" s="3"/>
      <c r="BS618" s="3"/>
    </row>
    <row r="619" spans="1:71" ht="15">
      <c r="A619" s="65" t="s">
        <v>816</v>
      </c>
      <c r="B619" s="66"/>
      <c r="C619" s="66"/>
      <c r="D619" s="67">
        <v>150</v>
      </c>
      <c r="E619" s="69"/>
      <c r="F619" s="103" t="str">
        <f>HYPERLINK("https://yt3.ggpht.com/ytc/AAUvwngkK_1D3SXMCcxWu7ghMPOUpBPOxpwzjVtpGztoVQ=s88-c-k-c0x00ffffff-no-rj")</f>
        <v>https://yt3.ggpht.com/ytc/AAUvwngkK_1D3SXMCcxWu7ghMPOUpBPOxpwzjVtpGztoVQ=s88-c-k-c0x00ffffff-no-rj</v>
      </c>
      <c r="G619" s="66"/>
      <c r="H619" s="70" t="s">
        <v>2175</v>
      </c>
      <c r="I619" s="71"/>
      <c r="J619" s="71" t="s">
        <v>159</v>
      </c>
      <c r="K619" s="70" t="s">
        <v>2175</v>
      </c>
      <c r="L619" s="74">
        <v>1</v>
      </c>
      <c r="M619" s="75">
        <v>1927.30908203125</v>
      </c>
      <c r="N619" s="75">
        <v>1280.5235595703125</v>
      </c>
      <c r="O619" s="76"/>
      <c r="P619" s="77"/>
      <c r="Q619" s="77"/>
      <c r="R619" s="89"/>
      <c r="S619" s="49">
        <v>0</v>
      </c>
      <c r="T619" s="49">
        <v>1</v>
      </c>
      <c r="U619" s="50">
        <v>0</v>
      </c>
      <c r="V619" s="50">
        <v>0.001068</v>
      </c>
      <c r="W619" s="50">
        <v>0</v>
      </c>
      <c r="X619" s="50">
        <v>0.467912</v>
      </c>
      <c r="Y619" s="50">
        <v>0</v>
      </c>
      <c r="Z619" s="50">
        <v>0</v>
      </c>
      <c r="AA619" s="72">
        <v>619</v>
      </c>
      <c r="AB619" s="72"/>
      <c r="AC619" s="73"/>
      <c r="AD619" s="80" t="s">
        <v>2175</v>
      </c>
      <c r="AE619" s="80" t="s">
        <v>2619</v>
      </c>
      <c r="AF619" s="80"/>
      <c r="AG619" s="80"/>
      <c r="AH619" s="80"/>
      <c r="AI619" s="80"/>
      <c r="AJ619" s="87">
        <v>42804.700694444444</v>
      </c>
      <c r="AK619" s="85" t="str">
        <f>HYPERLINK("https://yt3.ggpht.com/ytc/AAUvwngkK_1D3SXMCcxWu7ghMPOUpBPOxpwzjVtpGztoVQ=s88-c-k-c0x00ffffff-no-rj")</f>
        <v>https://yt3.ggpht.com/ytc/AAUvwngkK_1D3SXMCcxWu7ghMPOUpBPOxpwzjVtpGztoVQ=s88-c-k-c0x00ffffff-no-rj</v>
      </c>
      <c r="AL619" s="80">
        <v>335</v>
      </c>
      <c r="AM619" s="80">
        <v>0</v>
      </c>
      <c r="AN619" s="80">
        <v>3</v>
      </c>
      <c r="AO619" s="80" t="b">
        <v>0</v>
      </c>
      <c r="AP619" s="80">
        <v>18</v>
      </c>
      <c r="AQ619" s="80"/>
      <c r="AR619" s="80"/>
      <c r="AS619" s="80" t="s">
        <v>2664</v>
      </c>
      <c r="AT619" s="85" t="str">
        <f>HYPERLINK("https://www.youtube.com/channel/UCGG7n9NThURR_CUkef32Y9Q")</f>
        <v>https://www.youtube.com/channel/UCGG7n9NThURR_CUkef32Y9Q</v>
      </c>
      <c r="AU619" s="80" t="str">
        <f>REPLACE(INDEX(GroupVertices[Group],MATCH(Vertices[[#This Row],[Vertex]],GroupVertices[Vertex],0)),1,1,"")</f>
        <v>2</v>
      </c>
      <c r="AV619" s="49">
        <v>0</v>
      </c>
      <c r="AW619" s="50">
        <v>0</v>
      </c>
      <c r="AX619" s="49">
        <v>0</v>
      </c>
      <c r="AY619" s="50">
        <v>0</v>
      </c>
      <c r="AZ619" s="49">
        <v>0</v>
      </c>
      <c r="BA619" s="50">
        <v>0</v>
      </c>
      <c r="BB619" s="49">
        <v>2</v>
      </c>
      <c r="BC619" s="50">
        <v>100</v>
      </c>
      <c r="BD619" s="49">
        <v>2</v>
      </c>
      <c r="BE619" s="49"/>
      <c r="BF619" s="49"/>
      <c r="BG619" s="49"/>
      <c r="BH619" s="49"/>
      <c r="BI619" s="49"/>
      <c r="BJ619" s="49"/>
      <c r="BK619" s="111" t="s">
        <v>4115</v>
      </c>
      <c r="BL619" s="111" t="s">
        <v>4115</v>
      </c>
      <c r="BM619" s="111" t="s">
        <v>2390</v>
      </c>
      <c r="BN619" s="111" t="s">
        <v>2390</v>
      </c>
      <c r="BO619" s="2"/>
      <c r="BP619" s="3"/>
      <c r="BQ619" s="3"/>
      <c r="BR619" s="3"/>
      <c r="BS619" s="3"/>
    </row>
    <row r="620" spans="1:71" ht="15">
      <c r="A620" s="65" t="s">
        <v>817</v>
      </c>
      <c r="B620" s="66"/>
      <c r="C620" s="66"/>
      <c r="D620" s="67">
        <v>150</v>
      </c>
      <c r="E620" s="69"/>
      <c r="F620" s="103" t="str">
        <f>HYPERLINK("https://yt3.ggpht.com/ytc/AAUvwniXYMthiwxDtk7qod1jo5egUvcd8Efh47Mlr8MW-g=s88-c-k-c0x00ffffff-no-rj")</f>
        <v>https://yt3.ggpht.com/ytc/AAUvwniXYMthiwxDtk7qod1jo5egUvcd8Efh47Mlr8MW-g=s88-c-k-c0x00ffffff-no-rj</v>
      </c>
      <c r="G620" s="66"/>
      <c r="H620" s="70" t="s">
        <v>2176</v>
      </c>
      <c r="I620" s="71"/>
      <c r="J620" s="71" t="s">
        <v>159</v>
      </c>
      <c r="K620" s="70" t="s">
        <v>2176</v>
      </c>
      <c r="L620" s="74">
        <v>1</v>
      </c>
      <c r="M620" s="75">
        <v>2358.0341796875</v>
      </c>
      <c r="N620" s="75">
        <v>1448.47607421875</v>
      </c>
      <c r="O620" s="76"/>
      <c r="P620" s="77"/>
      <c r="Q620" s="77"/>
      <c r="R620" s="89"/>
      <c r="S620" s="49">
        <v>0</v>
      </c>
      <c r="T620" s="49">
        <v>1</v>
      </c>
      <c r="U620" s="50">
        <v>0</v>
      </c>
      <c r="V620" s="50">
        <v>0.001068</v>
      </c>
      <c r="W620" s="50">
        <v>0</v>
      </c>
      <c r="X620" s="50">
        <v>0.467912</v>
      </c>
      <c r="Y620" s="50">
        <v>0</v>
      </c>
      <c r="Z620" s="50">
        <v>0</v>
      </c>
      <c r="AA620" s="72">
        <v>620</v>
      </c>
      <c r="AB620" s="72"/>
      <c r="AC620" s="73"/>
      <c r="AD620" s="80" t="s">
        <v>2176</v>
      </c>
      <c r="AE620" s="80" t="s">
        <v>2620</v>
      </c>
      <c r="AF620" s="80"/>
      <c r="AG620" s="80"/>
      <c r="AH620" s="80"/>
      <c r="AI620" s="80"/>
      <c r="AJ620" s="87">
        <v>42863.1534375</v>
      </c>
      <c r="AK620" s="85" t="str">
        <f>HYPERLINK("https://yt3.ggpht.com/ytc/AAUvwniXYMthiwxDtk7qod1jo5egUvcd8Efh47Mlr8MW-g=s88-c-k-c0x00ffffff-no-rj")</f>
        <v>https://yt3.ggpht.com/ytc/AAUvwniXYMthiwxDtk7qod1jo5egUvcd8Efh47Mlr8MW-g=s88-c-k-c0x00ffffff-no-rj</v>
      </c>
      <c r="AL620" s="80">
        <v>0</v>
      </c>
      <c r="AM620" s="80">
        <v>0</v>
      </c>
      <c r="AN620" s="80">
        <v>4</v>
      </c>
      <c r="AO620" s="80" t="b">
        <v>0</v>
      </c>
      <c r="AP620" s="80">
        <v>0</v>
      </c>
      <c r="AQ620" s="80"/>
      <c r="AR620" s="80"/>
      <c r="AS620" s="80" t="s">
        <v>2664</v>
      </c>
      <c r="AT620" s="85" t="str">
        <f>HYPERLINK("https://www.youtube.com/channel/UCQpqRbnxeGP47QFTnpEkY8Q")</f>
        <v>https://www.youtube.com/channel/UCQpqRbnxeGP47QFTnpEkY8Q</v>
      </c>
      <c r="AU620" s="80" t="str">
        <f>REPLACE(INDEX(GroupVertices[Group],MATCH(Vertices[[#This Row],[Vertex]],GroupVertices[Vertex],0)),1,1,"")</f>
        <v>2</v>
      </c>
      <c r="AV620" s="49">
        <v>1</v>
      </c>
      <c r="AW620" s="50">
        <v>6.25</v>
      </c>
      <c r="AX620" s="49">
        <v>1</v>
      </c>
      <c r="AY620" s="50">
        <v>6.25</v>
      </c>
      <c r="AZ620" s="49">
        <v>0</v>
      </c>
      <c r="BA620" s="50">
        <v>0</v>
      </c>
      <c r="BB620" s="49">
        <v>14</v>
      </c>
      <c r="BC620" s="50">
        <v>87.5</v>
      </c>
      <c r="BD620" s="49">
        <v>16</v>
      </c>
      <c r="BE620" s="49"/>
      <c r="BF620" s="49"/>
      <c r="BG620" s="49"/>
      <c r="BH620" s="49"/>
      <c r="BI620" s="49"/>
      <c r="BJ620" s="49"/>
      <c r="BK620" s="111" t="s">
        <v>4116</v>
      </c>
      <c r="BL620" s="111" t="s">
        <v>4116</v>
      </c>
      <c r="BM620" s="111" t="s">
        <v>4574</v>
      </c>
      <c r="BN620" s="111" t="s">
        <v>4574</v>
      </c>
      <c r="BO620" s="2"/>
      <c r="BP620" s="3"/>
      <c r="BQ620" s="3"/>
      <c r="BR620" s="3"/>
      <c r="BS620" s="3"/>
    </row>
    <row r="621" spans="1:71" ht="15">
      <c r="A621" s="65" t="s">
        <v>818</v>
      </c>
      <c r="B621" s="66"/>
      <c r="C621" s="66"/>
      <c r="D621" s="67">
        <v>150</v>
      </c>
      <c r="E621" s="69"/>
      <c r="F621" s="103" t="str">
        <f>HYPERLINK("https://yt3.ggpht.com/ytc/AAUvwnjKU8kEAkvUSjEg0lj549_BR__uzrJeM204D7nJyA=s88-c-k-c0x00ffffff-no-rj")</f>
        <v>https://yt3.ggpht.com/ytc/AAUvwnjKU8kEAkvUSjEg0lj549_BR__uzrJeM204D7nJyA=s88-c-k-c0x00ffffff-no-rj</v>
      </c>
      <c r="G621" s="66"/>
      <c r="H621" s="70" t="s">
        <v>2177</v>
      </c>
      <c r="I621" s="71"/>
      <c r="J621" s="71" t="s">
        <v>159</v>
      </c>
      <c r="K621" s="70" t="s">
        <v>2177</v>
      </c>
      <c r="L621" s="74">
        <v>1</v>
      </c>
      <c r="M621" s="75">
        <v>1402.2562255859375</v>
      </c>
      <c r="N621" s="75">
        <v>144.4942169189453</v>
      </c>
      <c r="O621" s="76"/>
      <c r="P621" s="77"/>
      <c r="Q621" s="77"/>
      <c r="R621" s="89"/>
      <c r="S621" s="49">
        <v>0</v>
      </c>
      <c r="T621" s="49">
        <v>1</v>
      </c>
      <c r="U621" s="50">
        <v>0</v>
      </c>
      <c r="V621" s="50">
        <v>0.000834</v>
      </c>
      <c r="W621" s="50">
        <v>0</v>
      </c>
      <c r="X621" s="50">
        <v>0.546165</v>
      </c>
      <c r="Y621" s="50">
        <v>0</v>
      </c>
      <c r="Z621" s="50">
        <v>0</v>
      </c>
      <c r="AA621" s="72">
        <v>621</v>
      </c>
      <c r="AB621" s="72"/>
      <c r="AC621" s="73"/>
      <c r="AD621" s="80" t="s">
        <v>2177</v>
      </c>
      <c r="AE621" s="80"/>
      <c r="AF621" s="80"/>
      <c r="AG621" s="80"/>
      <c r="AH621" s="80"/>
      <c r="AI621" s="80"/>
      <c r="AJ621" s="87">
        <v>42496.38586805556</v>
      </c>
      <c r="AK621" s="85" t="str">
        <f>HYPERLINK("https://yt3.ggpht.com/ytc/AAUvwnjKU8kEAkvUSjEg0lj549_BR__uzrJeM204D7nJyA=s88-c-k-c0x00ffffff-no-rj")</f>
        <v>https://yt3.ggpht.com/ytc/AAUvwnjKU8kEAkvUSjEg0lj549_BR__uzrJeM204D7nJyA=s88-c-k-c0x00ffffff-no-rj</v>
      </c>
      <c r="AL621" s="80">
        <v>1378</v>
      </c>
      <c r="AM621" s="80">
        <v>0</v>
      </c>
      <c r="AN621" s="80">
        <v>67</v>
      </c>
      <c r="AO621" s="80" t="b">
        <v>0</v>
      </c>
      <c r="AP621" s="80">
        <v>8</v>
      </c>
      <c r="AQ621" s="80"/>
      <c r="AR621" s="80"/>
      <c r="AS621" s="80" t="s">
        <v>2664</v>
      </c>
      <c r="AT621" s="85" t="str">
        <f>HYPERLINK("https://www.youtube.com/channel/UCxWv4IME8TBjpAxZTkah88g")</f>
        <v>https://www.youtube.com/channel/UCxWv4IME8TBjpAxZTkah88g</v>
      </c>
      <c r="AU621" s="80" t="str">
        <f>REPLACE(INDEX(GroupVertices[Group],MATCH(Vertices[[#This Row],[Vertex]],GroupVertices[Vertex],0)),1,1,"")</f>
        <v>2</v>
      </c>
      <c r="AV621" s="49">
        <v>0</v>
      </c>
      <c r="AW621" s="50">
        <v>0</v>
      </c>
      <c r="AX621" s="49">
        <v>0</v>
      </c>
      <c r="AY621" s="50">
        <v>0</v>
      </c>
      <c r="AZ621" s="49">
        <v>0</v>
      </c>
      <c r="BA621" s="50">
        <v>0</v>
      </c>
      <c r="BB621" s="49">
        <v>1</v>
      </c>
      <c r="BC621" s="50">
        <v>100</v>
      </c>
      <c r="BD621" s="49">
        <v>1</v>
      </c>
      <c r="BE621" s="49"/>
      <c r="BF621" s="49"/>
      <c r="BG621" s="49"/>
      <c r="BH621" s="49"/>
      <c r="BI621" s="49"/>
      <c r="BJ621" s="49"/>
      <c r="BK621" s="111" t="s">
        <v>2390</v>
      </c>
      <c r="BL621" s="111" t="s">
        <v>2390</v>
      </c>
      <c r="BM621" s="111" t="s">
        <v>2390</v>
      </c>
      <c r="BN621" s="111" t="s">
        <v>2390</v>
      </c>
      <c r="BO621" s="2"/>
      <c r="BP621" s="3"/>
      <c r="BQ621" s="3"/>
      <c r="BR621" s="3"/>
      <c r="BS621" s="3"/>
    </row>
    <row r="622" spans="1:71" ht="15">
      <c r="A622" s="65" t="s">
        <v>819</v>
      </c>
      <c r="B622" s="66"/>
      <c r="C622" s="66"/>
      <c r="D622" s="67">
        <v>291.66666666666663</v>
      </c>
      <c r="E622" s="69"/>
      <c r="F622" s="103" t="str">
        <f>HYPERLINK("https://yt3.ggpht.com/ytc/AAUvwnhjDuuss9z_OXDRzLMUrjKeUjnFzHB7LZv-E6m9=s88-c-k-c0x00ffffff-no-rj")</f>
        <v>https://yt3.ggpht.com/ytc/AAUvwnhjDuuss9z_OXDRzLMUrjKeUjnFzHB7LZv-E6m9=s88-c-k-c0x00ffffff-no-rj</v>
      </c>
      <c r="G622" s="66"/>
      <c r="H622" s="70" t="s">
        <v>2178</v>
      </c>
      <c r="I622" s="71"/>
      <c r="J622" s="71" t="s">
        <v>159</v>
      </c>
      <c r="K622" s="70" t="s">
        <v>2178</v>
      </c>
      <c r="L622" s="74">
        <v>96.21904761904761</v>
      </c>
      <c r="M622" s="75">
        <v>1581.6923828125</v>
      </c>
      <c r="N622" s="75">
        <v>1036.807861328125</v>
      </c>
      <c r="O622" s="76"/>
      <c r="P622" s="77"/>
      <c r="Q622" s="77"/>
      <c r="R622" s="89"/>
      <c r="S622" s="49">
        <v>1</v>
      </c>
      <c r="T622" s="49">
        <v>1</v>
      </c>
      <c r="U622" s="50">
        <v>530</v>
      </c>
      <c r="V622" s="50">
        <v>0.001071</v>
      </c>
      <c r="W622" s="50">
        <v>0</v>
      </c>
      <c r="X622" s="50">
        <v>0.932152</v>
      </c>
      <c r="Y622" s="50">
        <v>0</v>
      </c>
      <c r="Z622" s="50">
        <v>0</v>
      </c>
      <c r="AA622" s="72">
        <v>622</v>
      </c>
      <c r="AB622" s="72"/>
      <c r="AC622" s="73"/>
      <c r="AD622" s="80" t="s">
        <v>2178</v>
      </c>
      <c r="AE622" s="80"/>
      <c r="AF622" s="80"/>
      <c r="AG622" s="80"/>
      <c r="AH622" s="80"/>
      <c r="AI622" s="80"/>
      <c r="AJ622" s="87">
        <v>44158.66179398148</v>
      </c>
      <c r="AK622" s="85" t="str">
        <f>HYPERLINK("https://yt3.ggpht.com/ytc/AAUvwnhjDuuss9z_OXDRzLMUrjKeUjnFzHB7LZv-E6m9=s88-c-k-c0x00ffffff-no-rj")</f>
        <v>https://yt3.ggpht.com/ytc/AAUvwnhjDuuss9z_OXDRzLMUrjKeUjnFzHB7LZv-E6m9=s88-c-k-c0x00ffffff-no-rj</v>
      </c>
      <c r="AL622" s="80">
        <v>0</v>
      </c>
      <c r="AM622" s="80">
        <v>0</v>
      </c>
      <c r="AN622" s="80">
        <v>0</v>
      </c>
      <c r="AO622" s="80" t="b">
        <v>0</v>
      </c>
      <c r="AP622" s="80">
        <v>0</v>
      </c>
      <c r="AQ622" s="80"/>
      <c r="AR622" s="80"/>
      <c r="AS622" s="80" t="s">
        <v>2664</v>
      </c>
      <c r="AT622" s="85" t="str">
        <f>HYPERLINK("https://www.youtube.com/channel/UC_V7nOjrL1MJU2JZ-6wyrXg")</f>
        <v>https://www.youtube.com/channel/UC_V7nOjrL1MJU2JZ-6wyrXg</v>
      </c>
      <c r="AU622" s="80" t="str">
        <f>REPLACE(INDEX(GroupVertices[Group],MATCH(Vertices[[#This Row],[Vertex]],GroupVertices[Vertex],0)),1,1,"")</f>
        <v>2</v>
      </c>
      <c r="AV622" s="49">
        <v>0</v>
      </c>
      <c r="AW622" s="50">
        <v>0</v>
      </c>
      <c r="AX622" s="49">
        <v>0</v>
      </c>
      <c r="AY622" s="50">
        <v>0</v>
      </c>
      <c r="AZ622" s="49">
        <v>0</v>
      </c>
      <c r="BA622" s="50">
        <v>0</v>
      </c>
      <c r="BB622" s="49">
        <v>7</v>
      </c>
      <c r="BC622" s="50">
        <v>100</v>
      </c>
      <c r="BD622" s="49">
        <v>7</v>
      </c>
      <c r="BE622" s="49"/>
      <c r="BF622" s="49"/>
      <c r="BG622" s="49"/>
      <c r="BH622" s="49"/>
      <c r="BI622" s="49"/>
      <c r="BJ622" s="49"/>
      <c r="BK622" s="111" t="s">
        <v>2727</v>
      </c>
      <c r="BL622" s="111" t="s">
        <v>2727</v>
      </c>
      <c r="BM622" s="111" t="s">
        <v>2390</v>
      </c>
      <c r="BN622" s="111" t="s">
        <v>2390</v>
      </c>
      <c r="BO622" s="2"/>
      <c r="BP622" s="3"/>
      <c r="BQ622" s="3"/>
      <c r="BR622" s="3"/>
      <c r="BS622" s="3"/>
    </row>
    <row r="623" spans="1:71" ht="15">
      <c r="A623" s="65" t="s">
        <v>820</v>
      </c>
      <c r="B623" s="66"/>
      <c r="C623" s="66"/>
      <c r="D623" s="67">
        <v>150</v>
      </c>
      <c r="E623" s="69"/>
      <c r="F623" s="103" t="str">
        <f>HYPERLINK("https://yt3.ggpht.com/a/default-user=s88")</f>
        <v>https://yt3.ggpht.com/a/default-user=s88</v>
      </c>
      <c r="G623" s="66"/>
      <c r="H623" s="70" t="s">
        <v>2179</v>
      </c>
      <c r="I623" s="71"/>
      <c r="J623" s="71" t="s">
        <v>159</v>
      </c>
      <c r="K623" s="70" t="s">
        <v>2179</v>
      </c>
      <c r="L623" s="74">
        <v>1</v>
      </c>
      <c r="M623" s="75">
        <v>1884.501220703125</v>
      </c>
      <c r="N623" s="75">
        <v>2127.06787109375</v>
      </c>
      <c r="O623" s="76"/>
      <c r="P623" s="77"/>
      <c r="Q623" s="77"/>
      <c r="R623" s="89"/>
      <c r="S623" s="49">
        <v>0</v>
      </c>
      <c r="T623" s="49">
        <v>1</v>
      </c>
      <c r="U623" s="50">
        <v>0</v>
      </c>
      <c r="V623" s="50">
        <v>0.001068</v>
      </c>
      <c r="W623" s="50">
        <v>0</v>
      </c>
      <c r="X623" s="50">
        <v>0.467912</v>
      </c>
      <c r="Y623" s="50">
        <v>0</v>
      </c>
      <c r="Z623" s="50">
        <v>0</v>
      </c>
      <c r="AA623" s="72">
        <v>623</v>
      </c>
      <c r="AB623" s="72"/>
      <c r="AC623" s="73"/>
      <c r="AD623" s="80" t="s">
        <v>2179</v>
      </c>
      <c r="AE623" s="80"/>
      <c r="AF623" s="80"/>
      <c r="AG623" s="80"/>
      <c r="AH623" s="80"/>
      <c r="AI623" s="80"/>
      <c r="AJ623" s="87">
        <v>44225.42325231482</v>
      </c>
      <c r="AK623" s="85" t="str">
        <f>HYPERLINK("https://yt3.ggpht.com/a/default-user=s88")</f>
        <v>https://yt3.ggpht.com/a/default-user=s88</v>
      </c>
      <c r="AL623" s="80">
        <v>0</v>
      </c>
      <c r="AM623" s="80">
        <v>0</v>
      </c>
      <c r="AN623" s="80">
        <v>10</v>
      </c>
      <c r="AO623" s="80" t="b">
        <v>0</v>
      </c>
      <c r="AP623" s="80">
        <v>0</v>
      </c>
      <c r="AQ623" s="80"/>
      <c r="AR623" s="80"/>
      <c r="AS623" s="80" t="s">
        <v>2664</v>
      </c>
      <c r="AT623" s="85" t="str">
        <f>HYPERLINK("https://www.youtube.com/channel/UCbieuM_WCd6wC0enOietzdQ")</f>
        <v>https://www.youtube.com/channel/UCbieuM_WCd6wC0enOietzdQ</v>
      </c>
      <c r="AU623" s="80" t="str">
        <f>REPLACE(INDEX(GroupVertices[Group],MATCH(Vertices[[#This Row],[Vertex]],GroupVertices[Vertex],0)),1,1,"")</f>
        <v>2</v>
      </c>
      <c r="AV623" s="49">
        <v>0</v>
      </c>
      <c r="AW623" s="50">
        <v>0</v>
      </c>
      <c r="AX623" s="49">
        <v>0</v>
      </c>
      <c r="AY623" s="50">
        <v>0</v>
      </c>
      <c r="AZ623" s="49">
        <v>0</v>
      </c>
      <c r="BA623" s="50">
        <v>0</v>
      </c>
      <c r="BB623" s="49">
        <v>9</v>
      </c>
      <c r="BC623" s="50">
        <v>100</v>
      </c>
      <c r="BD623" s="49">
        <v>9</v>
      </c>
      <c r="BE623" s="49"/>
      <c r="BF623" s="49"/>
      <c r="BG623" s="49"/>
      <c r="BH623" s="49"/>
      <c r="BI623" s="49"/>
      <c r="BJ623" s="49"/>
      <c r="BK623" s="111" t="s">
        <v>4117</v>
      </c>
      <c r="BL623" s="111" t="s">
        <v>4117</v>
      </c>
      <c r="BM623" s="111" t="s">
        <v>4575</v>
      </c>
      <c r="BN623" s="111" t="s">
        <v>4575</v>
      </c>
      <c r="BO623" s="2"/>
      <c r="BP623" s="3"/>
      <c r="BQ623" s="3"/>
      <c r="BR623" s="3"/>
      <c r="BS623" s="3"/>
    </row>
    <row r="624" spans="1:71" ht="15">
      <c r="A624" s="65" t="s">
        <v>821</v>
      </c>
      <c r="B624" s="66"/>
      <c r="C624" s="66"/>
      <c r="D624" s="67">
        <v>150</v>
      </c>
      <c r="E624" s="69"/>
      <c r="F624" s="103" t="str">
        <f>HYPERLINK("https://yt3.ggpht.com/ytc/AAUvwnhNlBZLjqpkOpwoKigLT5Dlyo_2tLE1vOnmWg=s88-c-k-c0x00ffffff-no-rj")</f>
        <v>https://yt3.ggpht.com/ytc/AAUvwnhNlBZLjqpkOpwoKigLT5Dlyo_2tLE1vOnmWg=s88-c-k-c0x00ffffff-no-rj</v>
      </c>
      <c r="G624" s="66"/>
      <c r="H624" s="70" t="s">
        <v>2180</v>
      </c>
      <c r="I624" s="71"/>
      <c r="J624" s="71" t="s">
        <v>159</v>
      </c>
      <c r="K624" s="70" t="s">
        <v>2180</v>
      </c>
      <c r="L624" s="74">
        <v>1</v>
      </c>
      <c r="M624" s="75">
        <v>1491.40283203125</v>
      </c>
      <c r="N624" s="75">
        <v>1991.1522216796875</v>
      </c>
      <c r="O624" s="76"/>
      <c r="P624" s="77"/>
      <c r="Q624" s="77"/>
      <c r="R624" s="89"/>
      <c r="S624" s="49">
        <v>0</v>
      </c>
      <c r="T624" s="49">
        <v>1</v>
      </c>
      <c r="U624" s="50">
        <v>0</v>
      </c>
      <c r="V624" s="50">
        <v>0.001068</v>
      </c>
      <c r="W624" s="50">
        <v>0</v>
      </c>
      <c r="X624" s="50">
        <v>0.467912</v>
      </c>
      <c r="Y624" s="50">
        <v>0</v>
      </c>
      <c r="Z624" s="50">
        <v>0</v>
      </c>
      <c r="AA624" s="72">
        <v>624</v>
      </c>
      <c r="AB624" s="72"/>
      <c r="AC624" s="73"/>
      <c r="AD624" s="80" t="s">
        <v>2180</v>
      </c>
      <c r="AE624" s="80"/>
      <c r="AF624" s="80"/>
      <c r="AG624" s="80"/>
      <c r="AH624" s="80"/>
      <c r="AI624" s="80"/>
      <c r="AJ624" s="87">
        <v>43148.33640046296</v>
      </c>
      <c r="AK624" s="85" t="str">
        <f>HYPERLINK("https://yt3.ggpht.com/ytc/AAUvwnhNlBZLjqpkOpwoKigLT5Dlyo_2tLE1vOnmWg=s88-c-k-c0x00ffffff-no-rj")</f>
        <v>https://yt3.ggpht.com/ytc/AAUvwnhNlBZLjqpkOpwoKigLT5Dlyo_2tLE1vOnmWg=s88-c-k-c0x00ffffff-no-rj</v>
      </c>
      <c r="AL624" s="80">
        <v>0</v>
      </c>
      <c r="AM624" s="80">
        <v>0</v>
      </c>
      <c r="AN624" s="80">
        <v>15</v>
      </c>
      <c r="AO624" s="80" t="b">
        <v>0</v>
      </c>
      <c r="AP624" s="80">
        <v>0</v>
      </c>
      <c r="AQ624" s="80"/>
      <c r="AR624" s="80"/>
      <c r="AS624" s="80" t="s">
        <v>2664</v>
      </c>
      <c r="AT624" s="85" t="str">
        <f>HYPERLINK("https://www.youtube.com/channel/UCchgbiZujU7ZKwdY5B2hoeA")</f>
        <v>https://www.youtube.com/channel/UCchgbiZujU7ZKwdY5B2hoeA</v>
      </c>
      <c r="AU624" s="80" t="str">
        <f>REPLACE(INDEX(GroupVertices[Group],MATCH(Vertices[[#This Row],[Vertex]],GroupVertices[Vertex],0)),1,1,"")</f>
        <v>2</v>
      </c>
      <c r="AV624" s="49">
        <v>0</v>
      </c>
      <c r="AW624" s="50">
        <v>0</v>
      </c>
      <c r="AX624" s="49">
        <v>3</v>
      </c>
      <c r="AY624" s="50">
        <v>4.477611940298507</v>
      </c>
      <c r="AZ624" s="49">
        <v>0</v>
      </c>
      <c r="BA624" s="50">
        <v>0</v>
      </c>
      <c r="BB624" s="49">
        <v>64</v>
      </c>
      <c r="BC624" s="50">
        <v>95.5223880597015</v>
      </c>
      <c r="BD624" s="49">
        <v>67</v>
      </c>
      <c r="BE624" s="49"/>
      <c r="BF624" s="49"/>
      <c r="BG624" s="49"/>
      <c r="BH624" s="49"/>
      <c r="BI624" s="49"/>
      <c r="BJ624" s="49"/>
      <c r="BK624" s="111" t="s">
        <v>4118</v>
      </c>
      <c r="BL624" s="111" t="s">
        <v>4118</v>
      </c>
      <c r="BM624" s="111" t="s">
        <v>4576</v>
      </c>
      <c r="BN624" s="111" t="s">
        <v>4576</v>
      </c>
      <c r="BO624" s="2"/>
      <c r="BP624" s="3"/>
      <c r="BQ624" s="3"/>
      <c r="BR624" s="3"/>
      <c r="BS624" s="3"/>
    </row>
    <row r="625" spans="1:71" ht="15">
      <c r="A625" s="65" t="s">
        <v>822</v>
      </c>
      <c r="B625" s="66"/>
      <c r="C625" s="66"/>
      <c r="D625" s="67">
        <v>150</v>
      </c>
      <c r="E625" s="69"/>
      <c r="F625" s="103" t="str">
        <f>HYPERLINK("https://yt3.ggpht.com/ytc/AAUvwngEOhQvAZAoKsYhoXReDK_2rnEHFBdWZpBGyvKK=s88-c-k-c0x00ffffff-no-rj")</f>
        <v>https://yt3.ggpht.com/ytc/AAUvwngEOhQvAZAoKsYhoXReDK_2rnEHFBdWZpBGyvKK=s88-c-k-c0x00ffffff-no-rj</v>
      </c>
      <c r="G625" s="66"/>
      <c r="H625" s="70" t="s">
        <v>2181</v>
      </c>
      <c r="I625" s="71"/>
      <c r="J625" s="71" t="s">
        <v>159</v>
      </c>
      <c r="K625" s="70" t="s">
        <v>2181</v>
      </c>
      <c r="L625" s="74">
        <v>1</v>
      </c>
      <c r="M625" s="75">
        <v>1506.5498046875</v>
      </c>
      <c r="N625" s="75">
        <v>1460.583984375</v>
      </c>
      <c r="O625" s="76"/>
      <c r="P625" s="77"/>
      <c r="Q625" s="77"/>
      <c r="R625" s="89"/>
      <c r="S625" s="49">
        <v>0</v>
      </c>
      <c r="T625" s="49">
        <v>1</v>
      </c>
      <c r="U625" s="50">
        <v>0</v>
      </c>
      <c r="V625" s="50">
        <v>0.001068</v>
      </c>
      <c r="W625" s="50">
        <v>0</v>
      </c>
      <c r="X625" s="50">
        <v>0.467912</v>
      </c>
      <c r="Y625" s="50">
        <v>0</v>
      </c>
      <c r="Z625" s="50">
        <v>0</v>
      </c>
      <c r="AA625" s="72">
        <v>625</v>
      </c>
      <c r="AB625" s="72"/>
      <c r="AC625" s="73"/>
      <c r="AD625" s="80" t="s">
        <v>2181</v>
      </c>
      <c r="AE625" s="80" t="s">
        <v>2621</v>
      </c>
      <c r="AF625" s="80"/>
      <c r="AG625" s="80"/>
      <c r="AH625" s="80"/>
      <c r="AI625" s="80"/>
      <c r="AJ625" s="87">
        <v>43409.20434027778</v>
      </c>
      <c r="AK625" s="85" t="str">
        <f>HYPERLINK("https://yt3.ggpht.com/ytc/AAUvwngEOhQvAZAoKsYhoXReDK_2rnEHFBdWZpBGyvKK=s88-c-k-c0x00ffffff-no-rj")</f>
        <v>https://yt3.ggpht.com/ytc/AAUvwngEOhQvAZAoKsYhoXReDK_2rnEHFBdWZpBGyvKK=s88-c-k-c0x00ffffff-no-rj</v>
      </c>
      <c r="AL625" s="80">
        <v>49964</v>
      </c>
      <c r="AM625" s="80">
        <v>0</v>
      </c>
      <c r="AN625" s="80">
        <v>640</v>
      </c>
      <c r="AO625" s="80" t="b">
        <v>0</v>
      </c>
      <c r="AP625" s="80">
        <v>70</v>
      </c>
      <c r="AQ625" s="80"/>
      <c r="AR625" s="80"/>
      <c r="AS625" s="80" t="s">
        <v>2664</v>
      </c>
      <c r="AT625" s="85" t="str">
        <f>HYPERLINK("https://www.youtube.com/channel/UCoIUMLg-qptX6fVqZEBPm-w")</f>
        <v>https://www.youtube.com/channel/UCoIUMLg-qptX6fVqZEBPm-w</v>
      </c>
      <c r="AU625" s="80" t="str">
        <f>REPLACE(INDEX(GroupVertices[Group],MATCH(Vertices[[#This Row],[Vertex]],GroupVertices[Vertex],0)),1,1,"")</f>
        <v>2</v>
      </c>
      <c r="AV625" s="49">
        <v>0</v>
      </c>
      <c r="AW625" s="50">
        <v>0</v>
      </c>
      <c r="AX625" s="49">
        <v>0</v>
      </c>
      <c r="AY625" s="50">
        <v>0</v>
      </c>
      <c r="AZ625" s="49">
        <v>0</v>
      </c>
      <c r="BA625" s="50">
        <v>0</v>
      </c>
      <c r="BB625" s="49">
        <v>14</v>
      </c>
      <c r="BC625" s="50">
        <v>100</v>
      </c>
      <c r="BD625" s="49">
        <v>14</v>
      </c>
      <c r="BE625" s="49"/>
      <c r="BF625" s="49"/>
      <c r="BG625" s="49"/>
      <c r="BH625" s="49"/>
      <c r="BI625" s="49"/>
      <c r="BJ625" s="49"/>
      <c r="BK625" s="111" t="s">
        <v>3814</v>
      </c>
      <c r="BL625" s="111" t="s">
        <v>3814</v>
      </c>
      <c r="BM625" s="111" t="s">
        <v>4281</v>
      </c>
      <c r="BN625" s="111" t="s">
        <v>4281</v>
      </c>
      <c r="BO625" s="2"/>
      <c r="BP625" s="3"/>
      <c r="BQ625" s="3"/>
      <c r="BR625" s="3"/>
      <c r="BS625" s="3"/>
    </row>
    <row r="626" spans="1:71" ht="15">
      <c r="A626" s="65" t="s">
        <v>824</v>
      </c>
      <c r="B626" s="66"/>
      <c r="C626" s="66"/>
      <c r="D626" s="67">
        <v>291.66666666666663</v>
      </c>
      <c r="E626" s="69"/>
      <c r="F626" s="103" t="str">
        <f>HYPERLINK("https://yt3.ggpht.com/ytc/AAUvwnjfzy_082YyTm70n45JVVP6xggUON4FvB2tFRQ7eA=s88-c-k-c0x00ffffff-no-rj")</f>
        <v>https://yt3.ggpht.com/ytc/AAUvwnjfzy_082YyTm70n45JVVP6xggUON4FvB2tFRQ7eA=s88-c-k-c0x00ffffff-no-rj</v>
      </c>
      <c r="G626" s="66"/>
      <c r="H626" s="70" t="s">
        <v>2414</v>
      </c>
      <c r="I626" s="71"/>
      <c r="J626" s="71" t="s">
        <v>159</v>
      </c>
      <c r="K626" s="70" t="s">
        <v>2414</v>
      </c>
      <c r="L626" s="74">
        <v>96.21904761904761</v>
      </c>
      <c r="M626" s="75">
        <v>7629.279296875</v>
      </c>
      <c r="N626" s="75">
        <v>1928.997802734375</v>
      </c>
      <c r="O626" s="76"/>
      <c r="P626" s="77"/>
      <c r="Q626" s="77"/>
      <c r="R626" s="89"/>
      <c r="S626" s="49">
        <v>1</v>
      </c>
      <c r="T626" s="49">
        <v>1</v>
      </c>
      <c r="U626" s="50">
        <v>0</v>
      </c>
      <c r="V626" s="50">
        <v>0</v>
      </c>
      <c r="W626" s="50">
        <v>0</v>
      </c>
      <c r="X626" s="50">
        <v>0.999999</v>
      </c>
      <c r="Y626" s="50">
        <v>0</v>
      </c>
      <c r="Z626" s="50">
        <v>0</v>
      </c>
      <c r="AA626" s="72">
        <v>626</v>
      </c>
      <c r="AB626" s="72"/>
      <c r="AC626" s="73"/>
      <c r="AD626" s="80" t="s">
        <v>2414</v>
      </c>
      <c r="AE626" s="80" t="s">
        <v>2622</v>
      </c>
      <c r="AF626" s="80"/>
      <c r="AG626" s="80"/>
      <c r="AH626" s="80"/>
      <c r="AI626" s="80" t="s">
        <v>2660</v>
      </c>
      <c r="AJ626" s="87">
        <v>40574.521053240744</v>
      </c>
      <c r="AK626" s="85" t="str">
        <f>HYPERLINK("https://yt3.ggpht.com/ytc/AAUvwnjfzy_082YyTm70n45JVVP6xggUON4FvB2tFRQ7eA=s88-c-k-c0x00ffffff-no-rj")</f>
        <v>https://yt3.ggpht.com/ytc/AAUvwnjfzy_082YyTm70n45JVVP6xggUON4FvB2tFRQ7eA=s88-c-k-c0x00ffffff-no-rj</v>
      </c>
      <c r="AL626" s="80">
        <v>1343722</v>
      </c>
      <c r="AM626" s="80">
        <v>0</v>
      </c>
      <c r="AN626" s="80">
        <v>8210</v>
      </c>
      <c r="AO626" s="80" t="b">
        <v>0</v>
      </c>
      <c r="AP626" s="80">
        <v>1009</v>
      </c>
      <c r="AQ626" s="80"/>
      <c r="AR626" s="80"/>
      <c r="AS626" s="80" t="s">
        <v>2664</v>
      </c>
      <c r="AT626" s="85" t="str">
        <f>HYPERLINK("https://www.youtube.com/channel/UCEFANWZOr1vqmhr5TzNEskw")</f>
        <v>https://www.youtube.com/channel/UCEFANWZOr1vqmhr5TzNEskw</v>
      </c>
      <c r="AU626" s="80" t="str">
        <f>REPLACE(INDEX(GroupVertices[Group],MATCH(Vertices[[#This Row],[Vertex]],GroupVertices[Vertex],0)),1,1,"")</f>
        <v>13</v>
      </c>
      <c r="AV626" s="49"/>
      <c r="AW626" s="50"/>
      <c r="AX626" s="49"/>
      <c r="AY626" s="50"/>
      <c r="AZ626" s="49"/>
      <c r="BA626" s="50"/>
      <c r="BB626" s="49"/>
      <c r="BC626" s="50"/>
      <c r="BD626" s="49"/>
      <c r="BE626" s="49"/>
      <c r="BF626" s="49"/>
      <c r="BG626" s="49"/>
      <c r="BH626" s="49"/>
      <c r="BI626" s="49"/>
      <c r="BJ626" s="49"/>
      <c r="BK626" s="111" t="s">
        <v>2390</v>
      </c>
      <c r="BL626" s="111" t="s">
        <v>2390</v>
      </c>
      <c r="BM626" s="111" t="s">
        <v>2390</v>
      </c>
      <c r="BN626" s="111" t="s">
        <v>2390</v>
      </c>
      <c r="BO626" s="2"/>
      <c r="BP626" s="3"/>
      <c r="BQ626" s="3"/>
      <c r="BR626" s="3"/>
      <c r="BS626" s="3"/>
    </row>
    <row r="627" spans="1:71" ht="15">
      <c r="A627" s="65" t="s">
        <v>827</v>
      </c>
      <c r="B627" s="66"/>
      <c r="C627" s="66"/>
      <c r="D627" s="67">
        <v>291.66666666666663</v>
      </c>
      <c r="E627" s="69"/>
      <c r="F627" s="103" t="str">
        <f>HYPERLINK("https://yt3.ggpht.com/ytc/AAUvwnj9SayMXCozPIlx_SIVDYtWN948xUONEhEsKRDS=s88-c-k-c0x00ffffff-no-rj")</f>
        <v>https://yt3.ggpht.com/ytc/AAUvwnj9SayMXCozPIlx_SIVDYtWN948xUONEhEsKRDS=s88-c-k-c0x00ffffff-no-rj</v>
      </c>
      <c r="G627" s="66"/>
      <c r="H627" s="70" t="s">
        <v>2415</v>
      </c>
      <c r="I627" s="71"/>
      <c r="J627" s="71" t="s">
        <v>159</v>
      </c>
      <c r="K627" s="70" t="s">
        <v>2415</v>
      </c>
      <c r="L627" s="74">
        <v>96.21904761904761</v>
      </c>
      <c r="M627" s="75">
        <v>7263.07421875</v>
      </c>
      <c r="N627" s="75">
        <v>1928.997802734375</v>
      </c>
      <c r="O627" s="76"/>
      <c r="P627" s="77"/>
      <c r="Q627" s="77"/>
      <c r="R627" s="89"/>
      <c r="S627" s="49">
        <v>1</v>
      </c>
      <c r="T627" s="49">
        <v>1</v>
      </c>
      <c r="U627" s="50">
        <v>0</v>
      </c>
      <c r="V627" s="50">
        <v>0</v>
      </c>
      <c r="W627" s="50">
        <v>0</v>
      </c>
      <c r="X627" s="50">
        <v>0.999999</v>
      </c>
      <c r="Y627" s="50">
        <v>0</v>
      </c>
      <c r="Z627" s="50">
        <v>0</v>
      </c>
      <c r="AA627" s="72">
        <v>627</v>
      </c>
      <c r="AB627" s="72"/>
      <c r="AC627" s="73"/>
      <c r="AD627" s="80" t="s">
        <v>2415</v>
      </c>
      <c r="AE627" s="80" t="s">
        <v>2623</v>
      </c>
      <c r="AF627" s="80"/>
      <c r="AG627" s="80"/>
      <c r="AH627" s="80"/>
      <c r="AI627" s="80"/>
      <c r="AJ627" s="87">
        <v>40862.86554398148</v>
      </c>
      <c r="AK627" s="85" t="str">
        <f>HYPERLINK("https://yt3.ggpht.com/ytc/AAUvwnj9SayMXCozPIlx_SIVDYtWN948xUONEhEsKRDS=s88-c-k-c0x00ffffff-no-rj")</f>
        <v>https://yt3.ggpht.com/ytc/AAUvwnj9SayMXCozPIlx_SIVDYtWN948xUONEhEsKRDS=s88-c-k-c0x00ffffff-no-rj</v>
      </c>
      <c r="AL627" s="80">
        <v>246539</v>
      </c>
      <c r="AM627" s="80">
        <v>0</v>
      </c>
      <c r="AN627" s="80">
        <v>2910</v>
      </c>
      <c r="AO627" s="80" t="b">
        <v>0</v>
      </c>
      <c r="AP627" s="80">
        <v>1055</v>
      </c>
      <c r="AQ627" s="80"/>
      <c r="AR627" s="80"/>
      <c r="AS627" s="80" t="s">
        <v>2664</v>
      </c>
      <c r="AT627" s="85" t="str">
        <f>HYPERLINK("https://www.youtube.com/channel/UCA-MuKlT-IKQeVVn2EQV4tw")</f>
        <v>https://www.youtube.com/channel/UCA-MuKlT-IKQeVVn2EQV4tw</v>
      </c>
      <c r="AU627" s="80" t="str">
        <f>REPLACE(INDEX(GroupVertices[Group],MATCH(Vertices[[#This Row],[Vertex]],GroupVertices[Vertex],0)),1,1,"")</f>
        <v>13</v>
      </c>
      <c r="AV627" s="49"/>
      <c r="AW627" s="50"/>
      <c r="AX627" s="49"/>
      <c r="AY627" s="50"/>
      <c r="AZ627" s="49"/>
      <c r="BA627" s="50"/>
      <c r="BB627" s="49"/>
      <c r="BC627" s="50"/>
      <c r="BD627" s="49"/>
      <c r="BE627" s="49"/>
      <c r="BF627" s="49"/>
      <c r="BG627" s="49"/>
      <c r="BH627" s="49"/>
      <c r="BI627" s="49"/>
      <c r="BJ627" s="49"/>
      <c r="BK627" s="111" t="s">
        <v>2390</v>
      </c>
      <c r="BL627" s="111" t="s">
        <v>2390</v>
      </c>
      <c r="BM627" s="111" t="s">
        <v>2390</v>
      </c>
      <c r="BN627" s="111" t="s">
        <v>2390</v>
      </c>
      <c r="BO627" s="2"/>
      <c r="BP627" s="3"/>
      <c r="BQ627" s="3"/>
      <c r="BR627" s="3"/>
      <c r="BS627" s="3"/>
    </row>
    <row r="628" spans="1:71" ht="15">
      <c r="A628" s="65" t="s">
        <v>829</v>
      </c>
      <c r="B628" s="66"/>
      <c r="C628" s="66"/>
      <c r="D628" s="67">
        <v>291.66666666666663</v>
      </c>
      <c r="E628" s="69"/>
      <c r="F628" s="103" t="str">
        <f>HYPERLINK("https://yt3.ggpht.com/ytc/AAUvwni3oUaxwo5kU-0OcAgeB3cKh7H5Qp0bnYzCdrSs=s88-c-k-c0x00ffffff-no-rj")</f>
        <v>https://yt3.ggpht.com/ytc/AAUvwni3oUaxwo5kU-0OcAgeB3cKh7H5Qp0bnYzCdrSs=s88-c-k-c0x00ffffff-no-rj</v>
      </c>
      <c r="G628" s="66"/>
      <c r="H628" s="70" t="s">
        <v>2416</v>
      </c>
      <c r="I628" s="71"/>
      <c r="J628" s="71" t="s">
        <v>159</v>
      </c>
      <c r="K628" s="70" t="s">
        <v>2416</v>
      </c>
      <c r="L628" s="74">
        <v>96.21904761904761</v>
      </c>
      <c r="M628" s="75">
        <v>7629.279296875</v>
      </c>
      <c r="N628" s="75">
        <v>1596.6611328125</v>
      </c>
      <c r="O628" s="76"/>
      <c r="P628" s="77"/>
      <c r="Q628" s="77"/>
      <c r="R628" s="89"/>
      <c r="S628" s="49">
        <v>1</v>
      </c>
      <c r="T628" s="49">
        <v>1</v>
      </c>
      <c r="U628" s="50">
        <v>0</v>
      </c>
      <c r="V628" s="50">
        <v>0</v>
      </c>
      <c r="W628" s="50">
        <v>0</v>
      </c>
      <c r="X628" s="50">
        <v>0.999999</v>
      </c>
      <c r="Y628" s="50">
        <v>0</v>
      </c>
      <c r="Z628" s="50">
        <v>0</v>
      </c>
      <c r="AA628" s="72">
        <v>628</v>
      </c>
      <c r="AB628" s="72"/>
      <c r="AC628" s="73"/>
      <c r="AD628" s="80" t="s">
        <v>2416</v>
      </c>
      <c r="AE628" s="80" t="s">
        <v>2624</v>
      </c>
      <c r="AF628" s="80"/>
      <c r="AG628" s="80"/>
      <c r="AH628" s="80"/>
      <c r="AI628" s="80"/>
      <c r="AJ628" s="87">
        <v>44187.712013888886</v>
      </c>
      <c r="AK628" s="85" t="str">
        <f>HYPERLINK("https://yt3.ggpht.com/ytc/AAUvwni3oUaxwo5kU-0OcAgeB3cKh7H5Qp0bnYzCdrSs=s88-c-k-c0x00ffffff-no-rj")</f>
        <v>https://yt3.ggpht.com/ytc/AAUvwni3oUaxwo5kU-0OcAgeB3cKh7H5Qp0bnYzCdrSs=s88-c-k-c0x00ffffff-no-rj</v>
      </c>
      <c r="AL628" s="80">
        <v>63254</v>
      </c>
      <c r="AM628" s="80">
        <v>0</v>
      </c>
      <c r="AN628" s="80">
        <v>0</v>
      </c>
      <c r="AO628" s="80" t="b">
        <v>1</v>
      </c>
      <c r="AP628" s="80">
        <v>159</v>
      </c>
      <c r="AQ628" s="80"/>
      <c r="AR628" s="80"/>
      <c r="AS628" s="80" t="s">
        <v>2664</v>
      </c>
      <c r="AT628" s="85" t="str">
        <f>HYPERLINK("https://www.youtube.com/channel/UCIBZlWqgzyWY5oMXDSkA6Qw")</f>
        <v>https://www.youtube.com/channel/UCIBZlWqgzyWY5oMXDSkA6Qw</v>
      </c>
      <c r="AU628" s="80" t="str">
        <f>REPLACE(INDEX(GroupVertices[Group],MATCH(Vertices[[#This Row],[Vertex]],GroupVertices[Vertex],0)),1,1,"")</f>
        <v>13</v>
      </c>
      <c r="AV628" s="49"/>
      <c r="AW628" s="50"/>
      <c r="AX628" s="49"/>
      <c r="AY628" s="50"/>
      <c r="AZ628" s="49"/>
      <c r="BA628" s="50"/>
      <c r="BB628" s="49"/>
      <c r="BC628" s="50"/>
      <c r="BD628" s="49"/>
      <c r="BE628" s="49"/>
      <c r="BF628" s="49"/>
      <c r="BG628" s="49"/>
      <c r="BH628" s="49"/>
      <c r="BI628" s="49"/>
      <c r="BJ628" s="49"/>
      <c r="BK628" s="111" t="s">
        <v>2390</v>
      </c>
      <c r="BL628" s="111" t="s">
        <v>2390</v>
      </c>
      <c r="BM628" s="111" t="s">
        <v>2390</v>
      </c>
      <c r="BN628" s="111" t="s">
        <v>2390</v>
      </c>
      <c r="BO628" s="2"/>
      <c r="BP628" s="3"/>
      <c r="BQ628" s="3"/>
      <c r="BR628" s="3"/>
      <c r="BS628" s="3"/>
    </row>
    <row r="629" spans="1:71" ht="15">
      <c r="A629" s="65" t="s">
        <v>830</v>
      </c>
      <c r="B629" s="66"/>
      <c r="C629" s="66"/>
      <c r="D629" s="67">
        <v>291.66666666666663</v>
      </c>
      <c r="E629" s="69"/>
      <c r="F629" s="103" t="str">
        <f>HYPERLINK("https://yt3.ggpht.com/7W9foo9cW9BL5wUoJ3glbe1F8hH7eEUstb6PYpgpX7ZZtKduruSLg9C2ezqk-E7fTUlGFv4RvFc=s88-c-k-c0x00ffffff-no-rj")</f>
        <v>https://yt3.ggpht.com/7W9foo9cW9BL5wUoJ3glbe1F8hH7eEUstb6PYpgpX7ZZtKduruSLg9C2ezqk-E7fTUlGFv4RvFc=s88-c-k-c0x00ffffff-no-rj</v>
      </c>
      <c r="G629" s="66"/>
      <c r="H629" s="70" t="s">
        <v>2417</v>
      </c>
      <c r="I629" s="71"/>
      <c r="J629" s="71" t="s">
        <v>159</v>
      </c>
      <c r="K629" s="70" t="s">
        <v>2417</v>
      </c>
      <c r="L629" s="74">
        <v>96.21904761904761</v>
      </c>
      <c r="M629" s="75">
        <v>7263.07421875</v>
      </c>
      <c r="N629" s="75">
        <v>1596.6611328125</v>
      </c>
      <c r="O629" s="76"/>
      <c r="P629" s="77"/>
      <c r="Q629" s="77"/>
      <c r="R629" s="89"/>
      <c r="S629" s="49">
        <v>1</v>
      </c>
      <c r="T629" s="49">
        <v>1</v>
      </c>
      <c r="U629" s="50">
        <v>0</v>
      </c>
      <c r="V629" s="50">
        <v>0</v>
      </c>
      <c r="W629" s="50">
        <v>0</v>
      </c>
      <c r="X629" s="50">
        <v>0.999999</v>
      </c>
      <c r="Y629" s="50">
        <v>0</v>
      </c>
      <c r="Z629" s="50">
        <v>0</v>
      </c>
      <c r="AA629" s="72">
        <v>629</v>
      </c>
      <c r="AB629" s="72"/>
      <c r="AC629" s="73"/>
      <c r="AD629" s="80" t="s">
        <v>2417</v>
      </c>
      <c r="AE629" s="80" t="s">
        <v>2625</v>
      </c>
      <c r="AF629" s="80"/>
      <c r="AG629" s="80"/>
      <c r="AH629" s="80"/>
      <c r="AI629" s="80" t="s">
        <v>2661</v>
      </c>
      <c r="AJ629" s="87">
        <v>41829.601273148146</v>
      </c>
      <c r="AK629" s="85" t="str">
        <f>HYPERLINK("https://yt3.ggpht.com/7W9foo9cW9BL5wUoJ3glbe1F8hH7eEUstb6PYpgpX7ZZtKduruSLg9C2ezqk-E7fTUlGFv4RvFc=s88-c-k-c0x00ffffff-no-rj")</f>
        <v>https://yt3.ggpht.com/7W9foo9cW9BL5wUoJ3glbe1F8hH7eEUstb6PYpgpX7ZZtKduruSLg9C2ezqk-E7fTUlGFv4RvFc=s88-c-k-c0x00ffffff-no-rj</v>
      </c>
      <c r="AL629" s="80">
        <v>67362</v>
      </c>
      <c r="AM629" s="80">
        <v>0</v>
      </c>
      <c r="AN629" s="80">
        <v>484</v>
      </c>
      <c r="AO629" s="80" t="b">
        <v>0</v>
      </c>
      <c r="AP629" s="80">
        <v>300</v>
      </c>
      <c r="AQ629" s="80"/>
      <c r="AR629" s="80"/>
      <c r="AS629" s="80" t="s">
        <v>2664</v>
      </c>
      <c r="AT629" s="85" t="str">
        <f>HYPERLINK("https://www.youtube.com/channel/UCm8PoLXw1-GLRZYYQVXAQ8w")</f>
        <v>https://www.youtube.com/channel/UCm8PoLXw1-GLRZYYQVXAQ8w</v>
      </c>
      <c r="AU629" s="80" t="str">
        <f>REPLACE(INDEX(GroupVertices[Group],MATCH(Vertices[[#This Row],[Vertex]],GroupVertices[Vertex],0)),1,1,"")</f>
        <v>13</v>
      </c>
      <c r="AV629" s="49"/>
      <c r="AW629" s="50"/>
      <c r="AX629" s="49"/>
      <c r="AY629" s="50"/>
      <c r="AZ629" s="49"/>
      <c r="BA629" s="50"/>
      <c r="BB629" s="49"/>
      <c r="BC629" s="50"/>
      <c r="BD629" s="49"/>
      <c r="BE629" s="49"/>
      <c r="BF629" s="49"/>
      <c r="BG629" s="49"/>
      <c r="BH629" s="49"/>
      <c r="BI629" s="49"/>
      <c r="BJ629" s="49"/>
      <c r="BK629" s="111" t="s">
        <v>2390</v>
      </c>
      <c r="BL629" s="111" t="s">
        <v>2390</v>
      </c>
      <c r="BM629" s="111" t="s">
        <v>2390</v>
      </c>
      <c r="BN629" s="111" t="s">
        <v>2390</v>
      </c>
      <c r="BO629" s="2"/>
      <c r="BP629" s="3"/>
      <c r="BQ629" s="3"/>
      <c r="BR629" s="3"/>
      <c r="BS629" s="3"/>
    </row>
    <row r="630" spans="1:71" ht="15">
      <c r="A630" s="65" t="s">
        <v>831</v>
      </c>
      <c r="B630" s="66"/>
      <c r="C630" s="66"/>
      <c r="D630" s="67">
        <v>291.66666666666663</v>
      </c>
      <c r="E630" s="69"/>
      <c r="F630" s="103" t="str">
        <f>HYPERLINK("https://yt3.ggpht.com/ytc/AAUvwnhJXeVaRCr95fyXoEdv-oH8oAInGEqOHpcNLDJC=s88-c-k-c0x00ffffff-no-rj")</f>
        <v>https://yt3.ggpht.com/ytc/AAUvwnhJXeVaRCr95fyXoEdv-oH8oAInGEqOHpcNLDJC=s88-c-k-c0x00ffffff-no-rj</v>
      </c>
      <c r="G630" s="66"/>
      <c r="H630" s="70" t="s">
        <v>2418</v>
      </c>
      <c r="I630" s="71"/>
      <c r="J630" s="71" t="s">
        <v>159</v>
      </c>
      <c r="K630" s="70" t="s">
        <v>2418</v>
      </c>
      <c r="L630" s="74">
        <v>96.21904761904761</v>
      </c>
      <c r="M630" s="75">
        <v>7629.279296875</v>
      </c>
      <c r="N630" s="75">
        <v>2593.671142578125</v>
      </c>
      <c r="O630" s="76"/>
      <c r="P630" s="77"/>
      <c r="Q630" s="77"/>
      <c r="R630" s="89"/>
      <c r="S630" s="49">
        <v>1</v>
      </c>
      <c r="T630" s="49">
        <v>1</v>
      </c>
      <c r="U630" s="50">
        <v>0</v>
      </c>
      <c r="V630" s="50">
        <v>0</v>
      </c>
      <c r="W630" s="50">
        <v>0</v>
      </c>
      <c r="X630" s="50">
        <v>0.999999</v>
      </c>
      <c r="Y630" s="50">
        <v>0</v>
      </c>
      <c r="Z630" s="50">
        <v>0</v>
      </c>
      <c r="AA630" s="72">
        <v>630</v>
      </c>
      <c r="AB630" s="72"/>
      <c r="AC630" s="73"/>
      <c r="AD630" s="80" t="s">
        <v>2418</v>
      </c>
      <c r="AE630" s="80" t="s">
        <v>2626</v>
      </c>
      <c r="AF630" s="80"/>
      <c r="AG630" s="80"/>
      <c r="AH630" s="80"/>
      <c r="AI630" s="80" t="s">
        <v>2662</v>
      </c>
      <c r="AJ630" s="87">
        <v>41937.73099537037</v>
      </c>
      <c r="AK630" s="85" t="str">
        <f>HYPERLINK("https://yt3.ggpht.com/ytc/AAUvwnhJXeVaRCr95fyXoEdv-oH8oAInGEqOHpcNLDJC=s88-c-k-c0x00ffffff-no-rj")</f>
        <v>https://yt3.ggpht.com/ytc/AAUvwnhJXeVaRCr95fyXoEdv-oH8oAInGEqOHpcNLDJC=s88-c-k-c0x00ffffff-no-rj</v>
      </c>
      <c r="AL630" s="80">
        <v>353234</v>
      </c>
      <c r="AM630" s="80">
        <v>0</v>
      </c>
      <c r="AN630" s="80">
        <v>2040</v>
      </c>
      <c r="AO630" s="80" t="b">
        <v>0</v>
      </c>
      <c r="AP630" s="80">
        <v>71</v>
      </c>
      <c r="AQ630" s="80"/>
      <c r="AR630" s="80"/>
      <c r="AS630" s="80" t="s">
        <v>2664</v>
      </c>
      <c r="AT630" s="85" t="str">
        <f>HYPERLINK("https://www.youtube.com/channel/UCTg4WnwzN4NLhoFeDJsAUkw")</f>
        <v>https://www.youtube.com/channel/UCTg4WnwzN4NLhoFeDJsAUkw</v>
      </c>
      <c r="AU630" s="80" t="str">
        <f>REPLACE(INDEX(GroupVertices[Group],MATCH(Vertices[[#This Row],[Vertex]],GroupVertices[Vertex],0)),1,1,"")</f>
        <v>13</v>
      </c>
      <c r="AV630" s="49"/>
      <c r="AW630" s="50"/>
      <c r="AX630" s="49"/>
      <c r="AY630" s="50"/>
      <c r="AZ630" s="49"/>
      <c r="BA630" s="50"/>
      <c r="BB630" s="49"/>
      <c r="BC630" s="50"/>
      <c r="BD630" s="49"/>
      <c r="BE630" s="49"/>
      <c r="BF630" s="49"/>
      <c r="BG630" s="49"/>
      <c r="BH630" s="49"/>
      <c r="BI630" s="49"/>
      <c r="BJ630" s="49"/>
      <c r="BK630" s="111" t="s">
        <v>2390</v>
      </c>
      <c r="BL630" s="111" t="s">
        <v>2390</v>
      </c>
      <c r="BM630" s="111" t="s">
        <v>2390</v>
      </c>
      <c r="BN630" s="111" t="s">
        <v>2390</v>
      </c>
      <c r="BO630" s="2"/>
      <c r="BP630" s="3"/>
      <c r="BQ630" s="3"/>
      <c r="BR630" s="3"/>
      <c r="BS630" s="3"/>
    </row>
    <row r="631" spans="1:71" ht="15">
      <c r="A631" s="65" t="s">
        <v>832</v>
      </c>
      <c r="B631" s="66"/>
      <c r="C631" s="66"/>
      <c r="D631" s="67">
        <v>291.66666666666663</v>
      </c>
      <c r="E631" s="69"/>
      <c r="F631" s="103" t="str">
        <f>HYPERLINK("https://yt3.ggpht.com/ytc/AAUvwnhH5YRzyQo2i56gW696jW6MrzvrcgL6DV1jxXFc=s88-c-k-c0x00ffffff-no-rj")</f>
        <v>https://yt3.ggpht.com/ytc/AAUvwnhH5YRzyQo2i56gW696jW6MrzvrcgL6DV1jxXFc=s88-c-k-c0x00ffffff-no-rj</v>
      </c>
      <c r="G631" s="66"/>
      <c r="H631" s="70" t="s">
        <v>2419</v>
      </c>
      <c r="I631" s="71"/>
      <c r="J631" s="71" t="s">
        <v>159</v>
      </c>
      <c r="K631" s="70" t="s">
        <v>2419</v>
      </c>
      <c r="L631" s="74">
        <v>96.21904761904761</v>
      </c>
      <c r="M631" s="75">
        <v>7263.07421875</v>
      </c>
      <c r="N631" s="75">
        <v>2593.671142578125</v>
      </c>
      <c r="O631" s="76"/>
      <c r="P631" s="77"/>
      <c r="Q631" s="77"/>
      <c r="R631" s="89"/>
      <c r="S631" s="49">
        <v>1</v>
      </c>
      <c r="T631" s="49">
        <v>1</v>
      </c>
      <c r="U631" s="50">
        <v>0</v>
      </c>
      <c r="V631" s="50">
        <v>0</v>
      </c>
      <c r="W631" s="50">
        <v>0</v>
      </c>
      <c r="X631" s="50">
        <v>0.999999</v>
      </c>
      <c r="Y631" s="50">
        <v>0</v>
      </c>
      <c r="Z631" s="50">
        <v>0</v>
      </c>
      <c r="AA631" s="72">
        <v>631</v>
      </c>
      <c r="AB631" s="72"/>
      <c r="AC631" s="73"/>
      <c r="AD631" s="80" t="s">
        <v>2419</v>
      </c>
      <c r="AE631" s="80" t="s">
        <v>2627</v>
      </c>
      <c r="AF631" s="80"/>
      <c r="AG631" s="80"/>
      <c r="AH631" s="80"/>
      <c r="AI631" s="80"/>
      <c r="AJ631" s="87">
        <v>41149.27075231481</v>
      </c>
      <c r="AK631" s="85" t="str">
        <f>HYPERLINK("https://yt3.ggpht.com/ytc/AAUvwnhH5YRzyQo2i56gW696jW6MrzvrcgL6DV1jxXFc=s88-c-k-c0x00ffffff-no-rj")</f>
        <v>https://yt3.ggpht.com/ytc/AAUvwnhH5YRzyQo2i56gW696jW6MrzvrcgL6DV1jxXFc=s88-c-k-c0x00ffffff-no-rj</v>
      </c>
      <c r="AL631" s="80">
        <v>636317</v>
      </c>
      <c r="AM631" s="80">
        <v>0</v>
      </c>
      <c r="AN631" s="80">
        <v>11000</v>
      </c>
      <c r="AO631" s="80" t="b">
        <v>0</v>
      </c>
      <c r="AP631" s="80">
        <v>423</v>
      </c>
      <c r="AQ631" s="80"/>
      <c r="AR631" s="80"/>
      <c r="AS631" s="80" t="s">
        <v>2664</v>
      </c>
      <c r="AT631" s="85" t="str">
        <f>HYPERLINK("https://www.youtube.com/channel/UCH_y4KNm2oGh2EyR4U19X4w")</f>
        <v>https://www.youtube.com/channel/UCH_y4KNm2oGh2EyR4U19X4w</v>
      </c>
      <c r="AU631" s="80" t="str">
        <f>REPLACE(INDEX(GroupVertices[Group],MATCH(Vertices[[#This Row],[Vertex]],GroupVertices[Vertex],0)),1,1,"")</f>
        <v>13</v>
      </c>
      <c r="AV631" s="49"/>
      <c r="AW631" s="50"/>
      <c r="AX631" s="49"/>
      <c r="AY631" s="50"/>
      <c r="AZ631" s="49"/>
      <c r="BA631" s="50"/>
      <c r="BB631" s="49"/>
      <c r="BC631" s="50"/>
      <c r="BD631" s="49"/>
      <c r="BE631" s="49"/>
      <c r="BF631" s="49"/>
      <c r="BG631" s="49"/>
      <c r="BH631" s="49"/>
      <c r="BI631" s="49"/>
      <c r="BJ631" s="49"/>
      <c r="BK631" s="111" t="s">
        <v>2390</v>
      </c>
      <c r="BL631" s="111" t="s">
        <v>2390</v>
      </c>
      <c r="BM631" s="111" t="s">
        <v>2390</v>
      </c>
      <c r="BN631" s="111" t="s">
        <v>2390</v>
      </c>
      <c r="BO631" s="2"/>
      <c r="BP631" s="3"/>
      <c r="BQ631" s="3"/>
      <c r="BR631" s="3"/>
      <c r="BS631" s="3"/>
    </row>
    <row r="632" spans="1:71" ht="15">
      <c r="A632" s="65" t="s">
        <v>837</v>
      </c>
      <c r="B632" s="66"/>
      <c r="C632" s="66"/>
      <c r="D632" s="67">
        <v>291.66666666666663</v>
      </c>
      <c r="E632" s="69"/>
      <c r="F632" s="103" t="str">
        <f>HYPERLINK("https://yt3.ggpht.com/ytc/AAUvwngWLShzW-5s0AWXRi52gXcv9IugfI_KQce2pnhwSw=s88-c-k-c0x00ffffff-no-rj")</f>
        <v>https://yt3.ggpht.com/ytc/AAUvwngWLShzW-5s0AWXRi52gXcv9IugfI_KQce2pnhwSw=s88-c-k-c0x00ffffff-no-rj</v>
      </c>
      <c r="G632" s="66"/>
      <c r="H632" s="70" t="s">
        <v>2420</v>
      </c>
      <c r="I632" s="71"/>
      <c r="J632" s="71" t="s">
        <v>159</v>
      </c>
      <c r="K632" s="70" t="s">
        <v>2420</v>
      </c>
      <c r="L632" s="74">
        <v>96.21904761904761</v>
      </c>
      <c r="M632" s="75">
        <v>7629.279296875</v>
      </c>
      <c r="N632" s="75">
        <v>2261.33447265625</v>
      </c>
      <c r="O632" s="76"/>
      <c r="P632" s="77"/>
      <c r="Q632" s="77"/>
      <c r="R632" s="89"/>
      <c r="S632" s="49">
        <v>1</v>
      </c>
      <c r="T632" s="49">
        <v>1</v>
      </c>
      <c r="U632" s="50">
        <v>0</v>
      </c>
      <c r="V632" s="50">
        <v>0</v>
      </c>
      <c r="W632" s="50">
        <v>0</v>
      </c>
      <c r="X632" s="50">
        <v>0.999999</v>
      </c>
      <c r="Y632" s="50">
        <v>0</v>
      </c>
      <c r="Z632" s="50">
        <v>0</v>
      </c>
      <c r="AA632" s="72">
        <v>632</v>
      </c>
      <c r="AB632" s="72"/>
      <c r="AC632" s="73"/>
      <c r="AD632" s="80" t="s">
        <v>2420</v>
      </c>
      <c r="AE632" s="80" t="s">
        <v>2628</v>
      </c>
      <c r="AF632" s="80"/>
      <c r="AG632" s="80"/>
      <c r="AH632" s="80"/>
      <c r="AI632" s="80" t="s">
        <v>2663</v>
      </c>
      <c r="AJ632" s="87">
        <v>40583.82230324074</v>
      </c>
      <c r="AK632" s="85" t="str">
        <f>HYPERLINK("https://yt3.ggpht.com/ytc/AAUvwngWLShzW-5s0AWXRi52gXcv9IugfI_KQce2pnhwSw=s88-c-k-c0x00ffffff-no-rj")</f>
        <v>https://yt3.ggpht.com/ytc/AAUvwngWLShzW-5s0AWXRi52gXcv9IugfI_KQce2pnhwSw=s88-c-k-c0x00ffffff-no-rj</v>
      </c>
      <c r="AL632" s="80">
        <v>15785944</v>
      </c>
      <c r="AM632" s="80">
        <v>0</v>
      </c>
      <c r="AN632" s="80">
        <v>103000</v>
      </c>
      <c r="AO632" s="80" t="b">
        <v>0</v>
      </c>
      <c r="AP632" s="80">
        <v>3160</v>
      </c>
      <c r="AQ632" s="80"/>
      <c r="AR632" s="80"/>
      <c r="AS632" s="80" t="s">
        <v>2664</v>
      </c>
      <c r="AT632" s="85" t="str">
        <f>HYPERLINK("https://www.youtube.com/channel/UCZD1LLp6e838Iw_UTMcxQiQ")</f>
        <v>https://www.youtube.com/channel/UCZD1LLp6e838Iw_UTMcxQiQ</v>
      </c>
      <c r="AU632" s="80" t="str">
        <f>REPLACE(INDEX(GroupVertices[Group],MATCH(Vertices[[#This Row],[Vertex]],GroupVertices[Vertex],0)),1,1,"")</f>
        <v>13</v>
      </c>
      <c r="AV632" s="49"/>
      <c r="AW632" s="50"/>
      <c r="AX632" s="49"/>
      <c r="AY632" s="50"/>
      <c r="AZ632" s="49"/>
      <c r="BA632" s="50"/>
      <c r="BB632" s="49"/>
      <c r="BC632" s="50"/>
      <c r="BD632" s="49"/>
      <c r="BE632" s="49"/>
      <c r="BF632" s="49"/>
      <c r="BG632" s="49"/>
      <c r="BH632" s="49"/>
      <c r="BI632" s="49"/>
      <c r="BJ632" s="49"/>
      <c r="BK632" s="111" t="s">
        <v>2390</v>
      </c>
      <c r="BL632" s="111" t="s">
        <v>2390</v>
      </c>
      <c r="BM632" s="111" t="s">
        <v>2390</v>
      </c>
      <c r="BN632" s="111" t="s">
        <v>2390</v>
      </c>
      <c r="BO632" s="2"/>
      <c r="BP632" s="3"/>
      <c r="BQ632" s="3"/>
      <c r="BR632" s="3"/>
      <c r="BS632" s="3"/>
    </row>
    <row r="633" spans="1:71" ht="15">
      <c r="A633" s="90" t="s">
        <v>838</v>
      </c>
      <c r="B633" s="91"/>
      <c r="C633" s="91"/>
      <c r="D633" s="92">
        <v>291.66666666666663</v>
      </c>
      <c r="E633" s="93"/>
      <c r="F633" s="104" t="str">
        <f>HYPERLINK("https://yt3.ggpht.com/ytc/AAUvwnh-IAXSREZoHttHOAdbCUZrJYsgevHUpscAPIcY=s88-c-k-c0x00ffffff-no-rj")</f>
        <v>https://yt3.ggpht.com/ytc/AAUvwnh-IAXSREZoHttHOAdbCUZrJYsgevHUpscAPIcY=s88-c-k-c0x00ffffff-no-rj</v>
      </c>
      <c r="G633" s="91"/>
      <c r="H633" s="94" t="s">
        <v>2421</v>
      </c>
      <c r="I633" s="95"/>
      <c r="J633" s="95" t="s">
        <v>159</v>
      </c>
      <c r="K633" s="94" t="s">
        <v>2421</v>
      </c>
      <c r="L633" s="96">
        <v>96.21904761904761</v>
      </c>
      <c r="M633" s="97">
        <v>7263.07421875</v>
      </c>
      <c r="N633" s="97">
        <v>2261.33447265625</v>
      </c>
      <c r="O633" s="98"/>
      <c r="P633" s="99"/>
      <c r="Q633" s="99"/>
      <c r="R633" s="100"/>
      <c r="S633" s="49">
        <v>1</v>
      </c>
      <c r="T633" s="49">
        <v>1</v>
      </c>
      <c r="U633" s="50">
        <v>0</v>
      </c>
      <c r="V633" s="50">
        <v>0</v>
      </c>
      <c r="W633" s="50">
        <v>0</v>
      </c>
      <c r="X633" s="50">
        <v>0.999999</v>
      </c>
      <c r="Y633" s="50">
        <v>0</v>
      </c>
      <c r="Z633" s="50">
        <v>0</v>
      </c>
      <c r="AA633" s="101">
        <v>633</v>
      </c>
      <c r="AB633" s="101"/>
      <c r="AC633" s="102"/>
      <c r="AD633" s="80" t="s">
        <v>2421</v>
      </c>
      <c r="AE633" s="80" t="s">
        <v>2629</v>
      </c>
      <c r="AF633" s="80"/>
      <c r="AG633" s="80"/>
      <c r="AH633" s="80"/>
      <c r="AI633" s="80" t="s">
        <v>2421</v>
      </c>
      <c r="AJ633" s="87">
        <v>40815.68178240741</v>
      </c>
      <c r="AK633" s="85" t="str">
        <f>HYPERLINK("https://yt3.ggpht.com/ytc/AAUvwnh-IAXSREZoHttHOAdbCUZrJYsgevHUpscAPIcY=s88-c-k-c0x00ffffff-no-rj")</f>
        <v>https://yt3.ggpht.com/ytc/AAUvwnh-IAXSREZoHttHOAdbCUZrJYsgevHUpscAPIcY=s88-c-k-c0x00ffffff-no-rj</v>
      </c>
      <c r="AL633" s="80">
        <v>528237</v>
      </c>
      <c r="AM633" s="80">
        <v>0</v>
      </c>
      <c r="AN633" s="80">
        <v>3350</v>
      </c>
      <c r="AO633" s="80" t="b">
        <v>0</v>
      </c>
      <c r="AP633" s="80">
        <v>306</v>
      </c>
      <c r="AQ633" s="80"/>
      <c r="AR633" s="80"/>
      <c r="AS633" s="80" t="s">
        <v>2664</v>
      </c>
      <c r="AT633" s="85" t="str">
        <f>HYPERLINK("https://www.youtube.com/channel/UCM1pkppQ37_C-W8vXINMqaA")</f>
        <v>https://www.youtube.com/channel/UCM1pkppQ37_C-W8vXINMqaA</v>
      </c>
      <c r="AU633" s="80" t="str">
        <f>REPLACE(INDEX(GroupVertices[Group],MATCH(Vertices[[#This Row],[Vertex]],GroupVertices[Vertex],0)),1,1,"")</f>
        <v>13</v>
      </c>
      <c r="AV633" s="49"/>
      <c r="AW633" s="50"/>
      <c r="AX633" s="49"/>
      <c r="AY633" s="50"/>
      <c r="AZ633" s="49"/>
      <c r="BA633" s="50"/>
      <c r="BB633" s="49"/>
      <c r="BC633" s="50"/>
      <c r="BD633" s="49"/>
      <c r="BE633" s="49"/>
      <c r="BF633" s="49"/>
      <c r="BG633" s="49"/>
      <c r="BH633" s="49"/>
      <c r="BI633" s="49"/>
      <c r="BJ633" s="49"/>
      <c r="BK633" s="111" t="s">
        <v>2390</v>
      </c>
      <c r="BL633" s="111" t="s">
        <v>2390</v>
      </c>
      <c r="BM633" s="111" t="s">
        <v>2390</v>
      </c>
      <c r="BN633" s="111" t="s">
        <v>2390</v>
      </c>
      <c r="BO633" s="2"/>
      <c r="BP633" s="3"/>
      <c r="BQ633" s="3"/>
      <c r="BR633" s="3"/>
      <c r="BS63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33"/>
    <dataValidation allowBlank="1" errorTitle="Invalid Vertex Visibility" error="You have entered an unrecognized vertex visibility.  Try selecting from the drop-down list instead." sqref="BO3"/>
    <dataValidation allowBlank="1" showErrorMessage="1" sqref="BO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3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3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3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3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33"/>
    <dataValidation allowBlank="1" showInputMessage="1" promptTitle="Vertex Tooltip" prompt="Enter optional text that will pop up when the mouse is hovered over the vertex." errorTitle="Invalid Vertex Image Key" sqref="K3:K63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3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3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33"/>
    <dataValidation allowBlank="1" showInputMessage="1" promptTitle="Vertex Label Fill Color" prompt="To select an optional fill color for the Label shape, right-click and select Select Color on the right-click menu." sqref="I3:I633"/>
    <dataValidation allowBlank="1" showInputMessage="1" promptTitle="Vertex Image File" prompt="Enter the path to an image file.  Hover over the column header for examples." errorTitle="Invalid Vertex Image Key" sqref="F3:F633"/>
    <dataValidation allowBlank="1" showInputMessage="1" promptTitle="Vertex Color" prompt="To select an optional vertex color, right-click and select Select Color on the right-click menu." sqref="B3:B633"/>
    <dataValidation allowBlank="1" showInputMessage="1" promptTitle="Vertex Opacity" prompt="Enter an optional vertex opacity between 0 (transparent) and 100 (opaque)." errorTitle="Invalid Vertex Opacity" error="The optional vertex opacity must be a whole number between 0 and 10." sqref="E3:E633"/>
    <dataValidation type="list" allowBlank="1" showInputMessage="1" showErrorMessage="1" promptTitle="Vertex Shape" prompt="Select an optional vertex shape." errorTitle="Invalid Vertex Shape" error="You have entered an invalid vertex shape.  Try selecting from the drop-down list instead." sqref="C3:C63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3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33">
      <formula1>ValidVertexLabelPositions</formula1>
    </dataValidation>
    <dataValidation allowBlank="1" showInputMessage="1" showErrorMessage="1" promptTitle="Vertex Name" prompt="Enter the name of the vertex." sqref="A3:A63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2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3.7109375" style="0" bestFit="1" customWidth="1"/>
    <col min="35" max="35" width="15.140625" style="0" bestFit="1" customWidth="1"/>
    <col min="36" max="36" width="15.421875" style="0" bestFit="1" customWidth="1"/>
    <col min="37" max="37" width="14.140625" style="0" bestFit="1" customWidth="1"/>
    <col min="38" max="38" width="17.14062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38"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3375</v>
      </c>
      <c r="Z2" s="54" t="s">
        <v>3376</v>
      </c>
      <c r="AA2" s="54" t="s">
        <v>3377</v>
      </c>
      <c r="AB2" s="54" t="s">
        <v>3378</v>
      </c>
      <c r="AC2" s="54" t="s">
        <v>3379</v>
      </c>
      <c r="AD2" s="54" t="s">
        <v>3380</v>
      </c>
      <c r="AE2" s="54" t="s">
        <v>3381</v>
      </c>
      <c r="AF2" s="54" t="s">
        <v>3382</v>
      </c>
      <c r="AG2" s="54" t="s">
        <v>3385</v>
      </c>
      <c r="AH2" s="13" t="s">
        <v>3474</v>
      </c>
      <c r="AI2" s="13" t="s">
        <v>3503</v>
      </c>
      <c r="AJ2" s="13" t="s">
        <v>3521</v>
      </c>
      <c r="AK2" s="13" t="s">
        <v>3533</v>
      </c>
      <c r="AL2" s="13" t="s">
        <v>3644</v>
      </c>
    </row>
    <row r="3" spans="1:38" ht="15">
      <c r="A3" s="65" t="s">
        <v>2667</v>
      </c>
      <c r="B3" s="66" t="s">
        <v>2691</v>
      </c>
      <c r="C3" s="66" t="s">
        <v>56</v>
      </c>
      <c r="D3" s="106"/>
      <c r="E3" s="14"/>
      <c r="F3" s="15" t="s">
        <v>4614</v>
      </c>
      <c r="G3" s="64"/>
      <c r="H3" s="64"/>
      <c r="I3" s="107">
        <v>3</v>
      </c>
      <c r="J3" s="51"/>
      <c r="K3" s="49">
        <v>126</v>
      </c>
      <c r="L3" s="49">
        <v>138</v>
      </c>
      <c r="M3" s="49">
        <v>14</v>
      </c>
      <c r="N3" s="49">
        <v>152</v>
      </c>
      <c r="O3" s="49">
        <v>10</v>
      </c>
      <c r="P3" s="50">
        <v>0.06923076923076923</v>
      </c>
      <c r="Q3" s="50">
        <v>0.12949640287769784</v>
      </c>
      <c r="R3" s="49">
        <v>1</v>
      </c>
      <c r="S3" s="49">
        <v>0</v>
      </c>
      <c r="T3" s="49">
        <v>126</v>
      </c>
      <c r="U3" s="49">
        <v>152</v>
      </c>
      <c r="V3" s="49">
        <v>4</v>
      </c>
      <c r="W3" s="50">
        <v>2.368985</v>
      </c>
      <c r="X3" s="50">
        <v>0.008825396825396825</v>
      </c>
      <c r="Y3" s="49">
        <v>79</v>
      </c>
      <c r="Z3" s="50">
        <v>4.53241537578887</v>
      </c>
      <c r="AA3" s="49">
        <v>49</v>
      </c>
      <c r="AB3" s="50">
        <v>2.8112449799196786</v>
      </c>
      <c r="AC3" s="49">
        <v>0</v>
      </c>
      <c r="AD3" s="50">
        <v>0</v>
      </c>
      <c r="AE3" s="49">
        <v>1615</v>
      </c>
      <c r="AF3" s="50">
        <v>92.65633964429145</v>
      </c>
      <c r="AG3" s="49">
        <v>1743</v>
      </c>
      <c r="AH3" s="80" t="s">
        <v>3475</v>
      </c>
      <c r="AI3" s="80" t="s">
        <v>2379</v>
      </c>
      <c r="AJ3" s="80"/>
      <c r="AK3" s="83" t="s">
        <v>3534</v>
      </c>
      <c r="AL3" s="83" t="s">
        <v>3645</v>
      </c>
    </row>
    <row r="4" spans="1:38" ht="15">
      <c r="A4" s="65" t="s">
        <v>2668</v>
      </c>
      <c r="B4" s="66" t="s">
        <v>2692</v>
      </c>
      <c r="C4" s="66" t="s">
        <v>56</v>
      </c>
      <c r="D4" s="106"/>
      <c r="E4" s="14"/>
      <c r="F4" s="15" t="s">
        <v>4615</v>
      </c>
      <c r="G4" s="64"/>
      <c r="H4" s="64"/>
      <c r="I4" s="107">
        <v>4</v>
      </c>
      <c r="J4" s="78"/>
      <c r="K4" s="49">
        <v>89</v>
      </c>
      <c r="L4" s="49">
        <v>100</v>
      </c>
      <c r="M4" s="49">
        <v>22</v>
      </c>
      <c r="N4" s="49">
        <v>122</v>
      </c>
      <c r="O4" s="49">
        <v>9</v>
      </c>
      <c r="P4" s="50">
        <v>0</v>
      </c>
      <c r="Q4" s="50">
        <v>0</v>
      </c>
      <c r="R4" s="49">
        <v>1</v>
      </c>
      <c r="S4" s="49">
        <v>0</v>
      </c>
      <c r="T4" s="49">
        <v>89</v>
      </c>
      <c r="U4" s="49">
        <v>122</v>
      </c>
      <c r="V4" s="49">
        <v>4</v>
      </c>
      <c r="W4" s="50">
        <v>2.48706</v>
      </c>
      <c r="X4" s="50">
        <v>0.013406537282941777</v>
      </c>
      <c r="Y4" s="49">
        <v>62</v>
      </c>
      <c r="Z4" s="50">
        <v>4.555473916238061</v>
      </c>
      <c r="AA4" s="49">
        <v>31</v>
      </c>
      <c r="AB4" s="50">
        <v>2.2777369581190303</v>
      </c>
      <c r="AC4" s="49">
        <v>0</v>
      </c>
      <c r="AD4" s="50">
        <v>0</v>
      </c>
      <c r="AE4" s="49">
        <v>1268</v>
      </c>
      <c r="AF4" s="50">
        <v>93.16678912564291</v>
      </c>
      <c r="AG4" s="49">
        <v>1361</v>
      </c>
      <c r="AH4" s="80" t="s">
        <v>3476</v>
      </c>
      <c r="AI4" s="80" t="s">
        <v>3504</v>
      </c>
      <c r="AJ4" s="80"/>
      <c r="AK4" s="83" t="s">
        <v>3535</v>
      </c>
      <c r="AL4" s="83" t="s">
        <v>3646</v>
      </c>
    </row>
    <row r="5" spans="1:38" ht="15">
      <c r="A5" s="65" t="s">
        <v>2669</v>
      </c>
      <c r="B5" s="66" t="s">
        <v>2693</v>
      </c>
      <c r="C5" s="66" t="s">
        <v>56</v>
      </c>
      <c r="D5" s="106"/>
      <c r="E5" s="14"/>
      <c r="F5" s="15" t="s">
        <v>4616</v>
      </c>
      <c r="G5" s="64"/>
      <c r="H5" s="64"/>
      <c r="I5" s="107">
        <v>5</v>
      </c>
      <c r="J5" s="78"/>
      <c r="K5" s="49">
        <v>75</v>
      </c>
      <c r="L5" s="49">
        <v>77</v>
      </c>
      <c r="M5" s="49">
        <v>7</v>
      </c>
      <c r="N5" s="49">
        <v>84</v>
      </c>
      <c r="O5" s="49">
        <v>4</v>
      </c>
      <c r="P5" s="50">
        <v>0</v>
      </c>
      <c r="Q5" s="50">
        <v>0</v>
      </c>
      <c r="R5" s="49">
        <v>1</v>
      </c>
      <c r="S5" s="49">
        <v>0</v>
      </c>
      <c r="T5" s="49">
        <v>75</v>
      </c>
      <c r="U5" s="49">
        <v>84</v>
      </c>
      <c r="V5" s="49">
        <v>5</v>
      </c>
      <c r="W5" s="50">
        <v>2.198044</v>
      </c>
      <c r="X5" s="50">
        <v>0.013873873873873874</v>
      </c>
      <c r="Y5" s="49">
        <v>75</v>
      </c>
      <c r="Z5" s="50">
        <v>6.313131313131313</v>
      </c>
      <c r="AA5" s="49">
        <v>26</v>
      </c>
      <c r="AB5" s="50">
        <v>2.1885521885521886</v>
      </c>
      <c r="AC5" s="49">
        <v>0</v>
      </c>
      <c r="AD5" s="50">
        <v>0</v>
      </c>
      <c r="AE5" s="49">
        <v>1087</v>
      </c>
      <c r="AF5" s="50">
        <v>91.4983164983165</v>
      </c>
      <c r="AG5" s="49">
        <v>1188</v>
      </c>
      <c r="AH5" s="80" t="s">
        <v>3477</v>
      </c>
      <c r="AI5" s="80" t="s">
        <v>3505</v>
      </c>
      <c r="AJ5" s="80"/>
      <c r="AK5" s="83" t="s">
        <v>3536</v>
      </c>
      <c r="AL5" s="83" t="s">
        <v>3647</v>
      </c>
    </row>
    <row r="6" spans="1:38" ht="15">
      <c r="A6" s="65" t="s">
        <v>2670</v>
      </c>
      <c r="B6" s="66" t="s">
        <v>2694</v>
      </c>
      <c r="C6" s="66" t="s">
        <v>56</v>
      </c>
      <c r="D6" s="106"/>
      <c r="E6" s="14"/>
      <c r="F6" s="15" t="s">
        <v>4617</v>
      </c>
      <c r="G6" s="64"/>
      <c r="H6" s="64"/>
      <c r="I6" s="107">
        <v>6</v>
      </c>
      <c r="J6" s="78"/>
      <c r="K6" s="49">
        <v>73</v>
      </c>
      <c r="L6" s="49">
        <v>71</v>
      </c>
      <c r="M6" s="49">
        <v>24</v>
      </c>
      <c r="N6" s="49">
        <v>95</v>
      </c>
      <c r="O6" s="49">
        <v>10</v>
      </c>
      <c r="P6" s="50">
        <v>0</v>
      </c>
      <c r="Q6" s="50">
        <v>0</v>
      </c>
      <c r="R6" s="49">
        <v>1</v>
      </c>
      <c r="S6" s="49">
        <v>0</v>
      </c>
      <c r="T6" s="49">
        <v>73</v>
      </c>
      <c r="U6" s="49">
        <v>95</v>
      </c>
      <c r="V6" s="49">
        <v>4</v>
      </c>
      <c r="W6" s="50">
        <v>2.290111</v>
      </c>
      <c r="X6" s="50">
        <v>0.01445966514459665</v>
      </c>
      <c r="Y6" s="49">
        <v>41</v>
      </c>
      <c r="Z6" s="50">
        <v>5.774647887323944</v>
      </c>
      <c r="AA6" s="49">
        <v>14</v>
      </c>
      <c r="AB6" s="50">
        <v>1.971830985915493</v>
      </c>
      <c r="AC6" s="49">
        <v>0</v>
      </c>
      <c r="AD6" s="50">
        <v>0</v>
      </c>
      <c r="AE6" s="49">
        <v>655</v>
      </c>
      <c r="AF6" s="50">
        <v>92.25352112676056</v>
      </c>
      <c r="AG6" s="49">
        <v>710</v>
      </c>
      <c r="AH6" s="80" t="s">
        <v>3478</v>
      </c>
      <c r="AI6" s="80" t="s">
        <v>3506</v>
      </c>
      <c r="AJ6" s="80"/>
      <c r="AK6" s="83" t="s">
        <v>3537</v>
      </c>
      <c r="AL6" s="83" t="s">
        <v>3648</v>
      </c>
    </row>
    <row r="7" spans="1:38" ht="15">
      <c r="A7" s="65" t="s">
        <v>2671</v>
      </c>
      <c r="B7" s="66" t="s">
        <v>2695</v>
      </c>
      <c r="C7" s="66" t="s">
        <v>56</v>
      </c>
      <c r="D7" s="106"/>
      <c r="E7" s="14"/>
      <c r="F7" s="15" t="s">
        <v>4618</v>
      </c>
      <c r="G7" s="64"/>
      <c r="H7" s="64"/>
      <c r="I7" s="107">
        <v>7</v>
      </c>
      <c r="J7" s="78"/>
      <c r="K7" s="49">
        <v>43</v>
      </c>
      <c r="L7" s="49">
        <v>41</v>
      </c>
      <c r="M7" s="49">
        <v>26</v>
      </c>
      <c r="N7" s="49">
        <v>67</v>
      </c>
      <c r="O7" s="49">
        <v>15</v>
      </c>
      <c r="P7" s="50">
        <v>0</v>
      </c>
      <c r="Q7" s="50">
        <v>0</v>
      </c>
      <c r="R7" s="49">
        <v>1</v>
      </c>
      <c r="S7" s="49">
        <v>0</v>
      </c>
      <c r="T7" s="49">
        <v>43</v>
      </c>
      <c r="U7" s="49">
        <v>67</v>
      </c>
      <c r="V7" s="49">
        <v>4</v>
      </c>
      <c r="W7" s="50">
        <v>2.159005</v>
      </c>
      <c r="X7" s="50">
        <v>0.02547065337763012</v>
      </c>
      <c r="Y7" s="49">
        <v>29</v>
      </c>
      <c r="Z7" s="50">
        <v>2.935222672064777</v>
      </c>
      <c r="AA7" s="49">
        <v>48</v>
      </c>
      <c r="AB7" s="50">
        <v>4.8582995951417</v>
      </c>
      <c r="AC7" s="49">
        <v>0</v>
      </c>
      <c r="AD7" s="50">
        <v>0</v>
      </c>
      <c r="AE7" s="49">
        <v>911</v>
      </c>
      <c r="AF7" s="50">
        <v>92.20647773279352</v>
      </c>
      <c r="AG7" s="49">
        <v>988</v>
      </c>
      <c r="AH7" s="80"/>
      <c r="AI7" s="80"/>
      <c r="AJ7" s="80"/>
      <c r="AK7" s="83" t="s">
        <v>3538</v>
      </c>
      <c r="AL7" s="83" t="s">
        <v>3649</v>
      </c>
    </row>
    <row r="8" spans="1:38" ht="15">
      <c r="A8" s="65" t="s">
        <v>2672</v>
      </c>
      <c r="B8" s="66" t="s">
        <v>2696</v>
      </c>
      <c r="C8" s="66" t="s">
        <v>56</v>
      </c>
      <c r="D8" s="106"/>
      <c r="E8" s="14"/>
      <c r="F8" s="15" t="s">
        <v>4619</v>
      </c>
      <c r="G8" s="64"/>
      <c r="H8" s="64"/>
      <c r="I8" s="107">
        <v>8</v>
      </c>
      <c r="J8" s="78"/>
      <c r="K8" s="49">
        <v>34</v>
      </c>
      <c r="L8" s="49">
        <v>33</v>
      </c>
      <c r="M8" s="49">
        <v>4</v>
      </c>
      <c r="N8" s="49">
        <v>37</v>
      </c>
      <c r="O8" s="49">
        <v>2</v>
      </c>
      <c r="P8" s="50">
        <v>0</v>
      </c>
      <c r="Q8" s="50">
        <v>0</v>
      </c>
      <c r="R8" s="49">
        <v>1</v>
      </c>
      <c r="S8" s="49">
        <v>0</v>
      </c>
      <c r="T8" s="49">
        <v>34</v>
      </c>
      <c r="U8" s="49">
        <v>37</v>
      </c>
      <c r="V8" s="49">
        <v>3</v>
      </c>
      <c r="W8" s="50">
        <v>1.935986</v>
      </c>
      <c r="X8" s="50">
        <v>0.030303030303030304</v>
      </c>
      <c r="Y8" s="49">
        <v>14</v>
      </c>
      <c r="Z8" s="50">
        <v>4.827586206896552</v>
      </c>
      <c r="AA8" s="49">
        <v>3</v>
      </c>
      <c r="AB8" s="50">
        <v>1.0344827586206897</v>
      </c>
      <c r="AC8" s="49">
        <v>0</v>
      </c>
      <c r="AD8" s="50">
        <v>0</v>
      </c>
      <c r="AE8" s="49">
        <v>273</v>
      </c>
      <c r="AF8" s="50">
        <v>94.13793103448276</v>
      </c>
      <c r="AG8" s="49">
        <v>290</v>
      </c>
      <c r="AH8" s="80" t="s">
        <v>3479</v>
      </c>
      <c r="AI8" s="80" t="s">
        <v>2379</v>
      </c>
      <c r="AJ8" s="80"/>
      <c r="AK8" s="83" t="s">
        <v>3539</v>
      </c>
      <c r="AL8" s="83" t="s">
        <v>2390</v>
      </c>
    </row>
    <row r="9" spans="1:38" ht="15">
      <c r="A9" s="65" t="s">
        <v>2673</v>
      </c>
      <c r="B9" s="66" t="s">
        <v>2697</v>
      </c>
      <c r="C9" s="66" t="s">
        <v>56</v>
      </c>
      <c r="D9" s="106"/>
      <c r="E9" s="14"/>
      <c r="F9" s="15" t="s">
        <v>4620</v>
      </c>
      <c r="G9" s="64"/>
      <c r="H9" s="64"/>
      <c r="I9" s="107">
        <v>9</v>
      </c>
      <c r="J9" s="78"/>
      <c r="K9" s="49">
        <v>32</v>
      </c>
      <c r="L9" s="49">
        <v>40</v>
      </c>
      <c r="M9" s="49">
        <v>8</v>
      </c>
      <c r="N9" s="49">
        <v>48</v>
      </c>
      <c r="O9" s="49">
        <v>5</v>
      </c>
      <c r="P9" s="50">
        <v>0.2903225806451613</v>
      </c>
      <c r="Q9" s="50">
        <v>0.45</v>
      </c>
      <c r="R9" s="49">
        <v>1</v>
      </c>
      <c r="S9" s="49">
        <v>0</v>
      </c>
      <c r="T9" s="49">
        <v>32</v>
      </c>
      <c r="U9" s="49">
        <v>48</v>
      </c>
      <c r="V9" s="49">
        <v>4</v>
      </c>
      <c r="W9" s="50">
        <v>1.990234</v>
      </c>
      <c r="X9" s="50">
        <v>0.04032258064516129</v>
      </c>
      <c r="Y9" s="49">
        <v>9</v>
      </c>
      <c r="Z9" s="50">
        <v>2.0454545454545454</v>
      </c>
      <c r="AA9" s="49">
        <v>2</v>
      </c>
      <c r="AB9" s="50">
        <v>0.45454545454545453</v>
      </c>
      <c r="AC9" s="49">
        <v>0</v>
      </c>
      <c r="AD9" s="50">
        <v>0</v>
      </c>
      <c r="AE9" s="49">
        <v>429</v>
      </c>
      <c r="AF9" s="50">
        <v>97.5</v>
      </c>
      <c r="AG9" s="49">
        <v>440</v>
      </c>
      <c r="AH9" s="80" t="s">
        <v>3480</v>
      </c>
      <c r="AI9" s="80" t="s">
        <v>3507</v>
      </c>
      <c r="AJ9" s="80"/>
      <c r="AK9" s="83" t="s">
        <v>3540</v>
      </c>
      <c r="AL9" s="83" t="s">
        <v>3650</v>
      </c>
    </row>
    <row r="10" spans="1:38" ht="14.25" customHeight="1">
      <c r="A10" s="65" t="s">
        <v>2674</v>
      </c>
      <c r="B10" s="66" t="s">
        <v>2698</v>
      </c>
      <c r="C10" s="66" t="s">
        <v>56</v>
      </c>
      <c r="D10" s="106"/>
      <c r="E10" s="14"/>
      <c r="F10" s="15" t="s">
        <v>4621</v>
      </c>
      <c r="G10" s="64"/>
      <c r="H10" s="64"/>
      <c r="I10" s="107">
        <v>10</v>
      </c>
      <c r="J10" s="78"/>
      <c r="K10" s="49">
        <v>30</v>
      </c>
      <c r="L10" s="49">
        <v>37</v>
      </c>
      <c r="M10" s="49">
        <v>8</v>
      </c>
      <c r="N10" s="49">
        <v>45</v>
      </c>
      <c r="O10" s="49">
        <v>2</v>
      </c>
      <c r="P10" s="50">
        <v>0.11428571428571428</v>
      </c>
      <c r="Q10" s="50">
        <v>0.20512820512820512</v>
      </c>
      <c r="R10" s="49">
        <v>1</v>
      </c>
      <c r="S10" s="49">
        <v>0</v>
      </c>
      <c r="T10" s="49">
        <v>30</v>
      </c>
      <c r="U10" s="49">
        <v>45</v>
      </c>
      <c r="V10" s="49">
        <v>4</v>
      </c>
      <c r="W10" s="50">
        <v>2.257778</v>
      </c>
      <c r="X10" s="50">
        <v>0.04482758620689655</v>
      </c>
      <c r="Y10" s="49">
        <v>32</v>
      </c>
      <c r="Z10" s="50">
        <v>5.904059040590406</v>
      </c>
      <c r="AA10" s="49">
        <v>9</v>
      </c>
      <c r="AB10" s="50">
        <v>1.6605166051660516</v>
      </c>
      <c r="AC10" s="49">
        <v>0</v>
      </c>
      <c r="AD10" s="50">
        <v>0</v>
      </c>
      <c r="AE10" s="49">
        <v>501</v>
      </c>
      <c r="AF10" s="50">
        <v>92.43542435424354</v>
      </c>
      <c r="AG10" s="49">
        <v>542</v>
      </c>
      <c r="AH10" s="80" t="s">
        <v>3481</v>
      </c>
      <c r="AI10" s="80" t="s">
        <v>3508</v>
      </c>
      <c r="AJ10" s="80"/>
      <c r="AK10" s="83" t="s">
        <v>3541</v>
      </c>
      <c r="AL10" s="83" t="s">
        <v>3651</v>
      </c>
    </row>
    <row r="11" spans="1:38" ht="15">
      <c r="A11" s="65" t="s">
        <v>2675</v>
      </c>
      <c r="B11" s="66" t="s">
        <v>2699</v>
      </c>
      <c r="C11" s="66" t="s">
        <v>56</v>
      </c>
      <c r="D11" s="106"/>
      <c r="E11" s="14"/>
      <c r="F11" s="15" t="s">
        <v>4622</v>
      </c>
      <c r="G11" s="64"/>
      <c r="H11" s="64"/>
      <c r="I11" s="107">
        <v>11</v>
      </c>
      <c r="J11" s="78"/>
      <c r="K11" s="49">
        <v>26</v>
      </c>
      <c r="L11" s="49">
        <v>25</v>
      </c>
      <c r="M11" s="49">
        <v>6</v>
      </c>
      <c r="N11" s="49">
        <v>31</v>
      </c>
      <c r="O11" s="49">
        <v>1</v>
      </c>
      <c r="P11" s="50">
        <v>0.04</v>
      </c>
      <c r="Q11" s="50">
        <v>0.07692307692307693</v>
      </c>
      <c r="R11" s="49">
        <v>1</v>
      </c>
      <c r="S11" s="49">
        <v>0</v>
      </c>
      <c r="T11" s="49">
        <v>26</v>
      </c>
      <c r="U11" s="49">
        <v>31</v>
      </c>
      <c r="V11" s="49">
        <v>3</v>
      </c>
      <c r="W11" s="50">
        <v>1.91716</v>
      </c>
      <c r="X11" s="50">
        <v>0.04</v>
      </c>
      <c r="Y11" s="49">
        <v>6</v>
      </c>
      <c r="Z11" s="50">
        <v>4.026845637583893</v>
      </c>
      <c r="AA11" s="49">
        <v>0</v>
      </c>
      <c r="AB11" s="50">
        <v>0</v>
      </c>
      <c r="AC11" s="49">
        <v>0</v>
      </c>
      <c r="AD11" s="50">
        <v>0</v>
      </c>
      <c r="AE11" s="49">
        <v>143</v>
      </c>
      <c r="AF11" s="50">
        <v>95.97315436241611</v>
      </c>
      <c r="AG11" s="49">
        <v>149</v>
      </c>
      <c r="AH11" s="80" t="s">
        <v>3470</v>
      </c>
      <c r="AI11" s="80" t="s">
        <v>3488</v>
      </c>
      <c r="AJ11" s="80"/>
      <c r="AK11" s="83" t="s">
        <v>3542</v>
      </c>
      <c r="AL11" s="83" t="s">
        <v>3652</v>
      </c>
    </row>
    <row r="12" spans="1:38" ht="15">
      <c r="A12" s="65" t="s">
        <v>2676</v>
      </c>
      <c r="B12" s="66" t="s">
        <v>2700</v>
      </c>
      <c r="C12" s="66" t="s">
        <v>56</v>
      </c>
      <c r="D12" s="106"/>
      <c r="E12" s="14"/>
      <c r="F12" s="15" t="s">
        <v>4623</v>
      </c>
      <c r="G12" s="64"/>
      <c r="H12" s="64"/>
      <c r="I12" s="107">
        <v>12</v>
      </c>
      <c r="J12" s="78"/>
      <c r="K12" s="49">
        <v>22</v>
      </c>
      <c r="L12" s="49">
        <v>24</v>
      </c>
      <c r="M12" s="49">
        <v>0</v>
      </c>
      <c r="N12" s="49">
        <v>24</v>
      </c>
      <c r="O12" s="49">
        <v>2</v>
      </c>
      <c r="P12" s="50">
        <v>0</v>
      </c>
      <c r="Q12" s="50">
        <v>0</v>
      </c>
      <c r="R12" s="49">
        <v>1</v>
      </c>
      <c r="S12" s="49">
        <v>0</v>
      </c>
      <c r="T12" s="49">
        <v>22</v>
      </c>
      <c r="U12" s="49">
        <v>24</v>
      </c>
      <c r="V12" s="49">
        <v>3</v>
      </c>
      <c r="W12" s="50">
        <v>1.966942</v>
      </c>
      <c r="X12" s="50">
        <v>0.047619047619047616</v>
      </c>
      <c r="Y12" s="49">
        <v>38</v>
      </c>
      <c r="Z12" s="50">
        <v>5.405405405405405</v>
      </c>
      <c r="AA12" s="49">
        <v>21</v>
      </c>
      <c r="AB12" s="50">
        <v>2.987197724039829</v>
      </c>
      <c r="AC12" s="49">
        <v>0</v>
      </c>
      <c r="AD12" s="50">
        <v>0</v>
      </c>
      <c r="AE12" s="49">
        <v>644</v>
      </c>
      <c r="AF12" s="50">
        <v>91.60739687055477</v>
      </c>
      <c r="AG12" s="49">
        <v>703</v>
      </c>
      <c r="AH12" s="80"/>
      <c r="AI12" s="80"/>
      <c r="AJ12" s="80"/>
      <c r="AK12" s="83" t="s">
        <v>3543</v>
      </c>
      <c r="AL12" s="83" t="s">
        <v>3653</v>
      </c>
    </row>
    <row r="13" spans="1:38" ht="15">
      <c r="A13" s="65" t="s">
        <v>2677</v>
      </c>
      <c r="B13" s="66" t="s">
        <v>2701</v>
      </c>
      <c r="C13" s="66" t="s">
        <v>56</v>
      </c>
      <c r="D13" s="106"/>
      <c r="E13" s="14"/>
      <c r="F13" s="15" t="s">
        <v>4624</v>
      </c>
      <c r="G13" s="64"/>
      <c r="H13" s="64"/>
      <c r="I13" s="107">
        <v>13</v>
      </c>
      <c r="J13" s="78"/>
      <c r="K13" s="49">
        <v>19</v>
      </c>
      <c r="L13" s="49">
        <v>19</v>
      </c>
      <c r="M13" s="49">
        <v>2</v>
      </c>
      <c r="N13" s="49">
        <v>21</v>
      </c>
      <c r="O13" s="49">
        <v>2</v>
      </c>
      <c r="P13" s="50">
        <v>0</v>
      </c>
      <c r="Q13" s="50">
        <v>0</v>
      </c>
      <c r="R13" s="49">
        <v>1</v>
      </c>
      <c r="S13" s="49">
        <v>0</v>
      </c>
      <c r="T13" s="49">
        <v>19</v>
      </c>
      <c r="U13" s="49">
        <v>21</v>
      </c>
      <c r="V13" s="49">
        <v>3</v>
      </c>
      <c r="W13" s="50">
        <v>1.872576</v>
      </c>
      <c r="X13" s="50">
        <v>0.05555555555555555</v>
      </c>
      <c r="Y13" s="49">
        <v>13</v>
      </c>
      <c r="Z13" s="50">
        <v>4.037267080745342</v>
      </c>
      <c r="AA13" s="49">
        <v>8</v>
      </c>
      <c r="AB13" s="50">
        <v>2.484472049689441</v>
      </c>
      <c r="AC13" s="49">
        <v>0</v>
      </c>
      <c r="AD13" s="50">
        <v>0</v>
      </c>
      <c r="AE13" s="49">
        <v>301</v>
      </c>
      <c r="AF13" s="50">
        <v>93.47826086956522</v>
      </c>
      <c r="AG13" s="49">
        <v>322</v>
      </c>
      <c r="AH13" s="80" t="s">
        <v>3482</v>
      </c>
      <c r="AI13" s="80" t="s">
        <v>3509</v>
      </c>
      <c r="AJ13" s="80"/>
      <c r="AK13" s="83" t="s">
        <v>3544</v>
      </c>
      <c r="AL13" s="83" t="s">
        <v>3654</v>
      </c>
    </row>
    <row r="14" spans="1:38" ht="15">
      <c r="A14" s="65" t="s">
        <v>2678</v>
      </c>
      <c r="B14" s="66" t="s">
        <v>2702</v>
      </c>
      <c r="C14" s="66" t="s">
        <v>56</v>
      </c>
      <c r="D14" s="106"/>
      <c r="E14" s="14"/>
      <c r="F14" s="15" t="s">
        <v>4625</v>
      </c>
      <c r="G14" s="64"/>
      <c r="H14" s="64"/>
      <c r="I14" s="107">
        <v>14</v>
      </c>
      <c r="J14" s="78"/>
      <c r="K14" s="49">
        <v>10</v>
      </c>
      <c r="L14" s="49">
        <v>9</v>
      </c>
      <c r="M14" s="49">
        <v>0</v>
      </c>
      <c r="N14" s="49">
        <v>9</v>
      </c>
      <c r="O14" s="49">
        <v>0</v>
      </c>
      <c r="P14" s="50">
        <v>0</v>
      </c>
      <c r="Q14" s="50">
        <v>0</v>
      </c>
      <c r="R14" s="49">
        <v>1</v>
      </c>
      <c r="S14" s="49">
        <v>0</v>
      </c>
      <c r="T14" s="49">
        <v>10</v>
      </c>
      <c r="U14" s="49">
        <v>9</v>
      </c>
      <c r="V14" s="49">
        <v>2</v>
      </c>
      <c r="W14" s="50">
        <v>1.62</v>
      </c>
      <c r="X14" s="50">
        <v>0.1</v>
      </c>
      <c r="Y14" s="49">
        <v>7</v>
      </c>
      <c r="Z14" s="50">
        <v>14</v>
      </c>
      <c r="AA14" s="49">
        <v>2</v>
      </c>
      <c r="AB14" s="50">
        <v>4</v>
      </c>
      <c r="AC14" s="49">
        <v>0</v>
      </c>
      <c r="AD14" s="50">
        <v>0</v>
      </c>
      <c r="AE14" s="49">
        <v>41</v>
      </c>
      <c r="AF14" s="50">
        <v>82</v>
      </c>
      <c r="AG14" s="49">
        <v>50</v>
      </c>
      <c r="AH14" s="80"/>
      <c r="AI14" s="80"/>
      <c r="AJ14" s="80"/>
      <c r="AK14" s="83" t="s">
        <v>2985</v>
      </c>
      <c r="AL14" s="83" t="s">
        <v>2390</v>
      </c>
    </row>
    <row r="15" spans="1:38" ht="15">
      <c r="A15" s="65" t="s">
        <v>2679</v>
      </c>
      <c r="B15" s="66" t="s">
        <v>2691</v>
      </c>
      <c r="C15" s="66" t="s">
        <v>59</v>
      </c>
      <c r="D15" s="106"/>
      <c r="E15" s="14"/>
      <c r="F15" s="15" t="s">
        <v>2679</v>
      </c>
      <c r="G15" s="64"/>
      <c r="H15" s="64"/>
      <c r="I15" s="107">
        <v>15</v>
      </c>
      <c r="J15" s="78"/>
      <c r="K15" s="49">
        <v>8</v>
      </c>
      <c r="L15" s="49">
        <v>8</v>
      </c>
      <c r="M15" s="49">
        <v>0</v>
      </c>
      <c r="N15" s="49">
        <v>8</v>
      </c>
      <c r="O15" s="49">
        <v>8</v>
      </c>
      <c r="P15" s="50" t="s">
        <v>2706</v>
      </c>
      <c r="Q15" s="50" t="s">
        <v>2706</v>
      </c>
      <c r="R15" s="49">
        <v>8</v>
      </c>
      <c r="S15" s="49">
        <v>8</v>
      </c>
      <c r="T15" s="49">
        <v>1</v>
      </c>
      <c r="U15" s="49">
        <v>1</v>
      </c>
      <c r="V15" s="49">
        <v>0</v>
      </c>
      <c r="W15" s="50">
        <v>0</v>
      </c>
      <c r="X15" s="50">
        <v>0</v>
      </c>
      <c r="Y15" s="49">
        <v>0</v>
      </c>
      <c r="Z15" s="50">
        <v>0</v>
      </c>
      <c r="AA15" s="49">
        <v>0</v>
      </c>
      <c r="AB15" s="50">
        <v>0</v>
      </c>
      <c r="AC15" s="49">
        <v>0</v>
      </c>
      <c r="AD15" s="50">
        <v>0</v>
      </c>
      <c r="AE15" s="49">
        <v>0</v>
      </c>
      <c r="AF15" s="50">
        <v>0</v>
      </c>
      <c r="AG15" s="49">
        <v>0</v>
      </c>
      <c r="AH15" s="80"/>
      <c r="AI15" s="80"/>
      <c r="AJ15" s="80"/>
      <c r="AK15" s="83" t="s">
        <v>2390</v>
      </c>
      <c r="AL15" s="83" t="s">
        <v>2390</v>
      </c>
    </row>
    <row r="16" spans="1:38" ht="15">
      <c r="A16" s="65" t="s">
        <v>2680</v>
      </c>
      <c r="B16" s="66" t="s">
        <v>2692</v>
      </c>
      <c r="C16" s="66" t="s">
        <v>59</v>
      </c>
      <c r="D16" s="106"/>
      <c r="E16" s="14"/>
      <c r="F16" s="15" t="s">
        <v>4626</v>
      </c>
      <c r="G16" s="64"/>
      <c r="H16" s="64"/>
      <c r="I16" s="107">
        <v>16</v>
      </c>
      <c r="J16" s="78"/>
      <c r="K16" s="49">
        <v>7</v>
      </c>
      <c r="L16" s="49">
        <v>6</v>
      </c>
      <c r="M16" s="49">
        <v>0</v>
      </c>
      <c r="N16" s="49">
        <v>6</v>
      </c>
      <c r="O16" s="49">
        <v>0</v>
      </c>
      <c r="P16" s="50">
        <v>0</v>
      </c>
      <c r="Q16" s="50">
        <v>0</v>
      </c>
      <c r="R16" s="49">
        <v>1</v>
      </c>
      <c r="S16" s="49">
        <v>0</v>
      </c>
      <c r="T16" s="49">
        <v>7</v>
      </c>
      <c r="U16" s="49">
        <v>6</v>
      </c>
      <c r="V16" s="49">
        <v>2</v>
      </c>
      <c r="W16" s="50">
        <v>1.469388</v>
      </c>
      <c r="X16" s="50">
        <v>0.14285714285714285</v>
      </c>
      <c r="Y16" s="49">
        <v>7</v>
      </c>
      <c r="Z16" s="50">
        <v>8.045977011494253</v>
      </c>
      <c r="AA16" s="49">
        <v>1</v>
      </c>
      <c r="AB16" s="50">
        <v>1.1494252873563218</v>
      </c>
      <c r="AC16" s="49">
        <v>0</v>
      </c>
      <c r="AD16" s="50">
        <v>0</v>
      </c>
      <c r="AE16" s="49">
        <v>79</v>
      </c>
      <c r="AF16" s="50">
        <v>90.80459770114942</v>
      </c>
      <c r="AG16" s="49">
        <v>87</v>
      </c>
      <c r="AH16" s="80" t="s">
        <v>3483</v>
      </c>
      <c r="AI16" s="80" t="s">
        <v>2379</v>
      </c>
      <c r="AJ16" s="80"/>
      <c r="AK16" s="83" t="s">
        <v>3545</v>
      </c>
      <c r="AL16" s="83" t="s">
        <v>3551</v>
      </c>
    </row>
    <row r="17" spans="1:38" ht="15">
      <c r="A17" s="65" t="s">
        <v>2681</v>
      </c>
      <c r="B17" s="66" t="s">
        <v>2693</v>
      </c>
      <c r="C17" s="66" t="s">
        <v>59</v>
      </c>
      <c r="D17" s="106"/>
      <c r="E17" s="14"/>
      <c r="F17" s="15" t="s">
        <v>4627</v>
      </c>
      <c r="G17" s="64"/>
      <c r="H17" s="64"/>
      <c r="I17" s="107">
        <v>17</v>
      </c>
      <c r="J17" s="78"/>
      <c r="K17" s="49">
        <v>6</v>
      </c>
      <c r="L17" s="49">
        <v>10</v>
      </c>
      <c r="M17" s="49">
        <v>4</v>
      </c>
      <c r="N17" s="49">
        <v>14</v>
      </c>
      <c r="O17" s="49">
        <v>2</v>
      </c>
      <c r="P17" s="50">
        <v>1</v>
      </c>
      <c r="Q17" s="50">
        <v>1</v>
      </c>
      <c r="R17" s="49">
        <v>1</v>
      </c>
      <c r="S17" s="49">
        <v>0</v>
      </c>
      <c r="T17" s="49">
        <v>6</v>
      </c>
      <c r="U17" s="49">
        <v>14</v>
      </c>
      <c r="V17" s="49">
        <v>2</v>
      </c>
      <c r="W17" s="50">
        <v>1.388889</v>
      </c>
      <c r="X17" s="50">
        <v>0.3333333333333333</v>
      </c>
      <c r="Y17" s="49">
        <v>21</v>
      </c>
      <c r="Z17" s="50">
        <v>4.233870967741935</v>
      </c>
      <c r="AA17" s="49">
        <v>8</v>
      </c>
      <c r="AB17" s="50">
        <v>1.6129032258064515</v>
      </c>
      <c r="AC17" s="49">
        <v>0</v>
      </c>
      <c r="AD17" s="50">
        <v>0</v>
      </c>
      <c r="AE17" s="49">
        <v>467</v>
      </c>
      <c r="AF17" s="50">
        <v>94.15322580645162</v>
      </c>
      <c r="AG17" s="49">
        <v>496</v>
      </c>
      <c r="AH17" s="80"/>
      <c r="AI17" s="80"/>
      <c r="AJ17" s="80"/>
      <c r="AK17" s="83" t="s">
        <v>3546</v>
      </c>
      <c r="AL17" s="83" t="s">
        <v>3655</v>
      </c>
    </row>
    <row r="18" spans="1:38" ht="15">
      <c r="A18" s="65" t="s">
        <v>2682</v>
      </c>
      <c r="B18" s="66" t="s">
        <v>2694</v>
      </c>
      <c r="C18" s="66" t="s">
        <v>59</v>
      </c>
      <c r="D18" s="106"/>
      <c r="E18" s="14"/>
      <c r="F18" s="15" t="s">
        <v>4628</v>
      </c>
      <c r="G18" s="64"/>
      <c r="H18" s="64"/>
      <c r="I18" s="107">
        <v>18</v>
      </c>
      <c r="J18" s="78"/>
      <c r="K18" s="49">
        <v>6</v>
      </c>
      <c r="L18" s="49">
        <v>12</v>
      </c>
      <c r="M18" s="49">
        <v>0</v>
      </c>
      <c r="N18" s="49">
        <v>12</v>
      </c>
      <c r="O18" s="49">
        <v>3</v>
      </c>
      <c r="P18" s="50">
        <v>0.8</v>
      </c>
      <c r="Q18" s="50">
        <v>0.8888888888888888</v>
      </c>
      <c r="R18" s="49">
        <v>1</v>
      </c>
      <c r="S18" s="49">
        <v>0</v>
      </c>
      <c r="T18" s="49">
        <v>6</v>
      </c>
      <c r="U18" s="49">
        <v>12</v>
      </c>
      <c r="V18" s="49">
        <v>2</v>
      </c>
      <c r="W18" s="50">
        <v>1.388889</v>
      </c>
      <c r="X18" s="50">
        <v>0.3</v>
      </c>
      <c r="Y18" s="49">
        <v>6</v>
      </c>
      <c r="Z18" s="50">
        <v>17.647058823529413</v>
      </c>
      <c r="AA18" s="49">
        <v>1</v>
      </c>
      <c r="AB18" s="50">
        <v>2.9411764705882355</v>
      </c>
      <c r="AC18" s="49">
        <v>0</v>
      </c>
      <c r="AD18" s="50">
        <v>0</v>
      </c>
      <c r="AE18" s="49">
        <v>27</v>
      </c>
      <c r="AF18" s="50">
        <v>79.41176470588235</v>
      </c>
      <c r="AG18" s="49">
        <v>34</v>
      </c>
      <c r="AH18" s="80"/>
      <c r="AI18" s="80"/>
      <c r="AJ18" s="80"/>
      <c r="AK18" s="83" t="s">
        <v>3547</v>
      </c>
      <c r="AL18" s="83" t="s">
        <v>2390</v>
      </c>
    </row>
    <row r="19" spans="1:38" ht="15">
      <c r="A19" s="65" t="s">
        <v>2683</v>
      </c>
      <c r="B19" s="66" t="s">
        <v>2695</v>
      </c>
      <c r="C19" s="66" t="s">
        <v>59</v>
      </c>
      <c r="D19" s="106"/>
      <c r="E19" s="14"/>
      <c r="F19" s="15" t="s">
        <v>4629</v>
      </c>
      <c r="G19" s="64"/>
      <c r="H19" s="64"/>
      <c r="I19" s="107">
        <v>19</v>
      </c>
      <c r="J19" s="78"/>
      <c r="K19" s="49">
        <v>4</v>
      </c>
      <c r="L19" s="49">
        <v>3</v>
      </c>
      <c r="M19" s="49">
        <v>0</v>
      </c>
      <c r="N19" s="49">
        <v>3</v>
      </c>
      <c r="O19" s="49">
        <v>0</v>
      </c>
      <c r="P19" s="50">
        <v>0</v>
      </c>
      <c r="Q19" s="50">
        <v>0</v>
      </c>
      <c r="R19" s="49">
        <v>1</v>
      </c>
      <c r="S19" s="49">
        <v>0</v>
      </c>
      <c r="T19" s="49">
        <v>4</v>
      </c>
      <c r="U19" s="49">
        <v>3</v>
      </c>
      <c r="V19" s="49">
        <v>2</v>
      </c>
      <c r="W19" s="50">
        <v>1.125</v>
      </c>
      <c r="X19" s="50">
        <v>0.25</v>
      </c>
      <c r="Y19" s="49">
        <v>4</v>
      </c>
      <c r="Z19" s="50">
        <v>8.333333333333334</v>
      </c>
      <c r="AA19" s="49">
        <v>2</v>
      </c>
      <c r="AB19" s="50">
        <v>4.166666666666667</v>
      </c>
      <c r="AC19" s="49">
        <v>0</v>
      </c>
      <c r="AD19" s="50">
        <v>0</v>
      </c>
      <c r="AE19" s="49">
        <v>42</v>
      </c>
      <c r="AF19" s="50">
        <v>87.5</v>
      </c>
      <c r="AG19" s="49">
        <v>48</v>
      </c>
      <c r="AH19" s="80"/>
      <c r="AI19" s="80"/>
      <c r="AJ19" s="80"/>
      <c r="AK19" s="83" t="s">
        <v>3548</v>
      </c>
      <c r="AL19" s="83" t="s">
        <v>2390</v>
      </c>
    </row>
    <row r="20" spans="1:38" ht="15">
      <c r="A20" s="65" t="s">
        <v>2684</v>
      </c>
      <c r="B20" s="66" t="s">
        <v>2696</v>
      </c>
      <c r="C20" s="66" t="s">
        <v>59</v>
      </c>
      <c r="D20" s="106"/>
      <c r="E20" s="14"/>
      <c r="F20" s="15" t="s">
        <v>2684</v>
      </c>
      <c r="G20" s="64"/>
      <c r="H20" s="64"/>
      <c r="I20" s="107">
        <v>20</v>
      </c>
      <c r="J20" s="78"/>
      <c r="K20" s="49">
        <v>4</v>
      </c>
      <c r="L20" s="49">
        <v>3</v>
      </c>
      <c r="M20" s="49">
        <v>0</v>
      </c>
      <c r="N20" s="49">
        <v>3</v>
      </c>
      <c r="O20" s="49">
        <v>0</v>
      </c>
      <c r="P20" s="50">
        <v>0</v>
      </c>
      <c r="Q20" s="50">
        <v>0</v>
      </c>
      <c r="R20" s="49">
        <v>1</v>
      </c>
      <c r="S20" s="49">
        <v>0</v>
      </c>
      <c r="T20" s="49">
        <v>4</v>
      </c>
      <c r="U20" s="49">
        <v>3</v>
      </c>
      <c r="V20" s="49">
        <v>2</v>
      </c>
      <c r="W20" s="50">
        <v>1.125</v>
      </c>
      <c r="X20" s="50">
        <v>0.25</v>
      </c>
      <c r="Y20" s="49">
        <v>1</v>
      </c>
      <c r="Z20" s="50">
        <v>5.2631578947368425</v>
      </c>
      <c r="AA20" s="49">
        <v>0</v>
      </c>
      <c r="AB20" s="50">
        <v>0</v>
      </c>
      <c r="AC20" s="49">
        <v>0</v>
      </c>
      <c r="AD20" s="50">
        <v>0</v>
      </c>
      <c r="AE20" s="49">
        <v>18</v>
      </c>
      <c r="AF20" s="50">
        <v>94.73684210526316</v>
      </c>
      <c r="AG20" s="49">
        <v>19</v>
      </c>
      <c r="AH20" s="80"/>
      <c r="AI20" s="80"/>
      <c r="AJ20" s="80"/>
      <c r="AK20" s="83" t="s">
        <v>2390</v>
      </c>
      <c r="AL20" s="83" t="s">
        <v>2390</v>
      </c>
    </row>
    <row r="21" spans="1:38" ht="15">
      <c r="A21" s="65" t="s">
        <v>2685</v>
      </c>
      <c r="B21" s="66" t="s">
        <v>2697</v>
      </c>
      <c r="C21" s="66" t="s">
        <v>59</v>
      </c>
      <c r="D21" s="106"/>
      <c r="E21" s="14"/>
      <c r="F21" s="15" t="s">
        <v>2685</v>
      </c>
      <c r="G21" s="64"/>
      <c r="H21" s="64"/>
      <c r="I21" s="107">
        <v>21</v>
      </c>
      <c r="J21" s="78"/>
      <c r="K21" s="49">
        <v>4</v>
      </c>
      <c r="L21" s="49">
        <v>3</v>
      </c>
      <c r="M21" s="49">
        <v>0</v>
      </c>
      <c r="N21" s="49">
        <v>3</v>
      </c>
      <c r="O21" s="49">
        <v>0</v>
      </c>
      <c r="P21" s="50">
        <v>0</v>
      </c>
      <c r="Q21" s="50">
        <v>0</v>
      </c>
      <c r="R21" s="49">
        <v>1</v>
      </c>
      <c r="S21" s="49">
        <v>0</v>
      </c>
      <c r="T21" s="49">
        <v>4</v>
      </c>
      <c r="U21" s="49">
        <v>3</v>
      </c>
      <c r="V21" s="49">
        <v>2</v>
      </c>
      <c r="W21" s="50">
        <v>1.125</v>
      </c>
      <c r="X21" s="50">
        <v>0.25</v>
      </c>
      <c r="Y21" s="49">
        <v>0</v>
      </c>
      <c r="Z21" s="50">
        <v>0</v>
      </c>
      <c r="AA21" s="49">
        <v>0</v>
      </c>
      <c r="AB21" s="50">
        <v>0</v>
      </c>
      <c r="AC21" s="49">
        <v>0</v>
      </c>
      <c r="AD21" s="50">
        <v>0</v>
      </c>
      <c r="AE21" s="49">
        <v>25</v>
      </c>
      <c r="AF21" s="50">
        <v>100</v>
      </c>
      <c r="AG21" s="49">
        <v>25</v>
      </c>
      <c r="AH21" s="80"/>
      <c r="AI21" s="80"/>
      <c r="AJ21" s="80"/>
      <c r="AK21" s="83" t="s">
        <v>2390</v>
      </c>
      <c r="AL21" s="83" t="s">
        <v>2390</v>
      </c>
    </row>
    <row r="22" spans="1:38" ht="15">
      <c r="A22" s="65" t="s">
        <v>2686</v>
      </c>
      <c r="B22" s="66" t="s">
        <v>2698</v>
      </c>
      <c r="C22" s="66" t="s">
        <v>59</v>
      </c>
      <c r="D22" s="106"/>
      <c r="E22" s="14"/>
      <c r="F22" s="15" t="s">
        <v>4630</v>
      </c>
      <c r="G22" s="64"/>
      <c r="H22" s="64"/>
      <c r="I22" s="107">
        <v>22</v>
      </c>
      <c r="J22" s="78"/>
      <c r="K22" s="49">
        <v>4</v>
      </c>
      <c r="L22" s="49">
        <v>6</v>
      </c>
      <c r="M22" s="49">
        <v>0</v>
      </c>
      <c r="N22" s="49">
        <v>6</v>
      </c>
      <c r="O22" s="49">
        <v>1</v>
      </c>
      <c r="P22" s="50">
        <v>0.6666666666666666</v>
      </c>
      <c r="Q22" s="50">
        <v>0.8</v>
      </c>
      <c r="R22" s="49">
        <v>1</v>
      </c>
      <c r="S22" s="49">
        <v>0</v>
      </c>
      <c r="T22" s="49">
        <v>4</v>
      </c>
      <c r="U22" s="49">
        <v>6</v>
      </c>
      <c r="V22" s="49">
        <v>3</v>
      </c>
      <c r="W22" s="50">
        <v>1.25</v>
      </c>
      <c r="X22" s="50">
        <v>0.4166666666666667</v>
      </c>
      <c r="Y22" s="49">
        <v>7</v>
      </c>
      <c r="Z22" s="50">
        <v>11.864406779661017</v>
      </c>
      <c r="AA22" s="49">
        <v>0</v>
      </c>
      <c r="AB22" s="50">
        <v>0</v>
      </c>
      <c r="AC22" s="49">
        <v>0</v>
      </c>
      <c r="AD22" s="50">
        <v>0</v>
      </c>
      <c r="AE22" s="49">
        <v>52</v>
      </c>
      <c r="AF22" s="50">
        <v>88.13559322033899</v>
      </c>
      <c r="AG22" s="49">
        <v>59</v>
      </c>
      <c r="AH22" s="80" t="s">
        <v>3430</v>
      </c>
      <c r="AI22" s="80" t="s">
        <v>3486</v>
      </c>
      <c r="AJ22" s="80"/>
      <c r="AK22" s="83" t="s">
        <v>3549</v>
      </c>
      <c r="AL22" s="83" t="s">
        <v>3656</v>
      </c>
    </row>
    <row r="23" spans="1:38" ht="15">
      <c r="A23" s="65" t="s">
        <v>2687</v>
      </c>
      <c r="B23" s="66" t="s">
        <v>2699</v>
      </c>
      <c r="C23" s="66" t="s">
        <v>59</v>
      </c>
      <c r="D23" s="106"/>
      <c r="E23" s="14"/>
      <c r="F23" s="15" t="s">
        <v>2687</v>
      </c>
      <c r="G23" s="64"/>
      <c r="H23" s="64"/>
      <c r="I23" s="107">
        <v>23</v>
      </c>
      <c r="J23" s="78"/>
      <c r="K23" s="49">
        <v>3</v>
      </c>
      <c r="L23" s="49">
        <v>3</v>
      </c>
      <c r="M23" s="49">
        <v>0</v>
      </c>
      <c r="N23" s="49">
        <v>3</v>
      </c>
      <c r="O23" s="49">
        <v>1</v>
      </c>
      <c r="P23" s="50">
        <v>0</v>
      </c>
      <c r="Q23" s="50">
        <v>0</v>
      </c>
      <c r="R23" s="49">
        <v>1</v>
      </c>
      <c r="S23" s="49">
        <v>0</v>
      </c>
      <c r="T23" s="49">
        <v>3</v>
      </c>
      <c r="U23" s="49">
        <v>3</v>
      </c>
      <c r="V23" s="49">
        <v>2</v>
      </c>
      <c r="W23" s="50">
        <v>0.888889</v>
      </c>
      <c r="X23" s="50">
        <v>0.3333333333333333</v>
      </c>
      <c r="Y23" s="49">
        <v>1</v>
      </c>
      <c r="Z23" s="50">
        <v>5.555555555555555</v>
      </c>
      <c r="AA23" s="49">
        <v>1</v>
      </c>
      <c r="AB23" s="50">
        <v>5.555555555555555</v>
      </c>
      <c r="AC23" s="49">
        <v>0</v>
      </c>
      <c r="AD23" s="50">
        <v>0</v>
      </c>
      <c r="AE23" s="49">
        <v>16</v>
      </c>
      <c r="AF23" s="50">
        <v>88.88888888888889</v>
      </c>
      <c r="AG23" s="49">
        <v>18</v>
      </c>
      <c r="AH23" s="80"/>
      <c r="AI23" s="80"/>
      <c r="AJ23" s="80"/>
      <c r="AK23" s="83" t="s">
        <v>2390</v>
      </c>
      <c r="AL23" s="83" t="s">
        <v>2390</v>
      </c>
    </row>
    <row r="24" spans="1:38" ht="15">
      <c r="A24" s="65" t="s">
        <v>2688</v>
      </c>
      <c r="B24" s="66" t="s">
        <v>2700</v>
      </c>
      <c r="C24" s="66" t="s">
        <v>59</v>
      </c>
      <c r="D24" s="106"/>
      <c r="E24" s="14"/>
      <c r="F24" s="15" t="s">
        <v>2688</v>
      </c>
      <c r="G24" s="64"/>
      <c r="H24" s="64"/>
      <c r="I24" s="107">
        <v>24</v>
      </c>
      <c r="J24" s="78"/>
      <c r="K24" s="49">
        <v>2</v>
      </c>
      <c r="L24" s="49">
        <v>1</v>
      </c>
      <c r="M24" s="49">
        <v>2</v>
      </c>
      <c r="N24" s="49">
        <v>3</v>
      </c>
      <c r="O24" s="49">
        <v>2</v>
      </c>
      <c r="P24" s="50">
        <v>0</v>
      </c>
      <c r="Q24" s="50">
        <v>0</v>
      </c>
      <c r="R24" s="49">
        <v>1</v>
      </c>
      <c r="S24" s="49">
        <v>0</v>
      </c>
      <c r="T24" s="49">
        <v>2</v>
      </c>
      <c r="U24" s="49">
        <v>3</v>
      </c>
      <c r="V24" s="49">
        <v>1</v>
      </c>
      <c r="W24" s="50">
        <v>0.5</v>
      </c>
      <c r="X24" s="50">
        <v>0.5</v>
      </c>
      <c r="Y24" s="49">
        <v>0</v>
      </c>
      <c r="Z24" s="50">
        <v>0</v>
      </c>
      <c r="AA24" s="49">
        <v>0</v>
      </c>
      <c r="AB24" s="50">
        <v>0</v>
      </c>
      <c r="AC24" s="49">
        <v>0</v>
      </c>
      <c r="AD24" s="50">
        <v>0</v>
      </c>
      <c r="AE24" s="49">
        <v>3</v>
      </c>
      <c r="AF24" s="50">
        <v>100</v>
      </c>
      <c r="AG24" s="49">
        <v>3</v>
      </c>
      <c r="AH24" s="80"/>
      <c r="AI24" s="80"/>
      <c r="AJ24" s="80"/>
      <c r="AK24" s="83" t="s">
        <v>2390</v>
      </c>
      <c r="AL24" s="83" t="s">
        <v>2390</v>
      </c>
    </row>
    <row r="25" spans="1:38" ht="15">
      <c r="A25" s="65" t="s">
        <v>2689</v>
      </c>
      <c r="B25" s="66" t="s">
        <v>2701</v>
      </c>
      <c r="C25" s="66" t="s">
        <v>59</v>
      </c>
      <c r="D25" s="106"/>
      <c r="E25" s="14"/>
      <c r="F25" s="15" t="s">
        <v>2689</v>
      </c>
      <c r="G25" s="64"/>
      <c r="H25" s="64"/>
      <c r="I25" s="107">
        <v>25</v>
      </c>
      <c r="J25" s="78"/>
      <c r="K25" s="49">
        <v>2</v>
      </c>
      <c r="L25" s="49">
        <v>2</v>
      </c>
      <c r="M25" s="49">
        <v>0</v>
      </c>
      <c r="N25" s="49">
        <v>2</v>
      </c>
      <c r="O25" s="49">
        <v>1</v>
      </c>
      <c r="P25" s="50">
        <v>0</v>
      </c>
      <c r="Q25" s="50">
        <v>0</v>
      </c>
      <c r="R25" s="49">
        <v>1</v>
      </c>
      <c r="S25" s="49">
        <v>0</v>
      </c>
      <c r="T25" s="49">
        <v>2</v>
      </c>
      <c r="U25" s="49">
        <v>2</v>
      </c>
      <c r="V25" s="49">
        <v>1</v>
      </c>
      <c r="W25" s="50">
        <v>0.5</v>
      </c>
      <c r="X25" s="50">
        <v>0.5</v>
      </c>
      <c r="Y25" s="49">
        <v>1</v>
      </c>
      <c r="Z25" s="50">
        <v>100</v>
      </c>
      <c r="AA25" s="49">
        <v>0</v>
      </c>
      <c r="AB25" s="50">
        <v>0</v>
      </c>
      <c r="AC25" s="49">
        <v>0</v>
      </c>
      <c r="AD25" s="50">
        <v>0</v>
      </c>
      <c r="AE25" s="49">
        <v>0</v>
      </c>
      <c r="AF25" s="50">
        <v>0</v>
      </c>
      <c r="AG25" s="49">
        <v>1</v>
      </c>
      <c r="AH25" s="80"/>
      <c r="AI25" s="80"/>
      <c r="AJ25" s="80"/>
      <c r="AK25" s="83" t="s">
        <v>2390</v>
      </c>
      <c r="AL25" s="83" t="s">
        <v>2390</v>
      </c>
    </row>
    <row r="26" spans="1:38" ht="15">
      <c r="A26" s="65" t="s">
        <v>2690</v>
      </c>
      <c r="B26" s="66" t="s">
        <v>2702</v>
      </c>
      <c r="C26" s="66" t="s">
        <v>59</v>
      </c>
      <c r="D26" s="106"/>
      <c r="E26" s="14"/>
      <c r="F26" s="15" t="s">
        <v>2690</v>
      </c>
      <c r="G26" s="64"/>
      <c r="H26" s="64"/>
      <c r="I26" s="107">
        <v>26</v>
      </c>
      <c r="J26" s="78"/>
      <c r="K26" s="49">
        <v>2</v>
      </c>
      <c r="L26" s="49">
        <v>2</v>
      </c>
      <c r="M26" s="49">
        <v>0</v>
      </c>
      <c r="N26" s="49">
        <v>2</v>
      </c>
      <c r="O26" s="49">
        <v>1</v>
      </c>
      <c r="P26" s="50">
        <v>0</v>
      </c>
      <c r="Q26" s="50">
        <v>0</v>
      </c>
      <c r="R26" s="49">
        <v>1</v>
      </c>
      <c r="S26" s="49">
        <v>0</v>
      </c>
      <c r="T26" s="49">
        <v>2</v>
      </c>
      <c r="U26" s="49">
        <v>2</v>
      </c>
      <c r="V26" s="49">
        <v>1</v>
      </c>
      <c r="W26" s="50">
        <v>0.5</v>
      </c>
      <c r="X26" s="50">
        <v>0.5</v>
      </c>
      <c r="Y26" s="49">
        <v>4</v>
      </c>
      <c r="Z26" s="50">
        <v>23.529411764705884</v>
      </c>
      <c r="AA26" s="49">
        <v>0</v>
      </c>
      <c r="AB26" s="50">
        <v>0</v>
      </c>
      <c r="AC26" s="49">
        <v>0</v>
      </c>
      <c r="AD26" s="50">
        <v>0</v>
      </c>
      <c r="AE26" s="49">
        <v>13</v>
      </c>
      <c r="AF26" s="50">
        <v>76.47058823529412</v>
      </c>
      <c r="AG26" s="49">
        <v>17</v>
      </c>
      <c r="AH26" s="80"/>
      <c r="AI26" s="80"/>
      <c r="AJ26" s="80"/>
      <c r="AK26" s="83" t="s">
        <v>2390</v>
      </c>
      <c r="AL26" s="83" t="s">
        <v>2390</v>
      </c>
    </row>
  </sheetData>
  <dataValidations count="8">
    <dataValidation allowBlank="1" showInputMessage="1" promptTitle="Group Vertex Color" prompt="To select a color to use for all vertices in the group, right-click and select Select Color on the right-click menu." sqref="B3:B2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6">
      <formula1>ValidGroupShapes</formula1>
    </dataValidation>
    <dataValidation allowBlank="1" showInputMessage="1" showErrorMessage="1" promptTitle="Group Name" prompt="Enter the name of the group." sqref="A3:A2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6">
      <formula1>ValidBooleansDefaultFalse</formula1>
    </dataValidation>
    <dataValidation allowBlank="1" sqref="K3:K26"/>
    <dataValidation allowBlank="1" showInputMessage="1" showErrorMessage="1" promptTitle="Group Label" prompt="Enter an optional group label." errorTitle="Invalid Group Collapsed" error="You have entered an unrecognized &quot;group collapsed.&quot;  Try selecting from the drop-down list instead." sqref="F3:F2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3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2667</v>
      </c>
      <c r="B2" s="83" t="s">
        <v>703</v>
      </c>
      <c r="C2" s="80">
        <f>VLOOKUP(GroupVertices[[#This Row],[Vertex]],Vertices[],MATCH("ID",Vertices[[#Headers],[Vertex]:[Top Word Pairs in Comment by Salience]],0),FALSE)</f>
        <v>504</v>
      </c>
    </row>
    <row r="3" spans="1:3" ht="15">
      <c r="A3" s="81" t="s">
        <v>2667</v>
      </c>
      <c r="B3" s="83" t="s">
        <v>553</v>
      </c>
      <c r="C3" s="80">
        <f>VLOOKUP(GroupVertices[[#This Row],[Vertex]],Vertices[],MATCH("ID",Vertices[[#Headers],[Vertex]:[Top Word Pairs in Comment by Salience]],0),FALSE)</f>
        <v>350</v>
      </c>
    </row>
    <row r="4" spans="1:3" ht="15">
      <c r="A4" s="81" t="s">
        <v>2667</v>
      </c>
      <c r="B4" s="83" t="s">
        <v>702</v>
      </c>
      <c r="C4" s="80">
        <f>VLOOKUP(GroupVertices[[#This Row],[Vertex]],Vertices[],MATCH("ID",Vertices[[#Headers],[Vertex]:[Top Word Pairs in Comment by Salience]],0),FALSE)</f>
        <v>503</v>
      </c>
    </row>
    <row r="5" spans="1:3" ht="15">
      <c r="A5" s="81" t="s">
        <v>2667</v>
      </c>
      <c r="B5" s="83" t="s">
        <v>701</v>
      </c>
      <c r="C5" s="80">
        <f>VLOOKUP(GroupVertices[[#This Row],[Vertex]],Vertices[],MATCH("ID",Vertices[[#Headers],[Vertex]:[Top Word Pairs in Comment by Salience]],0),FALSE)</f>
        <v>502</v>
      </c>
    </row>
    <row r="6" spans="1:3" ht="15">
      <c r="A6" s="81" t="s">
        <v>2667</v>
      </c>
      <c r="B6" s="83" t="s">
        <v>700</v>
      </c>
      <c r="C6" s="80">
        <f>VLOOKUP(GroupVertices[[#This Row],[Vertex]],Vertices[],MATCH("ID",Vertices[[#Headers],[Vertex]:[Top Word Pairs in Comment by Salience]],0),FALSE)</f>
        <v>501</v>
      </c>
    </row>
    <row r="7" spans="1:3" ht="15">
      <c r="A7" s="81" t="s">
        <v>2667</v>
      </c>
      <c r="B7" s="83" t="s">
        <v>699</v>
      </c>
      <c r="C7" s="80">
        <f>VLOOKUP(GroupVertices[[#This Row],[Vertex]],Vertices[],MATCH("ID",Vertices[[#Headers],[Vertex]:[Top Word Pairs in Comment by Salience]],0),FALSE)</f>
        <v>500</v>
      </c>
    </row>
    <row r="8" spans="1:3" ht="15">
      <c r="A8" s="81" t="s">
        <v>2667</v>
      </c>
      <c r="B8" s="83" t="s">
        <v>698</v>
      </c>
      <c r="C8" s="80">
        <f>VLOOKUP(GroupVertices[[#This Row],[Vertex]],Vertices[],MATCH("ID",Vertices[[#Headers],[Vertex]:[Top Word Pairs in Comment by Salience]],0),FALSE)</f>
        <v>499</v>
      </c>
    </row>
    <row r="9" spans="1:3" ht="15">
      <c r="A9" s="81" t="s">
        <v>2667</v>
      </c>
      <c r="B9" s="83" t="s">
        <v>697</v>
      </c>
      <c r="C9" s="80">
        <f>VLOOKUP(GroupVertices[[#This Row],[Vertex]],Vertices[],MATCH("ID",Vertices[[#Headers],[Vertex]:[Top Word Pairs in Comment by Salience]],0),FALSE)</f>
        <v>498</v>
      </c>
    </row>
    <row r="10" spans="1:3" ht="15">
      <c r="A10" s="81" t="s">
        <v>2667</v>
      </c>
      <c r="B10" s="83" t="s">
        <v>696</v>
      </c>
      <c r="C10" s="80">
        <f>VLOOKUP(GroupVertices[[#This Row],[Vertex]],Vertices[],MATCH("ID",Vertices[[#Headers],[Vertex]:[Top Word Pairs in Comment by Salience]],0),FALSE)</f>
        <v>497</v>
      </c>
    </row>
    <row r="11" spans="1:3" ht="15">
      <c r="A11" s="81" t="s">
        <v>2667</v>
      </c>
      <c r="B11" s="83" t="s">
        <v>695</v>
      </c>
      <c r="C11" s="80">
        <f>VLOOKUP(GroupVertices[[#This Row],[Vertex]],Vertices[],MATCH("ID",Vertices[[#Headers],[Vertex]:[Top Word Pairs in Comment by Salience]],0),FALSE)</f>
        <v>496</v>
      </c>
    </row>
    <row r="12" spans="1:3" ht="15">
      <c r="A12" s="81" t="s">
        <v>2667</v>
      </c>
      <c r="B12" s="83" t="s">
        <v>694</v>
      </c>
      <c r="C12" s="80">
        <f>VLOOKUP(GroupVertices[[#This Row],[Vertex]],Vertices[],MATCH("ID",Vertices[[#Headers],[Vertex]:[Top Word Pairs in Comment by Salience]],0),FALSE)</f>
        <v>495</v>
      </c>
    </row>
    <row r="13" spans="1:3" ht="15">
      <c r="A13" s="81" t="s">
        <v>2667</v>
      </c>
      <c r="B13" s="83" t="s">
        <v>693</v>
      </c>
      <c r="C13" s="80">
        <f>VLOOKUP(GroupVertices[[#This Row],[Vertex]],Vertices[],MATCH("ID",Vertices[[#Headers],[Vertex]:[Top Word Pairs in Comment by Salience]],0),FALSE)</f>
        <v>494</v>
      </c>
    </row>
    <row r="14" spans="1:3" ht="15">
      <c r="A14" s="81" t="s">
        <v>2667</v>
      </c>
      <c r="B14" s="83" t="s">
        <v>692</v>
      </c>
      <c r="C14" s="80">
        <f>VLOOKUP(GroupVertices[[#This Row],[Vertex]],Vertices[],MATCH("ID",Vertices[[#Headers],[Vertex]:[Top Word Pairs in Comment by Salience]],0),FALSE)</f>
        <v>493</v>
      </c>
    </row>
    <row r="15" spans="1:3" ht="15">
      <c r="A15" s="81" t="s">
        <v>2667</v>
      </c>
      <c r="B15" s="83" t="s">
        <v>691</v>
      </c>
      <c r="C15" s="80">
        <f>VLOOKUP(GroupVertices[[#This Row],[Vertex]],Vertices[],MATCH("ID",Vertices[[#Headers],[Vertex]:[Top Word Pairs in Comment by Salience]],0),FALSE)</f>
        <v>492</v>
      </c>
    </row>
    <row r="16" spans="1:3" ht="15">
      <c r="A16" s="81" t="s">
        <v>2667</v>
      </c>
      <c r="B16" s="83" t="s">
        <v>690</v>
      </c>
      <c r="C16" s="80">
        <f>VLOOKUP(GroupVertices[[#This Row],[Vertex]],Vertices[],MATCH("ID",Vertices[[#Headers],[Vertex]:[Top Word Pairs in Comment by Salience]],0),FALSE)</f>
        <v>491</v>
      </c>
    </row>
    <row r="17" spans="1:3" ht="15">
      <c r="A17" s="81" t="s">
        <v>2667</v>
      </c>
      <c r="B17" s="83" t="s">
        <v>689</v>
      </c>
      <c r="C17" s="80">
        <f>VLOOKUP(GroupVertices[[#This Row],[Vertex]],Vertices[],MATCH("ID",Vertices[[#Headers],[Vertex]:[Top Word Pairs in Comment by Salience]],0),FALSE)</f>
        <v>490</v>
      </c>
    </row>
    <row r="18" spans="1:3" ht="15">
      <c r="A18" s="81" t="s">
        <v>2667</v>
      </c>
      <c r="B18" s="83" t="s">
        <v>688</v>
      </c>
      <c r="C18" s="80">
        <f>VLOOKUP(GroupVertices[[#This Row],[Vertex]],Vertices[],MATCH("ID",Vertices[[#Headers],[Vertex]:[Top Word Pairs in Comment by Salience]],0),FALSE)</f>
        <v>489</v>
      </c>
    </row>
    <row r="19" spans="1:3" ht="15">
      <c r="A19" s="81" t="s">
        <v>2667</v>
      </c>
      <c r="B19" s="83" t="s">
        <v>687</v>
      </c>
      <c r="C19" s="80">
        <f>VLOOKUP(GroupVertices[[#This Row],[Vertex]],Vertices[],MATCH("ID",Vertices[[#Headers],[Vertex]:[Top Word Pairs in Comment by Salience]],0),FALSE)</f>
        <v>488</v>
      </c>
    </row>
    <row r="20" spans="1:3" ht="15">
      <c r="A20" s="81" t="s">
        <v>2667</v>
      </c>
      <c r="B20" s="83" t="s">
        <v>686</v>
      </c>
      <c r="C20" s="80">
        <f>VLOOKUP(GroupVertices[[#This Row],[Vertex]],Vertices[],MATCH("ID",Vertices[[#Headers],[Vertex]:[Top Word Pairs in Comment by Salience]],0),FALSE)</f>
        <v>487</v>
      </c>
    </row>
    <row r="21" spans="1:3" ht="15">
      <c r="A21" s="81" t="s">
        <v>2667</v>
      </c>
      <c r="B21" s="83" t="s">
        <v>685</v>
      </c>
      <c r="C21" s="80">
        <f>VLOOKUP(GroupVertices[[#This Row],[Vertex]],Vertices[],MATCH("ID",Vertices[[#Headers],[Vertex]:[Top Word Pairs in Comment by Salience]],0),FALSE)</f>
        <v>486</v>
      </c>
    </row>
    <row r="22" spans="1:3" ht="15">
      <c r="A22" s="81" t="s">
        <v>2667</v>
      </c>
      <c r="B22" s="83" t="s">
        <v>684</v>
      </c>
      <c r="C22" s="80">
        <f>VLOOKUP(GroupVertices[[#This Row],[Vertex]],Vertices[],MATCH("ID",Vertices[[#Headers],[Vertex]:[Top Word Pairs in Comment by Salience]],0),FALSE)</f>
        <v>485</v>
      </c>
    </row>
    <row r="23" spans="1:3" ht="15">
      <c r="A23" s="81" t="s">
        <v>2667</v>
      </c>
      <c r="B23" s="83" t="s">
        <v>682</v>
      </c>
      <c r="C23" s="80">
        <f>VLOOKUP(GroupVertices[[#This Row],[Vertex]],Vertices[],MATCH("ID",Vertices[[#Headers],[Vertex]:[Top Word Pairs in Comment by Salience]],0),FALSE)</f>
        <v>484</v>
      </c>
    </row>
    <row r="24" spans="1:3" ht="15">
      <c r="A24" s="81" t="s">
        <v>2667</v>
      </c>
      <c r="B24" s="83" t="s">
        <v>683</v>
      </c>
      <c r="C24" s="80">
        <f>VLOOKUP(GroupVertices[[#This Row],[Vertex]],Vertices[],MATCH("ID",Vertices[[#Headers],[Vertex]:[Top Word Pairs in Comment by Salience]],0),FALSE)</f>
        <v>483</v>
      </c>
    </row>
    <row r="25" spans="1:3" ht="15">
      <c r="A25" s="81" t="s">
        <v>2667</v>
      </c>
      <c r="B25" s="83" t="s">
        <v>681</v>
      </c>
      <c r="C25" s="80">
        <f>VLOOKUP(GroupVertices[[#This Row],[Vertex]],Vertices[],MATCH("ID",Vertices[[#Headers],[Vertex]:[Top Word Pairs in Comment by Salience]],0),FALSE)</f>
        <v>482</v>
      </c>
    </row>
    <row r="26" spans="1:3" ht="15">
      <c r="A26" s="81" t="s">
        <v>2667</v>
      </c>
      <c r="B26" s="83" t="s">
        <v>680</v>
      </c>
      <c r="C26" s="80">
        <f>VLOOKUP(GroupVertices[[#This Row],[Vertex]],Vertices[],MATCH("ID",Vertices[[#Headers],[Vertex]:[Top Word Pairs in Comment by Salience]],0),FALSE)</f>
        <v>481</v>
      </c>
    </row>
    <row r="27" spans="1:3" ht="15">
      <c r="A27" s="81" t="s">
        <v>2667</v>
      </c>
      <c r="B27" s="83" t="s">
        <v>582</v>
      </c>
      <c r="C27" s="80">
        <f>VLOOKUP(GroupVertices[[#This Row],[Vertex]],Vertices[],MATCH("ID",Vertices[[#Headers],[Vertex]:[Top Word Pairs in Comment by Salience]],0),FALSE)</f>
        <v>383</v>
      </c>
    </row>
    <row r="28" spans="1:3" ht="15">
      <c r="A28" s="81" t="s">
        <v>2667</v>
      </c>
      <c r="B28" s="83" t="s">
        <v>679</v>
      </c>
      <c r="C28" s="80">
        <f>VLOOKUP(GroupVertices[[#This Row],[Vertex]],Vertices[],MATCH("ID",Vertices[[#Headers],[Vertex]:[Top Word Pairs in Comment by Salience]],0),FALSE)</f>
        <v>480</v>
      </c>
    </row>
    <row r="29" spans="1:3" ht="15">
      <c r="A29" s="81" t="s">
        <v>2667</v>
      </c>
      <c r="B29" s="83" t="s">
        <v>678</v>
      </c>
      <c r="C29" s="80">
        <f>VLOOKUP(GroupVertices[[#This Row],[Vertex]],Vertices[],MATCH("ID",Vertices[[#Headers],[Vertex]:[Top Word Pairs in Comment by Salience]],0),FALSE)</f>
        <v>479</v>
      </c>
    </row>
    <row r="30" spans="1:3" ht="15">
      <c r="A30" s="81" t="s">
        <v>2667</v>
      </c>
      <c r="B30" s="83" t="s">
        <v>677</v>
      </c>
      <c r="C30" s="80">
        <f>VLOOKUP(GroupVertices[[#This Row],[Vertex]],Vertices[],MATCH("ID",Vertices[[#Headers],[Vertex]:[Top Word Pairs in Comment by Salience]],0),FALSE)</f>
        <v>478</v>
      </c>
    </row>
    <row r="31" spans="1:3" ht="15">
      <c r="A31" s="81" t="s">
        <v>2667</v>
      </c>
      <c r="B31" s="83" t="s">
        <v>676</v>
      </c>
      <c r="C31" s="80">
        <f>VLOOKUP(GroupVertices[[#This Row],[Vertex]],Vertices[],MATCH("ID",Vertices[[#Headers],[Vertex]:[Top Word Pairs in Comment by Salience]],0),FALSE)</f>
        <v>477</v>
      </c>
    </row>
    <row r="32" spans="1:3" ht="15">
      <c r="A32" s="81" t="s">
        <v>2667</v>
      </c>
      <c r="B32" s="83" t="s">
        <v>675</v>
      </c>
      <c r="C32" s="80">
        <f>VLOOKUP(GroupVertices[[#This Row],[Vertex]],Vertices[],MATCH("ID",Vertices[[#Headers],[Vertex]:[Top Word Pairs in Comment by Salience]],0),FALSE)</f>
        <v>476</v>
      </c>
    </row>
    <row r="33" spans="1:3" ht="15">
      <c r="A33" s="81" t="s">
        <v>2667</v>
      </c>
      <c r="B33" s="83" t="s">
        <v>674</v>
      </c>
      <c r="C33" s="80">
        <f>VLOOKUP(GroupVertices[[#This Row],[Vertex]],Vertices[],MATCH("ID",Vertices[[#Headers],[Vertex]:[Top Word Pairs in Comment by Salience]],0),FALSE)</f>
        <v>475</v>
      </c>
    </row>
    <row r="34" spans="1:3" ht="15">
      <c r="A34" s="81" t="s">
        <v>2667</v>
      </c>
      <c r="B34" s="83" t="s">
        <v>673</v>
      </c>
      <c r="C34" s="80">
        <f>VLOOKUP(GroupVertices[[#This Row],[Vertex]],Vertices[],MATCH("ID",Vertices[[#Headers],[Vertex]:[Top Word Pairs in Comment by Salience]],0),FALSE)</f>
        <v>474</v>
      </c>
    </row>
    <row r="35" spans="1:3" ht="15">
      <c r="A35" s="81" t="s">
        <v>2667</v>
      </c>
      <c r="B35" s="83" t="s">
        <v>672</v>
      </c>
      <c r="C35" s="80">
        <f>VLOOKUP(GroupVertices[[#This Row],[Vertex]],Vertices[],MATCH("ID",Vertices[[#Headers],[Vertex]:[Top Word Pairs in Comment by Salience]],0),FALSE)</f>
        <v>473</v>
      </c>
    </row>
    <row r="36" spans="1:3" ht="15">
      <c r="A36" s="81" t="s">
        <v>2667</v>
      </c>
      <c r="B36" s="83" t="s">
        <v>671</v>
      </c>
      <c r="C36" s="80">
        <f>VLOOKUP(GroupVertices[[#This Row],[Vertex]],Vertices[],MATCH("ID",Vertices[[#Headers],[Vertex]:[Top Word Pairs in Comment by Salience]],0),FALSE)</f>
        <v>472</v>
      </c>
    </row>
    <row r="37" spans="1:3" ht="15">
      <c r="A37" s="81" t="s">
        <v>2667</v>
      </c>
      <c r="B37" s="83" t="s">
        <v>670</v>
      </c>
      <c r="C37" s="80">
        <f>VLOOKUP(GroupVertices[[#This Row],[Vertex]],Vertices[],MATCH("ID",Vertices[[#Headers],[Vertex]:[Top Word Pairs in Comment by Salience]],0),FALSE)</f>
        <v>471</v>
      </c>
    </row>
    <row r="38" spans="1:3" ht="15">
      <c r="A38" s="81" t="s">
        <v>2667</v>
      </c>
      <c r="B38" s="83" t="s">
        <v>669</v>
      </c>
      <c r="C38" s="80">
        <f>VLOOKUP(GroupVertices[[#This Row],[Vertex]],Vertices[],MATCH("ID",Vertices[[#Headers],[Vertex]:[Top Word Pairs in Comment by Salience]],0),FALSE)</f>
        <v>470</v>
      </c>
    </row>
    <row r="39" spans="1:3" ht="15">
      <c r="A39" s="81" t="s">
        <v>2667</v>
      </c>
      <c r="B39" s="83" t="s">
        <v>668</v>
      </c>
      <c r="C39" s="80">
        <f>VLOOKUP(GroupVertices[[#This Row],[Vertex]],Vertices[],MATCH("ID",Vertices[[#Headers],[Vertex]:[Top Word Pairs in Comment by Salience]],0),FALSE)</f>
        <v>469</v>
      </c>
    </row>
    <row r="40" spans="1:3" ht="15">
      <c r="A40" s="81" t="s">
        <v>2667</v>
      </c>
      <c r="B40" s="83" t="s">
        <v>663</v>
      </c>
      <c r="C40" s="80">
        <f>VLOOKUP(GroupVertices[[#This Row],[Vertex]],Vertices[],MATCH("ID",Vertices[[#Headers],[Vertex]:[Top Word Pairs in Comment by Salience]],0),FALSE)</f>
        <v>464</v>
      </c>
    </row>
    <row r="41" spans="1:3" ht="15">
      <c r="A41" s="81" t="s">
        <v>2667</v>
      </c>
      <c r="B41" s="83" t="s">
        <v>662</v>
      </c>
      <c r="C41" s="80">
        <f>VLOOKUP(GroupVertices[[#This Row],[Vertex]],Vertices[],MATCH("ID",Vertices[[#Headers],[Vertex]:[Top Word Pairs in Comment by Salience]],0),FALSE)</f>
        <v>463</v>
      </c>
    </row>
    <row r="42" spans="1:3" ht="15">
      <c r="A42" s="81" t="s">
        <v>2667</v>
      </c>
      <c r="B42" s="83" t="s">
        <v>661</v>
      </c>
      <c r="C42" s="80">
        <f>VLOOKUP(GroupVertices[[#This Row],[Vertex]],Vertices[],MATCH("ID",Vertices[[#Headers],[Vertex]:[Top Word Pairs in Comment by Salience]],0),FALSE)</f>
        <v>462</v>
      </c>
    </row>
    <row r="43" spans="1:3" ht="15">
      <c r="A43" s="81" t="s">
        <v>2667</v>
      </c>
      <c r="B43" s="83" t="s">
        <v>660</v>
      </c>
      <c r="C43" s="80">
        <f>VLOOKUP(GroupVertices[[#This Row],[Vertex]],Vertices[],MATCH("ID",Vertices[[#Headers],[Vertex]:[Top Word Pairs in Comment by Salience]],0),FALSE)</f>
        <v>461</v>
      </c>
    </row>
    <row r="44" spans="1:3" ht="15">
      <c r="A44" s="81" t="s">
        <v>2667</v>
      </c>
      <c r="B44" s="83" t="s">
        <v>659</v>
      </c>
      <c r="C44" s="80">
        <f>VLOOKUP(GroupVertices[[#This Row],[Vertex]],Vertices[],MATCH("ID",Vertices[[#Headers],[Vertex]:[Top Word Pairs in Comment by Salience]],0),FALSE)</f>
        <v>460</v>
      </c>
    </row>
    <row r="45" spans="1:3" ht="15">
      <c r="A45" s="81" t="s">
        <v>2667</v>
      </c>
      <c r="B45" s="83" t="s">
        <v>658</v>
      </c>
      <c r="C45" s="80">
        <f>VLOOKUP(GroupVertices[[#This Row],[Vertex]],Vertices[],MATCH("ID",Vertices[[#Headers],[Vertex]:[Top Word Pairs in Comment by Salience]],0),FALSE)</f>
        <v>459</v>
      </c>
    </row>
    <row r="46" spans="1:3" ht="15">
      <c r="A46" s="81" t="s">
        <v>2667</v>
      </c>
      <c r="B46" s="83" t="s">
        <v>657</v>
      </c>
      <c r="C46" s="80">
        <f>VLOOKUP(GroupVertices[[#This Row],[Vertex]],Vertices[],MATCH("ID",Vertices[[#Headers],[Vertex]:[Top Word Pairs in Comment by Salience]],0),FALSE)</f>
        <v>458</v>
      </c>
    </row>
    <row r="47" spans="1:3" ht="15">
      <c r="A47" s="81" t="s">
        <v>2667</v>
      </c>
      <c r="B47" s="83" t="s">
        <v>656</v>
      </c>
      <c r="C47" s="80">
        <f>VLOOKUP(GroupVertices[[#This Row],[Vertex]],Vertices[],MATCH("ID",Vertices[[#Headers],[Vertex]:[Top Word Pairs in Comment by Salience]],0),FALSE)</f>
        <v>457</v>
      </c>
    </row>
    <row r="48" spans="1:3" ht="15">
      <c r="A48" s="81" t="s">
        <v>2667</v>
      </c>
      <c r="B48" s="83" t="s">
        <v>655</v>
      </c>
      <c r="C48" s="80">
        <f>VLOOKUP(GroupVertices[[#This Row],[Vertex]],Vertices[],MATCH("ID",Vertices[[#Headers],[Vertex]:[Top Word Pairs in Comment by Salience]],0),FALSE)</f>
        <v>456</v>
      </c>
    </row>
    <row r="49" spans="1:3" ht="15">
      <c r="A49" s="81" t="s">
        <v>2667</v>
      </c>
      <c r="B49" s="83" t="s">
        <v>654</v>
      </c>
      <c r="C49" s="80">
        <f>VLOOKUP(GroupVertices[[#This Row],[Vertex]],Vertices[],MATCH("ID",Vertices[[#Headers],[Vertex]:[Top Word Pairs in Comment by Salience]],0),FALSE)</f>
        <v>455</v>
      </c>
    </row>
    <row r="50" spans="1:3" ht="15">
      <c r="A50" s="81" t="s">
        <v>2667</v>
      </c>
      <c r="B50" s="83" t="s">
        <v>653</v>
      </c>
      <c r="C50" s="80">
        <f>VLOOKUP(GroupVertices[[#This Row],[Vertex]],Vertices[],MATCH("ID",Vertices[[#Headers],[Vertex]:[Top Word Pairs in Comment by Salience]],0),FALSE)</f>
        <v>454</v>
      </c>
    </row>
    <row r="51" spans="1:3" ht="15">
      <c r="A51" s="81" t="s">
        <v>2667</v>
      </c>
      <c r="B51" s="83" t="s">
        <v>652</v>
      </c>
      <c r="C51" s="80">
        <f>VLOOKUP(GroupVertices[[#This Row],[Vertex]],Vertices[],MATCH("ID",Vertices[[#Headers],[Vertex]:[Top Word Pairs in Comment by Salience]],0),FALSE)</f>
        <v>453</v>
      </c>
    </row>
    <row r="52" spans="1:3" ht="15">
      <c r="A52" s="81" t="s">
        <v>2667</v>
      </c>
      <c r="B52" s="83" t="s">
        <v>651</v>
      </c>
      <c r="C52" s="80">
        <f>VLOOKUP(GroupVertices[[#This Row],[Vertex]],Vertices[],MATCH("ID",Vertices[[#Headers],[Vertex]:[Top Word Pairs in Comment by Salience]],0),FALSE)</f>
        <v>452</v>
      </c>
    </row>
    <row r="53" spans="1:3" ht="15">
      <c r="A53" s="81" t="s">
        <v>2667</v>
      </c>
      <c r="B53" s="83" t="s">
        <v>650</v>
      </c>
      <c r="C53" s="80">
        <f>VLOOKUP(GroupVertices[[#This Row],[Vertex]],Vertices[],MATCH("ID",Vertices[[#Headers],[Vertex]:[Top Word Pairs in Comment by Salience]],0),FALSE)</f>
        <v>451</v>
      </c>
    </row>
    <row r="54" spans="1:3" ht="15">
      <c r="A54" s="81" t="s">
        <v>2667</v>
      </c>
      <c r="B54" s="83" t="s">
        <v>649</v>
      </c>
      <c r="C54" s="80">
        <f>VLOOKUP(GroupVertices[[#This Row],[Vertex]],Vertices[],MATCH("ID",Vertices[[#Headers],[Vertex]:[Top Word Pairs in Comment by Salience]],0),FALSE)</f>
        <v>450</v>
      </c>
    </row>
    <row r="55" spans="1:3" ht="15">
      <c r="A55" s="81" t="s">
        <v>2667</v>
      </c>
      <c r="B55" s="83" t="s">
        <v>648</v>
      </c>
      <c r="C55" s="80">
        <f>VLOOKUP(GroupVertices[[#This Row],[Vertex]],Vertices[],MATCH("ID",Vertices[[#Headers],[Vertex]:[Top Word Pairs in Comment by Salience]],0),FALSE)</f>
        <v>449</v>
      </c>
    </row>
    <row r="56" spans="1:3" ht="15">
      <c r="A56" s="81" t="s">
        <v>2667</v>
      </c>
      <c r="B56" s="83" t="s">
        <v>647</v>
      </c>
      <c r="C56" s="80">
        <f>VLOOKUP(GroupVertices[[#This Row],[Vertex]],Vertices[],MATCH("ID",Vertices[[#Headers],[Vertex]:[Top Word Pairs in Comment by Salience]],0),FALSE)</f>
        <v>448</v>
      </c>
    </row>
    <row r="57" spans="1:3" ht="15">
      <c r="A57" s="81" t="s">
        <v>2667</v>
      </c>
      <c r="B57" s="83" t="s">
        <v>646</v>
      </c>
      <c r="C57" s="80">
        <f>VLOOKUP(GroupVertices[[#This Row],[Vertex]],Vertices[],MATCH("ID",Vertices[[#Headers],[Vertex]:[Top Word Pairs in Comment by Salience]],0),FALSE)</f>
        <v>447</v>
      </c>
    </row>
    <row r="58" spans="1:3" ht="15">
      <c r="A58" s="81" t="s">
        <v>2667</v>
      </c>
      <c r="B58" s="83" t="s">
        <v>644</v>
      </c>
      <c r="C58" s="80">
        <f>VLOOKUP(GroupVertices[[#This Row],[Vertex]],Vertices[],MATCH("ID",Vertices[[#Headers],[Vertex]:[Top Word Pairs in Comment by Salience]],0),FALSE)</f>
        <v>446</v>
      </c>
    </row>
    <row r="59" spans="1:3" ht="15">
      <c r="A59" s="81" t="s">
        <v>2667</v>
      </c>
      <c r="B59" s="83" t="s">
        <v>645</v>
      </c>
      <c r="C59" s="80">
        <f>VLOOKUP(GroupVertices[[#This Row],[Vertex]],Vertices[],MATCH("ID",Vertices[[#Headers],[Vertex]:[Top Word Pairs in Comment by Salience]],0),FALSE)</f>
        <v>445</v>
      </c>
    </row>
    <row r="60" spans="1:3" ht="15">
      <c r="A60" s="81" t="s">
        <v>2667</v>
      </c>
      <c r="B60" s="83" t="s">
        <v>643</v>
      </c>
      <c r="C60" s="80">
        <f>VLOOKUP(GroupVertices[[#This Row],[Vertex]],Vertices[],MATCH("ID",Vertices[[#Headers],[Vertex]:[Top Word Pairs in Comment by Salience]],0),FALSE)</f>
        <v>444</v>
      </c>
    </row>
    <row r="61" spans="1:3" ht="15">
      <c r="A61" s="81" t="s">
        <v>2667</v>
      </c>
      <c r="B61" s="83" t="s">
        <v>642</v>
      </c>
      <c r="C61" s="80">
        <f>VLOOKUP(GroupVertices[[#This Row],[Vertex]],Vertices[],MATCH("ID",Vertices[[#Headers],[Vertex]:[Top Word Pairs in Comment by Salience]],0),FALSE)</f>
        <v>443</v>
      </c>
    </row>
    <row r="62" spans="1:3" ht="15">
      <c r="A62" s="81" t="s">
        <v>2667</v>
      </c>
      <c r="B62" s="83" t="s">
        <v>637</v>
      </c>
      <c r="C62" s="80">
        <f>VLOOKUP(GroupVertices[[#This Row],[Vertex]],Vertices[],MATCH("ID",Vertices[[#Headers],[Vertex]:[Top Word Pairs in Comment by Salience]],0),FALSE)</f>
        <v>438</v>
      </c>
    </row>
    <row r="63" spans="1:3" ht="15">
      <c r="A63" s="81" t="s">
        <v>2667</v>
      </c>
      <c r="B63" s="83" t="s">
        <v>636</v>
      </c>
      <c r="C63" s="80">
        <f>VLOOKUP(GroupVertices[[#This Row],[Vertex]],Vertices[],MATCH("ID",Vertices[[#Headers],[Vertex]:[Top Word Pairs in Comment by Salience]],0),FALSE)</f>
        <v>437</v>
      </c>
    </row>
    <row r="64" spans="1:3" ht="15">
      <c r="A64" s="81" t="s">
        <v>2667</v>
      </c>
      <c r="B64" s="83" t="s">
        <v>635</v>
      </c>
      <c r="C64" s="80">
        <f>VLOOKUP(GroupVertices[[#This Row],[Vertex]],Vertices[],MATCH("ID",Vertices[[#Headers],[Vertex]:[Top Word Pairs in Comment by Salience]],0),FALSE)</f>
        <v>436</v>
      </c>
    </row>
    <row r="65" spans="1:3" ht="15">
      <c r="A65" s="81" t="s">
        <v>2667</v>
      </c>
      <c r="B65" s="83" t="s">
        <v>634</v>
      </c>
      <c r="C65" s="80">
        <f>VLOOKUP(GroupVertices[[#This Row],[Vertex]],Vertices[],MATCH("ID",Vertices[[#Headers],[Vertex]:[Top Word Pairs in Comment by Salience]],0),FALSE)</f>
        <v>435</v>
      </c>
    </row>
    <row r="66" spans="1:3" ht="15">
      <c r="A66" s="81" t="s">
        <v>2667</v>
      </c>
      <c r="B66" s="83" t="s">
        <v>633</v>
      </c>
      <c r="C66" s="80">
        <f>VLOOKUP(GroupVertices[[#This Row],[Vertex]],Vertices[],MATCH("ID",Vertices[[#Headers],[Vertex]:[Top Word Pairs in Comment by Salience]],0),FALSE)</f>
        <v>434</v>
      </c>
    </row>
    <row r="67" spans="1:3" ht="15">
      <c r="A67" s="81" t="s">
        <v>2667</v>
      </c>
      <c r="B67" s="83" t="s">
        <v>632</v>
      </c>
      <c r="C67" s="80">
        <f>VLOOKUP(GroupVertices[[#This Row],[Vertex]],Vertices[],MATCH("ID",Vertices[[#Headers],[Vertex]:[Top Word Pairs in Comment by Salience]],0),FALSE)</f>
        <v>433</v>
      </c>
    </row>
    <row r="68" spans="1:3" ht="15">
      <c r="A68" s="81" t="s">
        <v>2667</v>
      </c>
      <c r="B68" s="83" t="s">
        <v>615</v>
      </c>
      <c r="C68" s="80">
        <f>VLOOKUP(GroupVertices[[#This Row],[Vertex]],Vertices[],MATCH("ID",Vertices[[#Headers],[Vertex]:[Top Word Pairs in Comment by Salience]],0),FALSE)</f>
        <v>417</v>
      </c>
    </row>
    <row r="69" spans="1:3" ht="15">
      <c r="A69" s="81" t="s">
        <v>2667</v>
      </c>
      <c r="B69" s="83" t="s">
        <v>631</v>
      </c>
      <c r="C69" s="80">
        <f>VLOOKUP(GroupVertices[[#This Row],[Vertex]],Vertices[],MATCH("ID",Vertices[[#Headers],[Vertex]:[Top Word Pairs in Comment by Salience]],0),FALSE)</f>
        <v>432</v>
      </c>
    </row>
    <row r="70" spans="1:3" ht="15">
      <c r="A70" s="81" t="s">
        <v>2667</v>
      </c>
      <c r="B70" s="83" t="s">
        <v>630</v>
      </c>
      <c r="C70" s="80">
        <f>VLOOKUP(GroupVertices[[#This Row],[Vertex]],Vertices[],MATCH("ID",Vertices[[#Headers],[Vertex]:[Top Word Pairs in Comment by Salience]],0),FALSE)</f>
        <v>431</v>
      </c>
    </row>
    <row r="71" spans="1:3" ht="15">
      <c r="A71" s="81" t="s">
        <v>2667</v>
      </c>
      <c r="B71" s="83" t="s">
        <v>629</v>
      </c>
      <c r="C71" s="80">
        <f>VLOOKUP(GroupVertices[[#This Row],[Vertex]],Vertices[],MATCH("ID",Vertices[[#Headers],[Vertex]:[Top Word Pairs in Comment by Salience]],0),FALSE)</f>
        <v>430</v>
      </c>
    </row>
    <row r="72" spans="1:3" ht="15">
      <c r="A72" s="81" t="s">
        <v>2667</v>
      </c>
      <c r="B72" s="83" t="s">
        <v>628</v>
      </c>
      <c r="C72" s="80">
        <f>VLOOKUP(GroupVertices[[#This Row],[Vertex]],Vertices[],MATCH("ID",Vertices[[#Headers],[Vertex]:[Top Word Pairs in Comment by Salience]],0),FALSE)</f>
        <v>429</v>
      </c>
    </row>
    <row r="73" spans="1:3" ht="15">
      <c r="A73" s="81" t="s">
        <v>2667</v>
      </c>
      <c r="B73" s="83" t="s">
        <v>627</v>
      </c>
      <c r="C73" s="80">
        <f>VLOOKUP(GroupVertices[[#This Row],[Vertex]],Vertices[],MATCH("ID",Vertices[[#Headers],[Vertex]:[Top Word Pairs in Comment by Salience]],0),FALSE)</f>
        <v>428</v>
      </c>
    </row>
    <row r="74" spans="1:3" ht="15">
      <c r="A74" s="81" t="s">
        <v>2667</v>
      </c>
      <c r="B74" s="83" t="s">
        <v>626</v>
      </c>
      <c r="C74" s="80">
        <f>VLOOKUP(GroupVertices[[#This Row],[Vertex]],Vertices[],MATCH("ID",Vertices[[#Headers],[Vertex]:[Top Word Pairs in Comment by Salience]],0),FALSE)</f>
        <v>427</v>
      </c>
    </row>
    <row r="75" spans="1:3" ht="15">
      <c r="A75" s="81" t="s">
        <v>2667</v>
      </c>
      <c r="B75" s="83" t="s">
        <v>625</v>
      </c>
      <c r="C75" s="80">
        <f>VLOOKUP(GroupVertices[[#This Row],[Vertex]],Vertices[],MATCH("ID",Vertices[[#Headers],[Vertex]:[Top Word Pairs in Comment by Salience]],0),FALSE)</f>
        <v>426</v>
      </c>
    </row>
    <row r="76" spans="1:3" ht="15">
      <c r="A76" s="81" t="s">
        <v>2667</v>
      </c>
      <c r="B76" s="83" t="s">
        <v>624</v>
      </c>
      <c r="C76" s="80">
        <f>VLOOKUP(GroupVertices[[#This Row],[Vertex]],Vertices[],MATCH("ID",Vertices[[#Headers],[Vertex]:[Top Word Pairs in Comment by Salience]],0),FALSE)</f>
        <v>425</v>
      </c>
    </row>
    <row r="77" spans="1:3" ht="15">
      <c r="A77" s="81" t="s">
        <v>2667</v>
      </c>
      <c r="B77" s="83" t="s">
        <v>623</v>
      </c>
      <c r="C77" s="80">
        <f>VLOOKUP(GroupVertices[[#This Row],[Vertex]],Vertices[],MATCH("ID",Vertices[[#Headers],[Vertex]:[Top Word Pairs in Comment by Salience]],0),FALSE)</f>
        <v>424</v>
      </c>
    </row>
    <row r="78" spans="1:3" ht="15">
      <c r="A78" s="81" t="s">
        <v>2667</v>
      </c>
      <c r="B78" s="83" t="s">
        <v>622</v>
      </c>
      <c r="C78" s="80">
        <f>VLOOKUP(GroupVertices[[#This Row],[Vertex]],Vertices[],MATCH("ID",Vertices[[#Headers],[Vertex]:[Top Word Pairs in Comment by Salience]],0),FALSE)</f>
        <v>423</v>
      </c>
    </row>
    <row r="79" spans="1:3" ht="15">
      <c r="A79" s="81" t="s">
        <v>2667</v>
      </c>
      <c r="B79" s="83" t="s">
        <v>621</v>
      </c>
      <c r="C79" s="80">
        <f>VLOOKUP(GroupVertices[[#This Row],[Vertex]],Vertices[],MATCH("ID",Vertices[[#Headers],[Vertex]:[Top Word Pairs in Comment by Salience]],0),FALSE)</f>
        <v>422</v>
      </c>
    </row>
    <row r="80" spans="1:3" ht="15">
      <c r="A80" s="81" t="s">
        <v>2667</v>
      </c>
      <c r="B80" s="83" t="s">
        <v>616</v>
      </c>
      <c r="C80" s="80">
        <f>VLOOKUP(GroupVertices[[#This Row],[Vertex]],Vertices[],MATCH("ID",Vertices[[#Headers],[Vertex]:[Top Word Pairs in Comment by Salience]],0),FALSE)</f>
        <v>416</v>
      </c>
    </row>
    <row r="81" spans="1:3" ht="15">
      <c r="A81" s="81" t="s">
        <v>2667</v>
      </c>
      <c r="B81" s="83" t="s">
        <v>614</v>
      </c>
      <c r="C81" s="80">
        <f>VLOOKUP(GroupVertices[[#This Row],[Vertex]],Vertices[],MATCH("ID",Vertices[[#Headers],[Vertex]:[Top Word Pairs in Comment by Salience]],0),FALSE)</f>
        <v>415</v>
      </c>
    </row>
    <row r="82" spans="1:3" ht="15">
      <c r="A82" s="81" t="s">
        <v>2667</v>
      </c>
      <c r="B82" s="83" t="s">
        <v>613</v>
      </c>
      <c r="C82" s="80">
        <f>VLOOKUP(GroupVertices[[#This Row],[Vertex]],Vertices[],MATCH("ID",Vertices[[#Headers],[Vertex]:[Top Word Pairs in Comment by Salience]],0),FALSE)</f>
        <v>414</v>
      </c>
    </row>
    <row r="83" spans="1:3" ht="15">
      <c r="A83" s="81" t="s">
        <v>2667</v>
      </c>
      <c r="B83" s="83" t="s">
        <v>612</v>
      </c>
      <c r="C83" s="80">
        <f>VLOOKUP(GroupVertices[[#This Row],[Vertex]],Vertices[],MATCH("ID",Vertices[[#Headers],[Vertex]:[Top Word Pairs in Comment by Salience]],0),FALSE)</f>
        <v>413</v>
      </c>
    </row>
    <row r="84" spans="1:3" ht="15">
      <c r="A84" s="81" t="s">
        <v>2667</v>
      </c>
      <c r="B84" s="83" t="s">
        <v>611</v>
      </c>
      <c r="C84" s="80">
        <f>VLOOKUP(GroupVertices[[#This Row],[Vertex]],Vertices[],MATCH("ID",Vertices[[#Headers],[Vertex]:[Top Word Pairs in Comment by Salience]],0),FALSE)</f>
        <v>412</v>
      </c>
    </row>
    <row r="85" spans="1:3" ht="15">
      <c r="A85" s="81" t="s">
        <v>2667</v>
      </c>
      <c r="B85" s="83" t="s">
        <v>610</v>
      </c>
      <c r="C85" s="80">
        <f>VLOOKUP(GroupVertices[[#This Row],[Vertex]],Vertices[],MATCH("ID",Vertices[[#Headers],[Vertex]:[Top Word Pairs in Comment by Salience]],0),FALSE)</f>
        <v>411</v>
      </c>
    </row>
    <row r="86" spans="1:3" ht="15">
      <c r="A86" s="81" t="s">
        <v>2667</v>
      </c>
      <c r="B86" s="83" t="s">
        <v>609</v>
      </c>
      <c r="C86" s="80">
        <f>VLOOKUP(GroupVertices[[#This Row],[Vertex]],Vertices[],MATCH("ID",Vertices[[#Headers],[Vertex]:[Top Word Pairs in Comment by Salience]],0),FALSE)</f>
        <v>410</v>
      </c>
    </row>
    <row r="87" spans="1:3" ht="15">
      <c r="A87" s="81" t="s">
        <v>2667</v>
      </c>
      <c r="B87" s="83" t="s">
        <v>597</v>
      </c>
      <c r="C87" s="80">
        <f>VLOOKUP(GroupVertices[[#This Row],[Vertex]],Vertices[],MATCH("ID",Vertices[[#Headers],[Vertex]:[Top Word Pairs in Comment by Salience]],0),FALSE)</f>
        <v>399</v>
      </c>
    </row>
    <row r="88" spans="1:3" ht="15">
      <c r="A88" s="81" t="s">
        <v>2667</v>
      </c>
      <c r="B88" s="83" t="s">
        <v>598</v>
      </c>
      <c r="C88" s="80">
        <f>VLOOKUP(GroupVertices[[#This Row],[Vertex]],Vertices[],MATCH("ID",Vertices[[#Headers],[Vertex]:[Top Word Pairs in Comment by Salience]],0),FALSE)</f>
        <v>398</v>
      </c>
    </row>
    <row r="89" spans="1:3" ht="15">
      <c r="A89" s="81" t="s">
        <v>2667</v>
      </c>
      <c r="B89" s="83" t="s">
        <v>596</v>
      </c>
      <c r="C89" s="80">
        <f>VLOOKUP(GroupVertices[[#This Row],[Vertex]],Vertices[],MATCH("ID",Vertices[[#Headers],[Vertex]:[Top Word Pairs in Comment by Salience]],0),FALSE)</f>
        <v>397</v>
      </c>
    </row>
    <row r="90" spans="1:3" ht="15">
      <c r="A90" s="81" t="s">
        <v>2667</v>
      </c>
      <c r="B90" s="83" t="s">
        <v>595</v>
      </c>
      <c r="C90" s="80">
        <f>VLOOKUP(GroupVertices[[#This Row],[Vertex]],Vertices[],MATCH("ID",Vertices[[#Headers],[Vertex]:[Top Word Pairs in Comment by Salience]],0),FALSE)</f>
        <v>396</v>
      </c>
    </row>
    <row r="91" spans="1:3" ht="15">
      <c r="A91" s="81" t="s">
        <v>2667</v>
      </c>
      <c r="B91" s="83" t="s">
        <v>594</v>
      </c>
      <c r="C91" s="80">
        <f>VLOOKUP(GroupVertices[[#This Row],[Vertex]],Vertices[],MATCH("ID",Vertices[[#Headers],[Vertex]:[Top Word Pairs in Comment by Salience]],0),FALSE)</f>
        <v>395</v>
      </c>
    </row>
    <row r="92" spans="1:3" ht="15">
      <c r="A92" s="81" t="s">
        <v>2667</v>
      </c>
      <c r="B92" s="83" t="s">
        <v>592</v>
      </c>
      <c r="C92" s="80">
        <f>VLOOKUP(GroupVertices[[#This Row],[Vertex]],Vertices[],MATCH("ID",Vertices[[#Headers],[Vertex]:[Top Word Pairs in Comment by Salience]],0),FALSE)</f>
        <v>393</v>
      </c>
    </row>
    <row r="93" spans="1:3" ht="15">
      <c r="A93" s="81" t="s">
        <v>2667</v>
      </c>
      <c r="B93" s="83" t="s">
        <v>591</v>
      </c>
      <c r="C93" s="80">
        <f>VLOOKUP(GroupVertices[[#This Row],[Vertex]],Vertices[],MATCH("ID",Vertices[[#Headers],[Vertex]:[Top Word Pairs in Comment by Salience]],0),FALSE)</f>
        <v>392</v>
      </c>
    </row>
    <row r="94" spans="1:3" ht="15">
      <c r="A94" s="81" t="s">
        <v>2667</v>
      </c>
      <c r="B94" s="83" t="s">
        <v>590</v>
      </c>
      <c r="C94" s="80">
        <f>VLOOKUP(GroupVertices[[#This Row],[Vertex]],Vertices[],MATCH("ID",Vertices[[#Headers],[Vertex]:[Top Word Pairs in Comment by Salience]],0),FALSE)</f>
        <v>391</v>
      </c>
    </row>
    <row r="95" spans="1:3" ht="15">
      <c r="A95" s="81" t="s">
        <v>2667</v>
      </c>
      <c r="B95" s="83" t="s">
        <v>583</v>
      </c>
      <c r="C95" s="80">
        <f>VLOOKUP(GroupVertices[[#This Row],[Vertex]],Vertices[],MATCH("ID",Vertices[[#Headers],[Vertex]:[Top Word Pairs in Comment by Salience]],0),FALSE)</f>
        <v>385</v>
      </c>
    </row>
    <row r="96" spans="1:3" ht="15">
      <c r="A96" s="81" t="s">
        <v>2667</v>
      </c>
      <c r="B96" s="83" t="s">
        <v>589</v>
      </c>
      <c r="C96" s="80">
        <f>VLOOKUP(GroupVertices[[#This Row],[Vertex]],Vertices[],MATCH("ID",Vertices[[#Headers],[Vertex]:[Top Word Pairs in Comment by Salience]],0),FALSE)</f>
        <v>390</v>
      </c>
    </row>
    <row r="97" spans="1:3" ht="15">
      <c r="A97" s="81" t="s">
        <v>2667</v>
      </c>
      <c r="B97" s="83" t="s">
        <v>588</v>
      </c>
      <c r="C97" s="80">
        <f>VLOOKUP(GroupVertices[[#This Row],[Vertex]],Vertices[],MATCH("ID",Vertices[[#Headers],[Vertex]:[Top Word Pairs in Comment by Salience]],0),FALSE)</f>
        <v>389</v>
      </c>
    </row>
    <row r="98" spans="1:3" ht="15">
      <c r="A98" s="81" t="s">
        <v>2667</v>
      </c>
      <c r="B98" s="83" t="s">
        <v>587</v>
      </c>
      <c r="C98" s="80">
        <f>VLOOKUP(GroupVertices[[#This Row],[Vertex]],Vertices[],MATCH("ID",Vertices[[#Headers],[Vertex]:[Top Word Pairs in Comment by Salience]],0),FALSE)</f>
        <v>388</v>
      </c>
    </row>
    <row r="99" spans="1:3" ht="15">
      <c r="A99" s="81" t="s">
        <v>2667</v>
      </c>
      <c r="B99" s="83" t="s">
        <v>586</v>
      </c>
      <c r="C99" s="80">
        <f>VLOOKUP(GroupVertices[[#This Row],[Vertex]],Vertices[],MATCH("ID",Vertices[[#Headers],[Vertex]:[Top Word Pairs in Comment by Salience]],0),FALSE)</f>
        <v>387</v>
      </c>
    </row>
    <row r="100" spans="1:3" ht="15">
      <c r="A100" s="81" t="s">
        <v>2667</v>
      </c>
      <c r="B100" s="83" t="s">
        <v>585</v>
      </c>
      <c r="C100" s="80">
        <f>VLOOKUP(GroupVertices[[#This Row],[Vertex]],Vertices[],MATCH("ID",Vertices[[#Headers],[Vertex]:[Top Word Pairs in Comment by Salience]],0),FALSE)</f>
        <v>386</v>
      </c>
    </row>
    <row r="101" spans="1:3" ht="15">
      <c r="A101" s="81" t="s">
        <v>2667</v>
      </c>
      <c r="B101" s="83" t="s">
        <v>584</v>
      </c>
      <c r="C101" s="80">
        <f>VLOOKUP(GroupVertices[[#This Row],[Vertex]],Vertices[],MATCH("ID",Vertices[[#Headers],[Vertex]:[Top Word Pairs in Comment by Salience]],0),FALSE)</f>
        <v>384</v>
      </c>
    </row>
    <row r="102" spans="1:3" ht="15">
      <c r="A102" s="81" t="s">
        <v>2667</v>
      </c>
      <c r="B102" s="83" t="s">
        <v>581</v>
      </c>
      <c r="C102" s="80">
        <f>VLOOKUP(GroupVertices[[#This Row],[Vertex]],Vertices[],MATCH("ID",Vertices[[#Headers],[Vertex]:[Top Word Pairs in Comment by Salience]],0),FALSE)</f>
        <v>382</v>
      </c>
    </row>
    <row r="103" spans="1:3" ht="15">
      <c r="A103" s="81" t="s">
        <v>2667</v>
      </c>
      <c r="B103" s="83" t="s">
        <v>580</v>
      </c>
      <c r="C103" s="80">
        <f>VLOOKUP(GroupVertices[[#This Row],[Vertex]],Vertices[],MATCH("ID",Vertices[[#Headers],[Vertex]:[Top Word Pairs in Comment by Salience]],0),FALSE)</f>
        <v>381</v>
      </c>
    </row>
    <row r="104" spans="1:3" ht="15">
      <c r="A104" s="81" t="s">
        <v>2667</v>
      </c>
      <c r="B104" s="83" t="s">
        <v>579</v>
      </c>
      <c r="C104" s="80">
        <f>VLOOKUP(GroupVertices[[#This Row],[Vertex]],Vertices[],MATCH("ID",Vertices[[#Headers],[Vertex]:[Top Word Pairs in Comment by Salience]],0),FALSE)</f>
        <v>380</v>
      </c>
    </row>
    <row r="105" spans="1:3" ht="15">
      <c r="A105" s="81" t="s">
        <v>2667</v>
      </c>
      <c r="B105" s="83" t="s">
        <v>578</v>
      </c>
      <c r="C105" s="80">
        <f>VLOOKUP(GroupVertices[[#This Row],[Vertex]],Vertices[],MATCH("ID",Vertices[[#Headers],[Vertex]:[Top Word Pairs in Comment by Salience]],0),FALSE)</f>
        <v>379</v>
      </c>
    </row>
    <row r="106" spans="1:3" ht="15">
      <c r="A106" s="81" t="s">
        <v>2667</v>
      </c>
      <c r="B106" s="83" t="s">
        <v>577</v>
      </c>
      <c r="C106" s="80">
        <f>VLOOKUP(GroupVertices[[#This Row],[Vertex]],Vertices[],MATCH("ID",Vertices[[#Headers],[Vertex]:[Top Word Pairs in Comment by Salience]],0),FALSE)</f>
        <v>378</v>
      </c>
    </row>
    <row r="107" spans="1:3" ht="15">
      <c r="A107" s="81" t="s">
        <v>2667</v>
      </c>
      <c r="B107" s="83" t="s">
        <v>576</v>
      </c>
      <c r="C107" s="80">
        <f>VLOOKUP(GroupVertices[[#This Row],[Vertex]],Vertices[],MATCH("ID",Vertices[[#Headers],[Vertex]:[Top Word Pairs in Comment by Salience]],0),FALSE)</f>
        <v>377</v>
      </c>
    </row>
    <row r="108" spans="1:3" ht="15">
      <c r="A108" s="81" t="s">
        <v>2667</v>
      </c>
      <c r="B108" s="83" t="s">
        <v>575</v>
      </c>
      <c r="C108" s="80">
        <f>VLOOKUP(GroupVertices[[#This Row],[Vertex]],Vertices[],MATCH("ID",Vertices[[#Headers],[Vertex]:[Top Word Pairs in Comment by Salience]],0),FALSE)</f>
        <v>376</v>
      </c>
    </row>
    <row r="109" spans="1:3" ht="15">
      <c r="A109" s="81" t="s">
        <v>2667</v>
      </c>
      <c r="B109" s="83" t="s">
        <v>574</v>
      </c>
      <c r="C109" s="80">
        <f>VLOOKUP(GroupVertices[[#This Row],[Vertex]],Vertices[],MATCH("ID",Vertices[[#Headers],[Vertex]:[Top Word Pairs in Comment by Salience]],0),FALSE)</f>
        <v>375</v>
      </c>
    </row>
    <row r="110" spans="1:3" ht="15">
      <c r="A110" s="81" t="s">
        <v>2667</v>
      </c>
      <c r="B110" s="83" t="s">
        <v>566</v>
      </c>
      <c r="C110" s="80">
        <f>VLOOKUP(GroupVertices[[#This Row],[Vertex]],Vertices[],MATCH("ID",Vertices[[#Headers],[Vertex]:[Top Word Pairs in Comment by Salience]],0),FALSE)</f>
        <v>367</v>
      </c>
    </row>
    <row r="111" spans="1:3" ht="15">
      <c r="A111" s="81" t="s">
        <v>2667</v>
      </c>
      <c r="B111" s="83" t="s">
        <v>565</v>
      </c>
      <c r="C111" s="80">
        <f>VLOOKUP(GroupVertices[[#This Row],[Vertex]],Vertices[],MATCH("ID",Vertices[[#Headers],[Vertex]:[Top Word Pairs in Comment by Salience]],0),FALSE)</f>
        <v>366</v>
      </c>
    </row>
    <row r="112" spans="1:3" ht="15">
      <c r="A112" s="81" t="s">
        <v>2667</v>
      </c>
      <c r="B112" s="83" t="s">
        <v>564</v>
      </c>
      <c r="C112" s="80">
        <f>VLOOKUP(GroupVertices[[#This Row],[Vertex]],Vertices[],MATCH("ID",Vertices[[#Headers],[Vertex]:[Top Word Pairs in Comment by Salience]],0),FALSE)</f>
        <v>365</v>
      </c>
    </row>
    <row r="113" spans="1:3" ht="15">
      <c r="A113" s="81" t="s">
        <v>2667</v>
      </c>
      <c r="B113" s="83" t="s">
        <v>563</v>
      </c>
      <c r="C113" s="80">
        <f>VLOOKUP(GroupVertices[[#This Row],[Vertex]],Vertices[],MATCH("ID",Vertices[[#Headers],[Vertex]:[Top Word Pairs in Comment by Salience]],0),FALSE)</f>
        <v>364</v>
      </c>
    </row>
    <row r="114" spans="1:3" ht="15">
      <c r="A114" s="81" t="s">
        <v>2667</v>
      </c>
      <c r="B114" s="83" t="s">
        <v>562</v>
      </c>
      <c r="C114" s="80">
        <f>VLOOKUP(GroupVertices[[#This Row],[Vertex]],Vertices[],MATCH("ID",Vertices[[#Headers],[Vertex]:[Top Word Pairs in Comment by Salience]],0),FALSE)</f>
        <v>363</v>
      </c>
    </row>
    <row r="115" spans="1:3" ht="15">
      <c r="A115" s="81" t="s">
        <v>2667</v>
      </c>
      <c r="B115" s="83" t="s">
        <v>561</v>
      </c>
      <c r="C115" s="80">
        <f>VLOOKUP(GroupVertices[[#This Row],[Vertex]],Vertices[],MATCH("ID",Vertices[[#Headers],[Vertex]:[Top Word Pairs in Comment by Salience]],0),FALSE)</f>
        <v>362</v>
      </c>
    </row>
    <row r="116" spans="1:3" ht="15">
      <c r="A116" s="81" t="s">
        <v>2667</v>
      </c>
      <c r="B116" s="83" t="s">
        <v>560</v>
      </c>
      <c r="C116" s="80">
        <f>VLOOKUP(GroupVertices[[#This Row],[Vertex]],Vertices[],MATCH("ID",Vertices[[#Headers],[Vertex]:[Top Word Pairs in Comment by Salience]],0),FALSE)</f>
        <v>361</v>
      </c>
    </row>
    <row r="117" spans="1:3" ht="15">
      <c r="A117" s="81" t="s">
        <v>2667</v>
      </c>
      <c r="B117" s="83" t="s">
        <v>559</v>
      </c>
      <c r="C117" s="80">
        <f>VLOOKUP(GroupVertices[[#This Row],[Vertex]],Vertices[],MATCH("ID",Vertices[[#Headers],[Vertex]:[Top Word Pairs in Comment by Salience]],0),FALSE)</f>
        <v>360</v>
      </c>
    </row>
    <row r="118" spans="1:3" ht="15">
      <c r="A118" s="81" t="s">
        <v>2667</v>
      </c>
      <c r="B118" s="83" t="s">
        <v>558</v>
      </c>
      <c r="C118" s="80">
        <f>VLOOKUP(GroupVertices[[#This Row],[Vertex]],Vertices[],MATCH("ID",Vertices[[#Headers],[Vertex]:[Top Word Pairs in Comment by Salience]],0),FALSE)</f>
        <v>359</v>
      </c>
    </row>
    <row r="119" spans="1:3" ht="15">
      <c r="A119" s="81" t="s">
        <v>2667</v>
      </c>
      <c r="B119" s="83" t="s">
        <v>557</v>
      </c>
      <c r="C119" s="80">
        <f>VLOOKUP(GroupVertices[[#This Row],[Vertex]],Vertices[],MATCH("ID",Vertices[[#Headers],[Vertex]:[Top Word Pairs in Comment by Salience]],0),FALSE)</f>
        <v>358</v>
      </c>
    </row>
    <row r="120" spans="1:3" ht="15">
      <c r="A120" s="81" t="s">
        <v>2667</v>
      </c>
      <c r="B120" s="83" t="s">
        <v>556</v>
      </c>
      <c r="C120" s="80">
        <f>VLOOKUP(GroupVertices[[#This Row],[Vertex]],Vertices[],MATCH("ID",Vertices[[#Headers],[Vertex]:[Top Word Pairs in Comment by Salience]],0),FALSE)</f>
        <v>357</v>
      </c>
    </row>
    <row r="121" spans="1:3" ht="15">
      <c r="A121" s="81" t="s">
        <v>2667</v>
      </c>
      <c r="B121" s="83" t="s">
        <v>555</v>
      </c>
      <c r="C121" s="80">
        <f>VLOOKUP(GroupVertices[[#This Row],[Vertex]],Vertices[],MATCH("ID",Vertices[[#Headers],[Vertex]:[Top Word Pairs in Comment by Salience]],0),FALSE)</f>
        <v>356</v>
      </c>
    </row>
    <row r="122" spans="1:3" ht="15">
      <c r="A122" s="81" t="s">
        <v>2667</v>
      </c>
      <c r="B122" s="83" t="s">
        <v>554</v>
      </c>
      <c r="C122" s="80">
        <f>VLOOKUP(GroupVertices[[#This Row],[Vertex]],Vertices[],MATCH("ID",Vertices[[#Headers],[Vertex]:[Top Word Pairs in Comment by Salience]],0),FALSE)</f>
        <v>355</v>
      </c>
    </row>
    <row r="123" spans="1:3" ht="15">
      <c r="A123" s="81" t="s">
        <v>2667</v>
      </c>
      <c r="B123" s="83" t="s">
        <v>552</v>
      </c>
      <c r="C123" s="80">
        <f>VLOOKUP(GroupVertices[[#This Row],[Vertex]],Vertices[],MATCH("ID",Vertices[[#Headers],[Vertex]:[Top Word Pairs in Comment by Salience]],0),FALSE)</f>
        <v>354</v>
      </c>
    </row>
    <row r="124" spans="1:3" ht="15">
      <c r="A124" s="81" t="s">
        <v>2667</v>
      </c>
      <c r="B124" s="83" t="s">
        <v>551</v>
      </c>
      <c r="C124" s="80">
        <f>VLOOKUP(GroupVertices[[#This Row],[Vertex]],Vertices[],MATCH("ID",Vertices[[#Headers],[Vertex]:[Top Word Pairs in Comment by Salience]],0),FALSE)</f>
        <v>353</v>
      </c>
    </row>
    <row r="125" spans="1:3" ht="15">
      <c r="A125" s="81" t="s">
        <v>2667</v>
      </c>
      <c r="B125" s="83" t="s">
        <v>550</v>
      </c>
      <c r="C125" s="80">
        <f>VLOOKUP(GroupVertices[[#This Row],[Vertex]],Vertices[],MATCH("ID",Vertices[[#Headers],[Vertex]:[Top Word Pairs in Comment by Salience]],0),FALSE)</f>
        <v>352</v>
      </c>
    </row>
    <row r="126" spans="1:3" ht="15">
      <c r="A126" s="81" t="s">
        <v>2667</v>
      </c>
      <c r="B126" s="83" t="s">
        <v>549</v>
      </c>
      <c r="C126" s="80">
        <f>VLOOKUP(GroupVertices[[#This Row],[Vertex]],Vertices[],MATCH("ID",Vertices[[#Headers],[Vertex]:[Top Word Pairs in Comment by Salience]],0),FALSE)</f>
        <v>351</v>
      </c>
    </row>
    <row r="127" spans="1:3" ht="15">
      <c r="A127" s="81" t="s">
        <v>2667</v>
      </c>
      <c r="B127" s="83" t="s">
        <v>548</v>
      </c>
      <c r="C127" s="80">
        <f>VLOOKUP(GroupVertices[[#This Row],[Vertex]],Vertices[],MATCH("ID",Vertices[[#Headers],[Vertex]:[Top Word Pairs in Comment by Salience]],0),FALSE)</f>
        <v>349</v>
      </c>
    </row>
    <row r="128" spans="1:3" ht="15">
      <c r="A128" s="81" t="s">
        <v>2668</v>
      </c>
      <c r="B128" s="83" t="s">
        <v>822</v>
      </c>
      <c r="C128" s="80">
        <f>VLOOKUP(GroupVertices[[#This Row],[Vertex]],Vertices[],MATCH("ID",Vertices[[#Headers],[Vertex]:[Top Word Pairs in Comment by Salience]],0),FALSE)</f>
        <v>625</v>
      </c>
    </row>
    <row r="129" spans="1:3" ht="15">
      <c r="A129" s="81" t="s">
        <v>2668</v>
      </c>
      <c r="B129" s="83" t="s">
        <v>842</v>
      </c>
      <c r="C129" s="80">
        <f>VLOOKUP(GroupVertices[[#This Row],[Vertex]],Vertices[],MATCH("ID",Vertices[[#Headers],[Vertex]:[Top Word Pairs in Comment by Salience]],0),FALSE)</f>
        <v>540</v>
      </c>
    </row>
    <row r="130" spans="1:3" ht="15">
      <c r="A130" s="81" t="s">
        <v>2668</v>
      </c>
      <c r="B130" s="83" t="s">
        <v>821</v>
      </c>
      <c r="C130" s="80">
        <f>VLOOKUP(GroupVertices[[#This Row],[Vertex]],Vertices[],MATCH("ID",Vertices[[#Headers],[Vertex]:[Top Word Pairs in Comment by Salience]],0),FALSE)</f>
        <v>624</v>
      </c>
    </row>
    <row r="131" spans="1:3" ht="15">
      <c r="A131" s="81" t="s">
        <v>2668</v>
      </c>
      <c r="B131" s="83" t="s">
        <v>820</v>
      </c>
      <c r="C131" s="80">
        <f>VLOOKUP(GroupVertices[[#This Row],[Vertex]],Vertices[],MATCH("ID",Vertices[[#Headers],[Vertex]:[Top Word Pairs in Comment by Salience]],0),FALSE)</f>
        <v>623</v>
      </c>
    </row>
    <row r="132" spans="1:3" ht="15">
      <c r="A132" s="81" t="s">
        <v>2668</v>
      </c>
      <c r="B132" s="83" t="s">
        <v>819</v>
      </c>
      <c r="C132" s="80">
        <f>VLOOKUP(GroupVertices[[#This Row],[Vertex]],Vertices[],MATCH("ID",Vertices[[#Headers],[Vertex]:[Top Word Pairs in Comment by Salience]],0),FALSE)</f>
        <v>622</v>
      </c>
    </row>
    <row r="133" spans="1:3" ht="15">
      <c r="A133" s="81" t="s">
        <v>2668</v>
      </c>
      <c r="B133" s="83" t="s">
        <v>818</v>
      </c>
      <c r="C133" s="80">
        <f>VLOOKUP(GroupVertices[[#This Row],[Vertex]],Vertices[],MATCH("ID",Vertices[[#Headers],[Vertex]:[Top Word Pairs in Comment by Salience]],0),FALSE)</f>
        <v>621</v>
      </c>
    </row>
    <row r="134" spans="1:3" ht="15">
      <c r="A134" s="81" t="s">
        <v>2668</v>
      </c>
      <c r="B134" s="83" t="s">
        <v>817</v>
      </c>
      <c r="C134" s="80">
        <f>VLOOKUP(GroupVertices[[#This Row],[Vertex]],Vertices[],MATCH("ID",Vertices[[#Headers],[Vertex]:[Top Word Pairs in Comment by Salience]],0),FALSE)</f>
        <v>620</v>
      </c>
    </row>
    <row r="135" spans="1:3" ht="15">
      <c r="A135" s="81" t="s">
        <v>2668</v>
      </c>
      <c r="B135" s="83" t="s">
        <v>816</v>
      </c>
      <c r="C135" s="80">
        <f>VLOOKUP(GroupVertices[[#This Row],[Vertex]],Vertices[],MATCH("ID",Vertices[[#Headers],[Vertex]:[Top Word Pairs in Comment by Salience]],0),FALSE)</f>
        <v>619</v>
      </c>
    </row>
    <row r="136" spans="1:3" ht="15">
      <c r="A136" s="81" t="s">
        <v>2668</v>
      </c>
      <c r="B136" s="83" t="s">
        <v>815</v>
      </c>
      <c r="C136" s="80">
        <f>VLOOKUP(GroupVertices[[#This Row],[Vertex]],Vertices[],MATCH("ID",Vertices[[#Headers],[Vertex]:[Top Word Pairs in Comment by Salience]],0),FALSE)</f>
        <v>618</v>
      </c>
    </row>
    <row r="137" spans="1:3" ht="15">
      <c r="A137" s="81" t="s">
        <v>2668</v>
      </c>
      <c r="B137" s="83" t="s">
        <v>814</v>
      </c>
      <c r="C137" s="80">
        <f>VLOOKUP(GroupVertices[[#This Row],[Vertex]],Vertices[],MATCH("ID",Vertices[[#Headers],[Vertex]:[Top Word Pairs in Comment by Salience]],0),FALSE)</f>
        <v>617</v>
      </c>
    </row>
    <row r="138" spans="1:3" ht="15">
      <c r="A138" s="81" t="s">
        <v>2668</v>
      </c>
      <c r="B138" s="83" t="s">
        <v>813</v>
      </c>
      <c r="C138" s="80">
        <f>VLOOKUP(GroupVertices[[#This Row],[Vertex]],Vertices[],MATCH("ID",Vertices[[#Headers],[Vertex]:[Top Word Pairs in Comment by Salience]],0),FALSE)</f>
        <v>616</v>
      </c>
    </row>
    <row r="139" spans="1:3" ht="15">
      <c r="A139" s="81" t="s">
        <v>2668</v>
      </c>
      <c r="B139" s="83" t="s">
        <v>812</v>
      </c>
      <c r="C139" s="80">
        <f>VLOOKUP(GroupVertices[[#This Row],[Vertex]],Vertices[],MATCH("ID",Vertices[[#Headers],[Vertex]:[Top Word Pairs in Comment by Salience]],0),FALSE)</f>
        <v>615</v>
      </c>
    </row>
    <row r="140" spans="1:3" ht="15">
      <c r="A140" s="81" t="s">
        <v>2668</v>
      </c>
      <c r="B140" s="83" t="s">
        <v>811</v>
      </c>
      <c r="C140" s="80">
        <f>VLOOKUP(GroupVertices[[#This Row],[Vertex]],Vertices[],MATCH("ID",Vertices[[#Headers],[Vertex]:[Top Word Pairs in Comment by Salience]],0),FALSE)</f>
        <v>614</v>
      </c>
    </row>
    <row r="141" spans="1:3" ht="15">
      <c r="A141" s="81" t="s">
        <v>2668</v>
      </c>
      <c r="B141" s="83" t="s">
        <v>810</v>
      </c>
      <c r="C141" s="80">
        <f>VLOOKUP(GroupVertices[[#This Row],[Vertex]],Vertices[],MATCH("ID",Vertices[[#Headers],[Vertex]:[Top Word Pairs in Comment by Salience]],0),FALSE)</f>
        <v>613</v>
      </c>
    </row>
    <row r="142" spans="1:3" ht="15">
      <c r="A142" s="81" t="s">
        <v>2668</v>
      </c>
      <c r="B142" s="83" t="s">
        <v>809</v>
      </c>
      <c r="C142" s="80">
        <f>VLOOKUP(GroupVertices[[#This Row],[Vertex]],Vertices[],MATCH("ID",Vertices[[#Headers],[Vertex]:[Top Word Pairs in Comment by Salience]],0),FALSE)</f>
        <v>612</v>
      </c>
    </row>
    <row r="143" spans="1:3" ht="15">
      <c r="A143" s="81" t="s">
        <v>2668</v>
      </c>
      <c r="B143" s="83" t="s">
        <v>808</v>
      </c>
      <c r="C143" s="80">
        <f>VLOOKUP(GroupVertices[[#This Row],[Vertex]],Vertices[],MATCH("ID",Vertices[[#Headers],[Vertex]:[Top Word Pairs in Comment by Salience]],0),FALSE)</f>
        <v>611</v>
      </c>
    </row>
    <row r="144" spans="1:3" ht="15">
      <c r="A144" s="81" t="s">
        <v>2668</v>
      </c>
      <c r="B144" s="83" t="s">
        <v>807</v>
      </c>
      <c r="C144" s="80">
        <f>VLOOKUP(GroupVertices[[#This Row],[Vertex]],Vertices[],MATCH("ID",Vertices[[#Headers],[Vertex]:[Top Word Pairs in Comment by Salience]],0),FALSE)</f>
        <v>610</v>
      </c>
    </row>
    <row r="145" spans="1:3" ht="15">
      <c r="A145" s="81" t="s">
        <v>2668</v>
      </c>
      <c r="B145" s="83" t="s">
        <v>806</v>
      </c>
      <c r="C145" s="80">
        <f>VLOOKUP(GroupVertices[[#This Row],[Vertex]],Vertices[],MATCH("ID",Vertices[[#Headers],[Vertex]:[Top Word Pairs in Comment by Salience]],0),FALSE)</f>
        <v>609</v>
      </c>
    </row>
    <row r="146" spans="1:3" ht="15">
      <c r="A146" s="81" t="s">
        <v>2668</v>
      </c>
      <c r="B146" s="83" t="s">
        <v>805</v>
      </c>
      <c r="C146" s="80">
        <f>VLOOKUP(GroupVertices[[#This Row],[Vertex]],Vertices[],MATCH("ID",Vertices[[#Headers],[Vertex]:[Top Word Pairs in Comment by Salience]],0),FALSE)</f>
        <v>608</v>
      </c>
    </row>
    <row r="147" spans="1:3" ht="15">
      <c r="A147" s="81" t="s">
        <v>2668</v>
      </c>
      <c r="B147" s="83" t="s">
        <v>804</v>
      </c>
      <c r="C147" s="80">
        <f>VLOOKUP(GroupVertices[[#This Row],[Vertex]],Vertices[],MATCH("ID",Vertices[[#Headers],[Vertex]:[Top Word Pairs in Comment by Salience]],0),FALSE)</f>
        <v>607</v>
      </c>
    </row>
    <row r="148" spans="1:3" ht="15">
      <c r="A148" s="81" t="s">
        <v>2668</v>
      </c>
      <c r="B148" s="83" t="s">
        <v>803</v>
      </c>
      <c r="C148" s="80">
        <f>VLOOKUP(GroupVertices[[#This Row],[Vertex]],Vertices[],MATCH("ID",Vertices[[#Headers],[Vertex]:[Top Word Pairs in Comment by Salience]],0),FALSE)</f>
        <v>606</v>
      </c>
    </row>
    <row r="149" spans="1:3" ht="15">
      <c r="A149" s="81" t="s">
        <v>2668</v>
      </c>
      <c r="B149" s="83" t="s">
        <v>802</v>
      </c>
      <c r="C149" s="80">
        <f>VLOOKUP(GroupVertices[[#This Row],[Vertex]],Vertices[],MATCH("ID",Vertices[[#Headers],[Vertex]:[Top Word Pairs in Comment by Salience]],0),FALSE)</f>
        <v>605</v>
      </c>
    </row>
    <row r="150" spans="1:3" ht="15">
      <c r="A150" s="81" t="s">
        <v>2668</v>
      </c>
      <c r="B150" s="83" t="s">
        <v>801</v>
      </c>
      <c r="C150" s="80">
        <f>VLOOKUP(GroupVertices[[#This Row],[Vertex]],Vertices[],MATCH("ID",Vertices[[#Headers],[Vertex]:[Top Word Pairs in Comment by Salience]],0),FALSE)</f>
        <v>604</v>
      </c>
    </row>
    <row r="151" spans="1:3" ht="15">
      <c r="A151" s="81" t="s">
        <v>2668</v>
      </c>
      <c r="B151" s="83" t="s">
        <v>800</v>
      </c>
      <c r="C151" s="80">
        <f>VLOOKUP(GroupVertices[[#This Row],[Vertex]],Vertices[],MATCH("ID",Vertices[[#Headers],[Vertex]:[Top Word Pairs in Comment by Salience]],0),FALSE)</f>
        <v>603</v>
      </c>
    </row>
    <row r="152" spans="1:3" ht="15">
      <c r="A152" s="81" t="s">
        <v>2668</v>
      </c>
      <c r="B152" s="83" t="s">
        <v>799</v>
      </c>
      <c r="C152" s="80">
        <f>VLOOKUP(GroupVertices[[#This Row],[Vertex]],Vertices[],MATCH("ID",Vertices[[#Headers],[Vertex]:[Top Word Pairs in Comment by Salience]],0),FALSE)</f>
        <v>602</v>
      </c>
    </row>
    <row r="153" spans="1:3" ht="15">
      <c r="A153" s="81" t="s">
        <v>2668</v>
      </c>
      <c r="B153" s="83" t="s">
        <v>797</v>
      </c>
      <c r="C153" s="80">
        <f>VLOOKUP(GroupVertices[[#This Row],[Vertex]],Vertices[],MATCH("ID",Vertices[[#Headers],[Vertex]:[Top Word Pairs in Comment by Salience]],0),FALSE)</f>
        <v>601</v>
      </c>
    </row>
    <row r="154" spans="1:3" ht="15">
      <c r="A154" s="81" t="s">
        <v>2668</v>
      </c>
      <c r="B154" s="83" t="s">
        <v>798</v>
      </c>
      <c r="C154" s="80">
        <f>VLOOKUP(GroupVertices[[#This Row],[Vertex]],Vertices[],MATCH("ID",Vertices[[#Headers],[Vertex]:[Top Word Pairs in Comment by Salience]],0),FALSE)</f>
        <v>600</v>
      </c>
    </row>
    <row r="155" spans="1:3" ht="15">
      <c r="A155" s="81" t="s">
        <v>2668</v>
      </c>
      <c r="B155" s="83" t="s">
        <v>742</v>
      </c>
      <c r="C155" s="80">
        <f>VLOOKUP(GroupVertices[[#This Row],[Vertex]],Vertices[],MATCH("ID",Vertices[[#Headers],[Vertex]:[Top Word Pairs in Comment by Salience]],0),FALSE)</f>
        <v>546</v>
      </c>
    </row>
    <row r="156" spans="1:3" ht="15">
      <c r="A156" s="81" t="s">
        <v>2668</v>
      </c>
      <c r="B156" s="83" t="s">
        <v>796</v>
      </c>
      <c r="C156" s="80">
        <f>VLOOKUP(GroupVertices[[#This Row],[Vertex]],Vertices[],MATCH("ID",Vertices[[#Headers],[Vertex]:[Top Word Pairs in Comment by Salience]],0),FALSE)</f>
        <v>599</v>
      </c>
    </row>
    <row r="157" spans="1:3" ht="15">
      <c r="A157" s="81" t="s">
        <v>2668</v>
      </c>
      <c r="B157" s="83" t="s">
        <v>795</v>
      </c>
      <c r="C157" s="80">
        <f>VLOOKUP(GroupVertices[[#This Row],[Vertex]],Vertices[],MATCH("ID",Vertices[[#Headers],[Vertex]:[Top Word Pairs in Comment by Salience]],0),FALSE)</f>
        <v>598</v>
      </c>
    </row>
    <row r="158" spans="1:3" ht="15">
      <c r="A158" s="81" t="s">
        <v>2668</v>
      </c>
      <c r="B158" s="83" t="s">
        <v>794</v>
      </c>
      <c r="C158" s="80">
        <f>VLOOKUP(GroupVertices[[#This Row],[Vertex]],Vertices[],MATCH("ID",Vertices[[#Headers],[Vertex]:[Top Word Pairs in Comment by Salience]],0),FALSE)</f>
        <v>597</v>
      </c>
    </row>
    <row r="159" spans="1:3" ht="15">
      <c r="A159" s="81" t="s">
        <v>2668</v>
      </c>
      <c r="B159" s="83" t="s">
        <v>793</v>
      </c>
      <c r="C159" s="80">
        <f>VLOOKUP(GroupVertices[[#This Row],[Vertex]],Vertices[],MATCH("ID",Vertices[[#Headers],[Vertex]:[Top Word Pairs in Comment by Salience]],0),FALSE)</f>
        <v>596</v>
      </c>
    </row>
    <row r="160" spans="1:3" ht="15">
      <c r="A160" s="81" t="s">
        <v>2668</v>
      </c>
      <c r="B160" s="83" t="s">
        <v>792</v>
      </c>
      <c r="C160" s="80">
        <f>VLOOKUP(GroupVertices[[#This Row],[Vertex]],Vertices[],MATCH("ID",Vertices[[#Headers],[Vertex]:[Top Word Pairs in Comment by Salience]],0),FALSE)</f>
        <v>595</v>
      </c>
    </row>
    <row r="161" spans="1:3" ht="15">
      <c r="A161" s="81" t="s">
        <v>2668</v>
      </c>
      <c r="B161" s="83" t="s">
        <v>791</v>
      </c>
      <c r="C161" s="80">
        <f>VLOOKUP(GroupVertices[[#This Row],[Vertex]],Vertices[],MATCH("ID",Vertices[[#Headers],[Vertex]:[Top Word Pairs in Comment by Salience]],0),FALSE)</f>
        <v>594</v>
      </c>
    </row>
    <row r="162" spans="1:3" ht="15">
      <c r="A162" s="81" t="s">
        <v>2668</v>
      </c>
      <c r="B162" s="83" t="s">
        <v>781</v>
      </c>
      <c r="C162" s="80">
        <f>VLOOKUP(GroupVertices[[#This Row],[Vertex]],Vertices[],MATCH("ID",Vertices[[#Headers],[Vertex]:[Top Word Pairs in Comment by Salience]],0),FALSE)</f>
        <v>584</v>
      </c>
    </row>
    <row r="163" spans="1:3" ht="15">
      <c r="A163" s="81" t="s">
        <v>2668</v>
      </c>
      <c r="B163" s="83" t="s">
        <v>790</v>
      </c>
      <c r="C163" s="80">
        <f>VLOOKUP(GroupVertices[[#This Row],[Vertex]],Vertices[],MATCH("ID",Vertices[[#Headers],[Vertex]:[Top Word Pairs in Comment by Salience]],0),FALSE)</f>
        <v>593</v>
      </c>
    </row>
    <row r="164" spans="1:3" ht="15">
      <c r="A164" s="81" t="s">
        <v>2668</v>
      </c>
      <c r="B164" s="83" t="s">
        <v>783</v>
      </c>
      <c r="C164" s="80">
        <f>VLOOKUP(GroupVertices[[#This Row],[Vertex]],Vertices[],MATCH("ID",Vertices[[#Headers],[Vertex]:[Top Word Pairs in Comment by Salience]],0),FALSE)</f>
        <v>586</v>
      </c>
    </row>
    <row r="165" spans="1:3" ht="15">
      <c r="A165" s="81" t="s">
        <v>2668</v>
      </c>
      <c r="B165" s="83" t="s">
        <v>780</v>
      </c>
      <c r="C165" s="80">
        <f>VLOOKUP(GroupVertices[[#This Row],[Vertex]],Vertices[],MATCH("ID",Vertices[[#Headers],[Vertex]:[Top Word Pairs in Comment by Salience]],0),FALSE)</f>
        <v>583</v>
      </c>
    </row>
    <row r="166" spans="1:3" ht="15">
      <c r="A166" s="81" t="s">
        <v>2668</v>
      </c>
      <c r="B166" s="83" t="s">
        <v>789</v>
      </c>
      <c r="C166" s="80">
        <f>VLOOKUP(GroupVertices[[#This Row],[Vertex]],Vertices[],MATCH("ID",Vertices[[#Headers],[Vertex]:[Top Word Pairs in Comment by Salience]],0),FALSE)</f>
        <v>592</v>
      </c>
    </row>
    <row r="167" spans="1:3" ht="15">
      <c r="A167" s="81" t="s">
        <v>2668</v>
      </c>
      <c r="B167" s="83" t="s">
        <v>788</v>
      </c>
      <c r="C167" s="80">
        <f>VLOOKUP(GroupVertices[[#This Row],[Vertex]],Vertices[],MATCH("ID",Vertices[[#Headers],[Vertex]:[Top Word Pairs in Comment by Salience]],0),FALSE)</f>
        <v>591</v>
      </c>
    </row>
    <row r="168" spans="1:3" ht="15">
      <c r="A168" s="81" t="s">
        <v>2668</v>
      </c>
      <c r="B168" s="83" t="s">
        <v>787</v>
      </c>
      <c r="C168" s="80">
        <f>VLOOKUP(GroupVertices[[#This Row],[Vertex]],Vertices[],MATCH("ID",Vertices[[#Headers],[Vertex]:[Top Word Pairs in Comment by Salience]],0),FALSE)</f>
        <v>590</v>
      </c>
    </row>
    <row r="169" spans="1:3" ht="15">
      <c r="A169" s="81" t="s">
        <v>2668</v>
      </c>
      <c r="B169" s="83" t="s">
        <v>785</v>
      </c>
      <c r="C169" s="80">
        <f>VLOOKUP(GroupVertices[[#This Row],[Vertex]],Vertices[],MATCH("ID",Vertices[[#Headers],[Vertex]:[Top Word Pairs in Comment by Salience]],0),FALSE)</f>
        <v>588</v>
      </c>
    </row>
    <row r="170" spans="1:3" ht="15">
      <c r="A170" s="81" t="s">
        <v>2668</v>
      </c>
      <c r="B170" s="83" t="s">
        <v>784</v>
      </c>
      <c r="C170" s="80">
        <f>VLOOKUP(GroupVertices[[#This Row],[Vertex]],Vertices[],MATCH("ID",Vertices[[#Headers],[Vertex]:[Top Word Pairs in Comment by Salience]],0),FALSE)</f>
        <v>587</v>
      </c>
    </row>
    <row r="171" spans="1:3" ht="15">
      <c r="A171" s="81" t="s">
        <v>2668</v>
      </c>
      <c r="B171" s="83" t="s">
        <v>757</v>
      </c>
      <c r="C171" s="80">
        <f>VLOOKUP(GroupVertices[[#This Row],[Vertex]],Vertices[],MATCH("ID",Vertices[[#Headers],[Vertex]:[Top Word Pairs in Comment by Salience]],0),FALSE)</f>
        <v>560</v>
      </c>
    </row>
    <row r="172" spans="1:3" ht="15">
      <c r="A172" s="81" t="s">
        <v>2668</v>
      </c>
      <c r="B172" s="83" t="s">
        <v>782</v>
      </c>
      <c r="C172" s="80">
        <f>VLOOKUP(GroupVertices[[#This Row],[Vertex]],Vertices[],MATCH("ID",Vertices[[#Headers],[Vertex]:[Top Word Pairs in Comment by Salience]],0),FALSE)</f>
        <v>585</v>
      </c>
    </row>
    <row r="173" spans="1:3" ht="15">
      <c r="A173" s="81" t="s">
        <v>2668</v>
      </c>
      <c r="B173" s="83" t="s">
        <v>779</v>
      </c>
      <c r="C173" s="80">
        <f>VLOOKUP(GroupVertices[[#This Row],[Vertex]],Vertices[],MATCH("ID",Vertices[[#Headers],[Vertex]:[Top Word Pairs in Comment by Salience]],0),FALSE)</f>
        <v>582</v>
      </c>
    </row>
    <row r="174" spans="1:3" ht="15">
      <c r="A174" s="81" t="s">
        <v>2668</v>
      </c>
      <c r="B174" s="83" t="s">
        <v>778</v>
      </c>
      <c r="C174" s="80">
        <f>VLOOKUP(GroupVertices[[#This Row],[Vertex]],Vertices[],MATCH("ID",Vertices[[#Headers],[Vertex]:[Top Word Pairs in Comment by Salience]],0),FALSE)</f>
        <v>581</v>
      </c>
    </row>
    <row r="175" spans="1:3" ht="15">
      <c r="A175" s="81" t="s">
        <v>2668</v>
      </c>
      <c r="B175" s="83" t="s">
        <v>777</v>
      </c>
      <c r="C175" s="80">
        <f>VLOOKUP(GroupVertices[[#This Row],[Vertex]],Vertices[],MATCH("ID",Vertices[[#Headers],[Vertex]:[Top Word Pairs in Comment by Salience]],0),FALSE)</f>
        <v>580</v>
      </c>
    </row>
    <row r="176" spans="1:3" ht="15">
      <c r="A176" s="81" t="s">
        <v>2668</v>
      </c>
      <c r="B176" s="83" t="s">
        <v>776</v>
      </c>
      <c r="C176" s="80">
        <f>VLOOKUP(GroupVertices[[#This Row],[Vertex]],Vertices[],MATCH("ID",Vertices[[#Headers],[Vertex]:[Top Word Pairs in Comment by Salience]],0),FALSE)</f>
        <v>579</v>
      </c>
    </row>
    <row r="177" spans="1:3" ht="15">
      <c r="A177" s="81" t="s">
        <v>2668</v>
      </c>
      <c r="B177" s="83" t="s">
        <v>775</v>
      </c>
      <c r="C177" s="80">
        <f>VLOOKUP(GroupVertices[[#This Row],[Vertex]],Vertices[],MATCH("ID",Vertices[[#Headers],[Vertex]:[Top Word Pairs in Comment by Salience]],0),FALSE)</f>
        <v>578</v>
      </c>
    </row>
    <row r="178" spans="1:3" ht="15">
      <c r="A178" s="81" t="s">
        <v>2668</v>
      </c>
      <c r="B178" s="83" t="s">
        <v>774</v>
      </c>
      <c r="C178" s="80">
        <f>VLOOKUP(GroupVertices[[#This Row],[Vertex]],Vertices[],MATCH("ID",Vertices[[#Headers],[Vertex]:[Top Word Pairs in Comment by Salience]],0),FALSE)</f>
        <v>577</v>
      </c>
    </row>
    <row r="179" spans="1:3" ht="15">
      <c r="A179" s="81" t="s">
        <v>2668</v>
      </c>
      <c r="B179" s="83" t="s">
        <v>773</v>
      </c>
      <c r="C179" s="80">
        <f>VLOOKUP(GroupVertices[[#This Row],[Vertex]],Vertices[],MATCH("ID",Vertices[[#Headers],[Vertex]:[Top Word Pairs in Comment by Salience]],0),FALSE)</f>
        <v>576</v>
      </c>
    </row>
    <row r="180" spans="1:3" ht="15">
      <c r="A180" s="81" t="s">
        <v>2668</v>
      </c>
      <c r="B180" s="83" t="s">
        <v>772</v>
      </c>
      <c r="C180" s="80">
        <f>VLOOKUP(GroupVertices[[#This Row],[Vertex]],Vertices[],MATCH("ID",Vertices[[#Headers],[Vertex]:[Top Word Pairs in Comment by Salience]],0),FALSE)</f>
        <v>575</v>
      </c>
    </row>
    <row r="181" spans="1:3" ht="15">
      <c r="A181" s="81" t="s">
        <v>2668</v>
      </c>
      <c r="B181" s="83" t="s">
        <v>771</v>
      </c>
      <c r="C181" s="80">
        <f>VLOOKUP(GroupVertices[[#This Row],[Vertex]],Vertices[],MATCH("ID",Vertices[[#Headers],[Vertex]:[Top Word Pairs in Comment by Salience]],0),FALSE)</f>
        <v>574</v>
      </c>
    </row>
    <row r="182" spans="1:3" ht="15">
      <c r="A182" s="81" t="s">
        <v>2668</v>
      </c>
      <c r="B182" s="83" t="s">
        <v>770</v>
      </c>
      <c r="C182" s="80">
        <f>VLOOKUP(GroupVertices[[#This Row],[Vertex]],Vertices[],MATCH("ID",Vertices[[#Headers],[Vertex]:[Top Word Pairs in Comment by Salience]],0),FALSE)</f>
        <v>573</v>
      </c>
    </row>
    <row r="183" spans="1:3" ht="15">
      <c r="A183" s="81" t="s">
        <v>2668</v>
      </c>
      <c r="B183" s="83" t="s">
        <v>769</v>
      </c>
      <c r="C183" s="80">
        <f>VLOOKUP(GroupVertices[[#This Row],[Vertex]],Vertices[],MATCH("ID",Vertices[[#Headers],[Vertex]:[Top Word Pairs in Comment by Salience]],0),FALSE)</f>
        <v>572</v>
      </c>
    </row>
    <row r="184" spans="1:3" ht="15">
      <c r="A184" s="81" t="s">
        <v>2668</v>
      </c>
      <c r="B184" s="83" t="s">
        <v>768</v>
      </c>
      <c r="C184" s="80">
        <f>VLOOKUP(GroupVertices[[#This Row],[Vertex]],Vertices[],MATCH("ID",Vertices[[#Headers],[Vertex]:[Top Word Pairs in Comment by Salience]],0),FALSE)</f>
        <v>571</v>
      </c>
    </row>
    <row r="185" spans="1:3" ht="15">
      <c r="A185" s="81" t="s">
        <v>2668</v>
      </c>
      <c r="B185" s="83" t="s">
        <v>767</v>
      </c>
      <c r="C185" s="80">
        <f>VLOOKUP(GroupVertices[[#This Row],[Vertex]],Vertices[],MATCH("ID",Vertices[[#Headers],[Vertex]:[Top Word Pairs in Comment by Salience]],0),FALSE)</f>
        <v>570</v>
      </c>
    </row>
    <row r="186" spans="1:3" ht="15">
      <c r="A186" s="81" t="s">
        <v>2668</v>
      </c>
      <c r="B186" s="83" t="s">
        <v>766</v>
      </c>
      <c r="C186" s="80">
        <f>VLOOKUP(GroupVertices[[#This Row],[Vertex]],Vertices[],MATCH("ID",Vertices[[#Headers],[Vertex]:[Top Word Pairs in Comment by Salience]],0),FALSE)</f>
        <v>569</v>
      </c>
    </row>
    <row r="187" spans="1:3" ht="15">
      <c r="A187" s="81" t="s">
        <v>2668</v>
      </c>
      <c r="B187" s="83" t="s">
        <v>765</v>
      </c>
      <c r="C187" s="80">
        <f>VLOOKUP(GroupVertices[[#This Row],[Vertex]],Vertices[],MATCH("ID",Vertices[[#Headers],[Vertex]:[Top Word Pairs in Comment by Salience]],0),FALSE)</f>
        <v>568</v>
      </c>
    </row>
    <row r="188" spans="1:3" ht="15">
      <c r="A188" s="81" t="s">
        <v>2668</v>
      </c>
      <c r="B188" s="83" t="s">
        <v>764</v>
      </c>
      <c r="C188" s="80">
        <f>VLOOKUP(GroupVertices[[#This Row],[Vertex]],Vertices[],MATCH("ID",Vertices[[#Headers],[Vertex]:[Top Word Pairs in Comment by Salience]],0),FALSE)</f>
        <v>567</v>
      </c>
    </row>
    <row r="189" spans="1:3" ht="15">
      <c r="A189" s="81" t="s">
        <v>2668</v>
      </c>
      <c r="B189" s="83" t="s">
        <v>763</v>
      </c>
      <c r="C189" s="80">
        <f>VLOOKUP(GroupVertices[[#This Row],[Vertex]],Vertices[],MATCH("ID",Vertices[[#Headers],[Vertex]:[Top Word Pairs in Comment by Salience]],0),FALSE)</f>
        <v>566</v>
      </c>
    </row>
    <row r="190" spans="1:3" ht="15">
      <c r="A190" s="81" t="s">
        <v>2668</v>
      </c>
      <c r="B190" s="83" t="s">
        <v>762</v>
      </c>
      <c r="C190" s="80">
        <f>VLOOKUP(GroupVertices[[#This Row],[Vertex]],Vertices[],MATCH("ID",Vertices[[#Headers],[Vertex]:[Top Word Pairs in Comment by Salience]],0),FALSE)</f>
        <v>565</v>
      </c>
    </row>
    <row r="191" spans="1:3" ht="15">
      <c r="A191" s="81" t="s">
        <v>2668</v>
      </c>
      <c r="B191" s="83" t="s">
        <v>761</v>
      </c>
      <c r="C191" s="80">
        <f>VLOOKUP(GroupVertices[[#This Row],[Vertex]],Vertices[],MATCH("ID",Vertices[[#Headers],[Vertex]:[Top Word Pairs in Comment by Salience]],0),FALSE)</f>
        <v>564</v>
      </c>
    </row>
    <row r="192" spans="1:3" ht="15">
      <c r="A192" s="81" t="s">
        <v>2668</v>
      </c>
      <c r="B192" s="83" t="s">
        <v>760</v>
      </c>
      <c r="C192" s="80">
        <f>VLOOKUP(GroupVertices[[#This Row],[Vertex]],Vertices[],MATCH("ID",Vertices[[#Headers],[Vertex]:[Top Word Pairs in Comment by Salience]],0),FALSE)</f>
        <v>563</v>
      </c>
    </row>
    <row r="193" spans="1:3" ht="15">
      <c r="A193" s="81" t="s">
        <v>2668</v>
      </c>
      <c r="B193" s="83" t="s">
        <v>759</v>
      </c>
      <c r="C193" s="80">
        <f>VLOOKUP(GroupVertices[[#This Row],[Vertex]],Vertices[],MATCH("ID",Vertices[[#Headers],[Vertex]:[Top Word Pairs in Comment by Salience]],0),FALSE)</f>
        <v>562</v>
      </c>
    </row>
    <row r="194" spans="1:3" ht="15">
      <c r="A194" s="81" t="s">
        <v>2668</v>
      </c>
      <c r="B194" s="83" t="s">
        <v>758</v>
      </c>
      <c r="C194" s="80">
        <f>VLOOKUP(GroupVertices[[#This Row],[Vertex]],Vertices[],MATCH("ID",Vertices[[#Headers],[Vertex]:[Top Word Pairs in Comment by Salience]],0),FALSE)</f>
        <v>561</v>
      </c>
    </row>
    <row r="195" spans="1:3" ht="15">
      <c r="A195" s="81" t="s">
        <v>2668</v>
      </c>
      <c r="B195" s="83" t="s">
        <v>756</v>
      </c>
      <c r="C195" s="80">
        <f>VLOOKUP(GroupVertices[[#This Row],[Vertex]],Vertices[],MATCH("ID",Vertices[[#Headers],[Vertex]:[Top Word Pairs in Comment by Salience]],0),FALSE)</f>
        <v>559</v>
      </c>
    </row>
    <row r="196" spans="1:3" ht="15">
      <c r="A196" s="81" t="s">
        <v>2668</v>
      </c>
      <c r="B196" s="83" t="s">
        <v>755</v>
      </c>
      <c r="C196" s="80">
        <f>VLOOKUP(GroupVertices[[#This Row],[Vertex]],Vertices[],MATCH("ID",Vertices[[#Headers],[Vertex]:[Top Word Pairs in Comment by Salience]],0),FALSE)</f>
        <v>558</v>
      </c>
    </row>
    <row r="197" spans="1:3" ht="15">
      <c r="A197" s="81" t="s">
        <v>2668</v>
      </c>
      <c r="B197" s="83" t="s">
        <v>754</v>
      </c>
      <c r="C197" s="80">
        <f>VLOOKUP(GroupVertices[[#This Row],[Vertex]],Vertices[],MATCH("ID",Vertices[[#Headers],[Vertex]:[Top Word Pairs in Comment by Salience]],0),FALSE)</f>
        <v>557</v>
      </c>
    </row>
    <row r="198" spans="1:3" ht="15">
      <c r="A198" s="81" t="s">
        <v>2668</v>
      </c>
      <c r="B198" s="83" t="s">
        <v>753</v>
      </c>
      <c r="C198" s="80">
        <f>VLOOKUP(GroupVertices[[#This Row],[Vertex]],Vertices[],MATCH("ID",Vertices[[#Headers],[Vertex]:[Top Word Pairs in Comment by Salience]],0),FALSE)</f>
        <v>556</v>
      </c>
    </row>
    <row r="199" spans="1:3" ht="15">
      <c r="A199" s="81" t="s">
        <v>2668</v>
      </c>
      <c r="B199" s="83" t="s">
        <v>752</v>
      </c>
      <c r="C199" s="80">
        <f>VLOOKUP(GroupVertices[[#This Row],[Vertex]],Vertices[],MATCH("ID",Vertices[[#Headers],[Vertex]:[Top Word Pairs in Comment by Salience]],0),FALSE)</f>
        <v>555</v>
      </c>
    </row>
    <row r="200" spans="1:3" ht="15">
      <c r="A200" s="81" t="s">
        <v>2668</v>
      </c>
      <c r="B200" s="83" t="s">
        <v>751</v>
      </c>
      <c r="C200" s="80">
        <f>VLOOKUP(GroupVertices[[#This Row],[Vertex]],Vertices[],MATCH("ID",Vertices[[#Headers],[Vertex]:[Top Word Pairs in Comment by Salience]],0),FALSE)</f>
        <v>554</v>
      </c>
    </row>
    <row r="201" spans="1:3" ht="15">
      <c r="A201" s="81" t="s">
        <v>2668</v>
      </c>
      <c r="B201" s="83" t="s">
        <v>750</v>
      </c>
      <c r="C201" s="80">
        <f>VLOOKUP(GroupVertices[[#This Row],[Vertex]],Vertices[],MATCH("ID",Vertices[[#Headers],[Vertex]:[Top Word Pairs in Comment by Salience]],0),FALSE)</f>
        <v>553</v>
      </c>
    </row>
    <row r="202" spans="1:3" ht="15">
      <c r="A202" s="81" t="s">
        <v>2668</v>
      </c>
      <c r="B202" s="83" t="s">
        <v>748</v>
      </c>
      <c r="C202" s="80">
        <f>VLOOKUP(GroupVertices[[#This Row],[Vertex]],Vertices[],MATCH("ID",Vertices[[#Headers],[Vertex]:[Top Word Pairs in Comment by Salience]],0),FALSE)</f>
        <v>551</v>
      </c>
    </row>
    <row r="203" spans="1:3" ht="15">
      <c r="A203" s="81" t="s">
        <v>2668</v>
      </c>
      <c r="B203" s="83" t="s">
        <v>749</v>
      </c>
      <c r="C203" s="80">
        <f>VLOOKUP(GroupVertices[[#This Row],[Vertex]],Vertices[],MATCH("ID",Vertices[[#Headers],[Vertex]:[Top Word Pairs in Comment by Salience]],0),FALSE)</f>
        <v>552</v>
      </c>
    </row>
    <row r="204" spans="1:3" ht="15">
      <c r="A204" s="81" t="s">
        <v>2668</v>
      </c>
      <c r="B204" s="83" t="s">
        <v>746</v>
      </c>
      <c r="C204" s="80">
        <f>VLOOKUP(GroupVertices[[#This Row],[Vertex]],Vertices[],MATCH("ID",Vertices[[#Headers],[Vertex]:[Top Word Pairs in Comment by Salience]],0),FALSE)</f>
        <v>550</v>
      </c>
    </row>
    <row r="205" spans="1:3" ht="15">
      <c r="A205" s="81" t="s">
        <v>2668</v>
      </c>
      <c r="B205" s="83" t="s">
        <v>747</v>
      </c>
      <c r="C205" s="80">
        <f>VLOOKUP(GroupVertices[[#This Row],[Vertex]],Vertices[],MATCH("ID",Vertices[[#Headers],[Vertex]:[Top Word Pairs in Comment by Salience]],0),FALSE)</f>
        <v>549</v>
      </c>
    </row>
    <row r="206" spans="1:3" ht="15">
      <c r="A206" s="81" t="s">
        <v>2668</v>
      </c>
      <c r="B206" s="83" t="s">
        <v>745</v>
      </c>
      <c r="C206" s="80">
        <f>VLOOKUP(GroupVertices[[#This Row],[Vertex]],Vertices[],MATCH("ID",Vertices[[#Headers],[Vertex]:[Top Word Pairs in Comment by Salience]],0),FALSE)</f>
        <v>548</v>
      </c>
    </row>
    <row r="207" spans="1:3" ht="15">
      <c r="A207" s="81" t="s">
        <v>2668</v>
      </c>
      <c r="B207" s="83" t="s">
        <v>744</v>
      </c>
      <c r="C207" s="80">
        <f>VLOOKUP(GroupVertices[[#This Row],[Vertex]],Vertices[],MATCH("ID",Vertices[[#Headers],[Vertex]:[Top Word Pairs in Comment by Salience]],0),FALSE)</f>
        <v>547</v>
      </c>
    </row>
    <row r="208" spans="1:3" ht="15">
      <c r="A208" s="81" t="s">
        <v>2668</v>
      </c>
      <c r="B208" s="83" t="s">
        <v>743</v>
      </c>
      <c r="C208" s="80">
        <f>VLOOKUP(GroupVertices[[#This Row],[Vertex]],Vertices[],MATCH("ID",Vertices[[#Headers],[Vertex]:[Top Word Pairs in Comment by Salience]],0),FALSE)</f>
        <v>545</v>
      </c>
    </row>
    <row r="209" spans="1:3" ht="15">
      <c r="A209" s="81" t="s">
        <v>2668</v>
      </c>
      <c r="B209" s="83" t="s">
        <v>735</v>
      </c>
      <c r="C209" s="80">
        <f>VLOOKUP(GroupVertices[[#This Row],[Vertex]],Vertices[],MATCH("ID",Vertices[[#Headers],[Vertex]:[Top Word Pairs in Comment by Salience]],0),FALSE)</f>
        <v>538</v>
      </c>
    </row>
    <row r="210" spans="1:3" ht="15">
      <c r="A210" s="81" t="s">
        <v>2668</v>
      </c>
      <c r="B210" s="83" t="s">
        <v>741</v>
      </c>
      <c r="C210" s="80">
        <f>VLOOKUP(GroupVertices[[#This Row],[Vertex]],Vertices[],MATCH("ID",Vertices[[#Headers],[Vertex]:[Top Word Pairs in Comment by Salience]],0),FALSE)</f>
        <v>544</v>
      </c>
    </row>
    <row r="211" spans="1:3" ht="15">
      <c r="A211" s="81" t="s">
        <v>2668</v>
      </c>
      <c r="B211" s="83" t="s">
        <v>740</v>
      </c>
      <c r="C211" s="80">
        <f>VLOOKUP(GroupVertices[[#This Row],[Vertex]],Vertices[],MATCH("ID",Vertices[[#Headers],[Vertex]:[Top Word Pairs in Comment by Salience]],0),FALSE)</f>
        <v>543</v>
      </c>
    </row>
    <row r="212" spans="1:3" ht="15">
      <c r="A212" s="81" t="s">
        <v>2668</v>
      </c>
      <c r="B212" s="83" t="s">
        <v>739</v>
      </c>
      <c r="C212" s="80">
        <f>VLOOKUP(GroupVertices[[#This Row],[Vertex]],Vertices[],MATCH("ID",Vertices[[#Headers],[Vertex]:[Top Word Pairs in Comment by Salience]],0),FALSE)</f>
        <v>542</v>
      </c>
    </row>
    <row r="213" spans="1:3" ht="15">
      <c r="A213" s="81" t="s">
        <v>2668</v>
      </c>
      <c r="B213" s="83" t="s">
        <v>738</v>
      </c>
      <c r="C213" s="80">
        <f>VLOOKUP(GroupVertices[[#This Row],[Vertex]],Vertices[],MATCH("ID",Vertices[[#Headers],[Vertex]:[Top Word Pairs in Comment by Salience]],0),FALSE)</f>
        <v>541</v>
      </c>
    </row>
    <row r="214" spans="1:3" ht="15">
      <c r="A214" s="81" t="s">
        <v>2668</v>
      </c>
      <c r="B214" s="83" t="s">
        <v>736</v>
      </c>
      <c r="C214" s="80">
        <f>VLOOKUP(GroupVertices[[#This Row],[Vertex]],Vertices[],MATCH("ID",Vertices[[#Headers],[Vertex]:[Top Word Pairs in Comment by Salience]],0),FALSE)</f>
        <v>539</v>
      </c>
    </row>
    <row r="215" spans="1:3" ht="15">
      <c r="A215" s="81" t="s">
        <v>2668</v>
      </c>
      <c r="B215" s="83" t="s">
        <v>737</v>
      </c>
      <c r="C215" s="80">
        <f>VLOOKUP(GroupVertices[[#This Row],[Vertex]],Vertices[],MATCH("ID",Vertices[[#Headers],[Vertex]:[Top Word Pairs in Comment by Salience]],0),FALSE)</f>
        <v>537</v>
      </c>
    </row>
    <row r="216" spans="1:3" ht="15">
      <c r="A216" s="81" t="s">
        <v>2668</v>
      </c>
      <c r="B216" s="83" t="s">
        <v>734</v>
      </c>
      <c r="C216" s="80">
        <f>VLOOKUP(GroupVertices[[#This Row],[Vertex]],Vertices[],MATCH("ID",Vertices[[#Headers],[Vertex]:[Top Word Pairs in Comment by Salience]],0),FALSE)</f>
        <v>536</v>
      </c>
    </row>
    <row r="217" spans="1:3" ht="15">
      <c r="A217" s="81" t="s">
        <v>2669</v>
      </c>
      <c r="B217" s="83" t="s">
        <v>786</v>
      </c>
      <c r="C217" s="80">
        <f>VLOOKUP(GroupVertices[[#This Row],[Vertex]],Vertices[],MATCH("ID",Vertices[[#Headers],[Vertex]:[Top Word Pairs in Comment by Salience]],0),FALSE)</f>
        <v>589</v>
      </c>
    </row>
    <row r="218" spans="1:3" ht="15">
      <c r="A218" s="81" t="s">
        <v>2669</v>
      </c>
      <c r="B218" s="83" t="s">
        <v>828</v>
      </c>
      <c r="C218" s="80">
        <f>VLOOKUP(GroupVertices[[#This Row],[Vertex]],Vertices[],MATCH("ID",Vertices[[#Headers],[Vertex]:[Top Word Pairs in Comment by Salience]],0),FALSE)</f>
        <v>66</v>
      </c>
    </row>
    <row r="219" spans="1:3" ht="15">
      <c r="A219" s="81" t="s">
        <v>2669</v>
      </c>
      <c r="B219" s="83" t="s">
        <v>711</v>
      </c>
      <c r="C219" s="80">
        <f>VLOOKUP(GroupVertices[[#This Row],[Vertex]],Vertices[],MATCH("ID",Vertices[[#Headers],[Vertex]:[Top Word Pairs in Comment by Salience]],0),FALSE)</f>
        <v>513</v>
      </c>
    </row>
    <row r="220" spans="1:3" ht="15">
      <c r="A220" s="81" t="s">
        <v>2669</v>
      </c>
      <c r="B220" s="83" t="s">
        <v>290</v>
      </c>
      <c r="C220" s="80">
        <f>VLOOKUP(GroupVertices[[#This Row],[Vertex]],Vertices[],MATCH("ID",Vertices[[#Headers],[Vertex]:[Top Word Pairs in Comment by Salience]],0),FALSE)</f>
        <v>84</v>
      </c>
    </row>
    <row r="221" spans="1:3" ht="15">
      <c r="A221" s="81" t="s">
        <v>2669</v>
      </c>
      <c r="B221" s="83" t="s">
        <v>343</v>
      </c>
      <c r="C221" s="80">
        <f>VLOOKUP(GroupVertices[[#This Row],[Vertex]],Vertices[],MATCH("ID",Vertices[[#Headers],[Vertex]:[Top Word Pairs in Comment by Salience]],0),FALSE)</f>
        <v>137</v>
      </c>
    </row>
    <row r="222" spans="1:3" ht="15">
      <c r="A222" s="81" t="s">
        <v>2669</v>
      </c>
      <c r="B222" s="83" t="s">
        <v>342</v>
      </c>
      <c r="C222" s="80">
        <f>VLOOKUP(GroupVertices[[#This Row],[Vertex]],Vertices[],MATCH("ID",Vertices[[#Headers],[Vertex]:[Top Word Pairs in Comment by Salience]],0),FALSE)</f>
        <v>136</v>
      </c>
    </row>
    <row r="223" spans="1:3" ht="15">
      <c r="A223" s="81" t="s">
        <v>2669</v>
      </c>
      <c r="B223" s="83" t="s">
        <v>341</v>
      </c>
      <c r="C223" s="80">
        <f>VLOOKUP(GroupVertices[[#This Row],[Vertex]],Vertices[],MATCH("ID",Vertices[[#Headers],[Vertex]:[Top Word Pairs in Comment by Salience]],0),FALSE)</f>
        <v>135</v>
      </c>
    </row>
    <row r="224" spans="1:3" ht="15">
      <c r="A224" s="81" t="s">
        <v>2669</v>
      </c>
      <c r="B224" s="83" t="s">
        <v>340</v>
      </c>
      <c r="C224" s="80">
        <f>VLOOKUP(GroupVertices[[#This Row],[Vertex]],Vertices[],MATCH("ID",Vertices[[#Headers],[Vertex]:[Top Word Pairs in Comment by Salience]],0),FALSE)</f>
        <v>134</v>
      </c>
    </row>
    <row r="225" spans="1:3" ht="15">
      <c r="A225" s="81" t="s">
        <v>2669</v>
      </c>
      <c r="B225" s="83" t="s">
        <v>339</v>
      </c>
      <c r="C225" s="80">
        <f>VLOOKUP(GroupVertices[[#This Row],[Vertex]],Vertices[],MATCH("ID",Vertices[[#Headers],[Vertex]:[Top Word Pairs in Comment by Salience]],0),FALSE)</f>
        <v>133</v>
      </c>
    </row>
    <row r="226" spans="1:3" ht="15">
      <c r="A226" s="81" t="s">
        <v>2669</v>
      </c>
      <c r="B226" s="83" t="s">
        <v>338</v>
      </c>
      <c r="C226" s="80">
        <f>VLOOKUP(GroupVertices[[#This Row],[Vertex]],Vertices[],MATCH("ID",Vertices[[#Headers],[Vertex]:[Top Word Pairs in Comment by Salience]],0),FALSE)</f>
        <v>132</v>
      </c>
    </row>
    <row r="227" spans="1:3" ht="15">
      <c r="A227" s="81" t="s">
        <v>2669</v>
      </c>
      <c r="B227" s="83" t="s">
        <v>337</v>
      </c>
      <c r="C227" s="80">
        <f>VLOOKUP(GroupVertices[[#This Row],[Vertex]],Vertices[],MATCH("ID",Vertices[[#Headers],[Vertex]:[Top Word Pairs in Comment by Salience]],0),FALSE)</f>
        <v>131</v>
      </c>
    </row>
    <row r="228" spans="1:3" ht="15">
      <c r="A228" s="81" t="s">
        <v>2669</v>
      </c>
      <c r="B228" s="83" t="s">
        <v>336</v>
      </c>
      <c r="C228" s="80">
        <f>VLOOKUP(GroupVertices[[#This Row],[Vertex]],Vertices[],MATCH("ID",Vertices[[#Headers],[Vertex]:[Top Word Pairs in Comment by Salience]],0),FALSE)</f>
        <v>130</v>
      </c>
    </row>
    <row r="229" spans="1:3" ht="15">
      <c r="A229" s="81" t="s">
        <v>2669</v>
      </c>
      <c r="B229" s="83" t="s">
        <v>335</v>
      </c>
      <c r="C229" s="80">
        <f>VLOOKUP(GroupVertices[[#This Row],[Vertex]],Vertices[],MATCH("ID",Vertices[[#Headers],[Vertex]:[Top Word Pairs in Comment by Salience]],0),FALSE)</f>
        <v>129</v>
      </c>
    </row>
    <row r="230" spans="1:3" ht="15">
      <c r="A230" s="81" t="s">
        <v>2669</v>
      </c>
      <c r="B230" s="83" t="s">
        <v>334</v>
      </c>
      <c r="C230" s="80">
        <f>VLOOKUP(GroupVertices[[#This Row],[Vertex]],Vertices[],MATCH("ID",Vertices[[#Headers],[Vertex]:[Top Word Pairs in Comment by Salience]],0),FALSE)</f>
        <v>128</v>
      </c>
    </row>
    <row r="231" spans="1:3" ht="15">
      <c r="A231" s="81" t="s">
        <v>2669</v>
      </c>
      <c r="B231" s="83" t="s">
        <v>333</v>
      </c>
      <c r="C231" s="80">
        <f>VLOOKUP(GroupVertices[[#This Row],[Vertex]],Vertices[],MATCH("ID",Vertices[[#Headers],[Vertex]:[Top Word Pairs in Comment by Salience]],0),FALSE)</f>
        <v>127</v>
      </c>
    </row>
    <row r="232" spans="1:3" ht="15">
      <c r="A232" s="81" t="s">
        <v>2669</v>
      </c>
      <c r="B232" s="83" t="s">
        <v>332</v>
      </c>
      <c r="C232" s="80">
        <f>VLOOKUP(GroupVertices[[#This Row],[Vertex]],Vertices[],MATCH("ID",Vertices[[#Headers],[Vertex]:[Top Word Pairs in Comment by Salience]],0),FALSE)</f>
        <v>126</v>
      </c>
    </row>
    <row r="233" spans="1:3" ht="15">
      <c r="A233" s="81" t="s">
        <v>2669</v>
      </c>
      <c r="B233" s="83" t="s">
        <v>331</v>
      </c>
      <c r="C233" s="80">
        <f>VLOOKUP(GroupVertices[[#This Row],[Vertex]],Vertices[],MATCH("ID",Vertices[[#Headers],[Vertex]:[Top Word Pairs in Comment by Salience]],0),FALSE)</f>
        <v>125</v>
      </c>
    </row>
    <row r="234" spans="1:3" ht="15">
      <c r="A234" s="81" t="s">
        <v>2669</v>
      </c>
      <c r="B234" s="83" t="s">
        <v>330</v>
      </c>
      <c r="C234" s="80">
        <f>VLOOKUP(GroupVertices[[#This Row],[Vertex]],Vertices[],MATCH("ID",Vertices[[#Headers],[Vertex]:[Top Word Pairs in Comment by Salience]],0),FALSE)</f>
        <v>124</v>
      </c>
    </row>
    <row r="235" spans="1:3" ht="15">
      <c r="A235" s="81" t="s">
        <v>2669</v>
      </c>
      <c r="B235" s="83" t="s">
        <v>329</v>
      </c>
      <c r="C235" s="80">
        <f>VLOOKUP(GroupVertices[[#This Row],[Vertex]],Vertices[],MATCH("ID",Vertices[[#Headers],[Vertex]:[Top Word Pairs in Comment by Salience]],0),FALSE)</f>
        <v>123</v>
      </c>
    </row>
    <row r="236" spans="1:3" ht="15">
      <c r="A236" s="81" t="s">
        <v>2669</v>
      </c>
      <c r="B236" s="83" t="s">
        <v>328</v>
      </c>
      <c r="C236" s="80">
        <f>VLOOKUP(GroupVertices[[#This Row],[Vertex]],Vertices[],MATCH("ID",Vertices[[#Headers],[Vertex]:[Top Word Pairs in Comment by Salience]],0),FALSE)</f>
        <v>122</v>
      </c>
    </row>
    <row r="237" spans="1:3" ht="15">
      <c r="A237" s="81" t="s">
        <v>2669</v>
      </c>
      <c r="B237" s="83" t="s">
        <v>327</v>
      </c>
      <c r="C237" s="80">
        <f>VLOOKUP(GroupVertices[[#This Row],[Vertex]],Vertices[],MATCH("ID",Vertices[[#Headers],[Vertex]:[Top Word Pairs in Comment by Salience]],0),FALSE)</f>
        <v>121</v>
      </c>
    </row>
    <row r="238" spans="1:3" ht="15">
      <c r="A238" s="81" t="s">
        <v>2669</v>
      </c>
      <c r="B238" s="83" t="s">
        <v>326</v>
      </c>
      <c r="C238" s="80">
        <f>VLOOKUP(GroupVertices[[#This Row],[Vertex]],Vertices[],MATCH("ID",Vertices[[#Headers],[Vertex]:[Top Word Pairs in Comment by Salience]],0),FALSE)</f>
        <v>120</v>
      </c>
    </row>
    <row r="239" spans="1:3" ht="15">
      <c r="A239" s="81" t="s">
        <v>2669</v>
      </c>
      <c r="B239" s="83" t="s">
        <v>325</v>
      </c>
      <c r="C239" s="80">
        <f>VLOOKUP(GroupVertices[[#This Row],[Vertex]],Vertices[],MATCH("ID",Vertices[[#Headers],[Vertex]:[Top Word Pairs in Comment by Salience]],0),FALSE)</f>
        <v>119</v>
      </c>
    </row>
    <row r="240" spans="1:3" ht="15">
      <c r="A240" s="81" t="s">
        <v>2669</v>
      </c>
      <c r="B240" s="83" t="s">
        <v>324</v>
      </c>
      <c r="C240" s="80">
        <f>VLOOKUP(GroupVertices[[#This Row],[Vertex]],Vertices[],MATCH("ID",Vertices[[#Headers],[Vertex]:[Top Word Pairs in Comment by Salience]],0),FALSE)</f>
        <v>118</v>
      </c>
    </row>
    <row r="241" spans="1:3" ht="15">
      <c r="A241" s="81" t="s">
        <v>2669</v>
      </c>
      <c r="B241" s="83" t="s">
        <v>323</v>
      </c>
      <c r="C241" s="80">
        <f>VLOOKUP(GroupVertices[[#This Row],[Vertex]],Vertices[],MATCH("ID",Vertices[[#Headers],[Vertex]:[Top Word Pairs in Comment by Salience]],0),FALSE)</f>
        <v>117</v>
      </c>
    </row>
    <row r="242" spans="1:3" ht="15">
      <c r="A242" s="81" t="s">
        <v>2669</v>
      </c>
      <c r="B242" s="83" t="s">
        <v>322</v>
      </c>
      <c r="C242" s="80">
        <f>VLOOKUP(GroupVertices[[#This Row],[Vertex]],Vertices[],MATCH("ID",Vertices[[#Headers],[Vertex]:[Top Word Pairs in Comment by Salience]],0),FALSE)</f>
        <v>116</v>
      </c>
    </row>
    <row r="243" spans="1:3" ht="15">
      <c r="A243" s="81" t="s">
        <v>2669</v>
      </c>
      <c r="B243" s="83" t="s">
        <v>321</v>
      </c>
      <c r="C243" s="80">
        <f>VLOOKUP(GroupVertices[[#This Row],[Vertex]],Vertices[],MATCH("ID",Vertices[[#Headers],[Vertex]:[Top Word Pairs in Comment by Salience]],0),FALSE)</f>
        <v>115</v>
      </c>
    </row>
    <row r="244" spans="1:3" ht="15">
      <c r="A244" s="81" t="s">
        <v>2669</v>
      </c>
      <c r="B244" s="83" t="s">
        <v>320</v>
      </c>
      <c r="C244" s="80">
        <f>VLOOKUP(GroupVertices[[#This Row],[Vertex]],Vertices[],MATCH("ID",Vertices[[#Headers],[Vertex]:[Top Word Pairs in Comment by Salience]],0),FALSE)</f>
        <v>114</v>
      </c>
    </row>
    <row r="245" spans="1:3" ht="15">
      <c r="A245" s="81" t="s">
        <v>2669</v>
      </c>
      <c r="B245" s="83" t="s">
        <v>319</v>
      </c>
      <c r="C245" s="80">
        <f>VLOOKUP(GroupVertices[[#This Row],[Vertex]],Vertices[],MATCH("ID",Vertices[[#Headers],[Vertex]:[Top Word Pairs in Comment by Salience]],0),FALSE)</f>
        <v>113</v>
      </c>
    </row>
    <row r="246" spans="1:3" ht="15">
      <c r="A246" s="81" t="s">
        <v>2669</v>
      </c>
      <c r="B246" s="83" t="s">
        <v>318</v>
      </c>
      <c r="C246" s="80">
        <f>VLOOKUP(GroupVertices[[#This Row],[Vertex]],Vertices[],MATCH("ID",Vertices[[#Headers],[Vertex]:[Top Word Pairs in Comment by Salience]],0),FALSE)</f>
        <v>112</v>
      </c>
    </row>
    <row r="247" spans="1:3" ht="15">
      <c r="A247" s="81" t="s">
        <v>2669</v>
      </c>
      <c r="B247" s="83" t="s">
        <v>317</v>
      </c>
      <c r="C247" s="80">
        <f>VLOOKUP(GroupVertices[[#This Row],[Vertex]],Vertices[],MATCH("ID",Vertices[[#Headers],[Vertex]:[Top Word Pairs in Comment by Salience]],0),FALSE)</f>
        <v>111</v>
      </c>
    </row>
    <row r="248" spans="1:3" ht="15">
      <c r="A248" s="81" t="s">
        <v>2669</v>
      </c>
      <c r="B248" s="83" t="s">
        <v>316</v>
      </c>
      <c r="C248" s="80">
        <f>VLOOKUP(GroupVertices[[#This Row],[Vertex]],Vertices[],MATCH("ID",Vertices[[#Headers],[Vertex]:[Top Word Pairs in Comment by Salience]],0),FALSE)</f>
        <v>110</v>
      </c>
    </row>
    <row r="249" spans="1:3" ht="15">
      <c r="A249" s="81" t="s">
        <v>2669</v>
      </c>
      <c r="B249" s="83" t="s">
        <v>315</v>
      </c>
      <c r="C249" s="80">
        <f>VLOOKUP(GroupVertices[[#This Row],[Vertex]],Vertices[],MATCH("ID",Vertices[[#Headers],[Vertex]:[Top Word Pairs in Comment by Salience]],0),FALSE)</f>
        <v>109</v>
      </c>
    </row>
    <row r="250" spans="1:3" ht="15">
      <c r="A250" s="81" t="s">
        <v>2669</v>
      </c>
      <c r="B250" s="83" t="s">
        <v>314</v>
      </c>
      <c r="C250" s="80">
        <f>VLOOKUP(GroupVertices[[#This Row],[Vertex]],Vertices[],MATCH("ID",Vertices[[#Headers],[Vertex]:[Top Word Pairs in Comment by Salience]],0),FALSE)</f>
        <v>108</v>
      </c>
    </row>
    <row r="251" spans="1:3" ht="15">
      <c r="A251" s="81" t="s">
        <v>2669</v>
      </c>
      <c r="B251" s="83" t="s">
        <v>313</v>
      </c>
      <c r="C251" s="80">
        <f>VLOOKUP(GroupVertices[[#This Row],[Vertex]],Vertices[],MATCH("ID",Vertices[[#Headers],[Vertex]:[Top Word Pairs in Comment by Salience]],0),FALSE)</f>
        <v>107</v>
      </c>
    </row>
    <row r="252" spans="1:3" ht="15">
      <c r="A252" s="81" t="s">
        <v>2669</v>
      </c>
      <c r="B252" s="83" t="s">
        <v>312</v>
      </c>
      <c r="C252" s="80">
        <f>VLOOKUP(GroupVertices[[#This Row],[Vertex]],Vertices[],MATCH("ID",Vertices[[#Headers],[Vertex]:[Top Word Pairs in Comment by Salience]],0),FALSE)</f>
        <v>106</v>
      </c>
    </row>
    <row r="253" spans="1:3" ht="15">
      <c r="A253" s="81" t="s">
        <v>2669</v>
      </c>
      <c r="B253" s="83" t="s">
        <v>311</v>
      </c>
      <c r="C253" s="80">
        <f>VLOOKUP(GroupVertices[[#This Row],[Vertex]],Vertices[],MATCH("ID",Vertices[[#Headers],[Vertex]:[Top Word Pairs in Comment by Salience]],0),FALSE)</f>
        <v>105</v>
      </c>
    </row>
    <row r="254" spans="1:3" ht="15">
      <c r="A254" s="81" t="s">
        <v>2669</v>
      </c>
      <c r="B254" s="83" t="s">
        <v>310</v>
      </c>
      <c r="C254" s="80">
        <f>VLOOKUP(GroupVertices[[#This Row],[Vertex]],Vertices[],MATCH("ID",Vertices[[#Headers],[Vertex]:[Top Word Pairs in Comment by Salience]],0),FALSE)</f>
        <v>104</v>
      </c>
    </row>
    <row r="255" spans="1:3" ht="15">
      <c r="A255" s="81" t="s">
        <v>2669</v>
      </c>
      <c r="B255" s="83" t="s">
        <v>308</v>
      </c>
      <c r="C255" s="80">
        <f>VLOOKUP(GroupVertices[[#This Row],[Vertex]],Vertices[],MATCH("ID",Vertices[[#Headers],[Vertex]:[Top Word Pairs in Comment by Salience]],0),FALSE)</f>
        <v>103</v>
      </c>
    </row>
    <row r="256" spans="1:3" ht="15">
      <c r="A256" s="81" t="s">
        <v>2669</v>
      </c>
      <c r="B256" s="83" t="s">
        <v>309</v>
      </c>
      <c r="C256" s="80">
        <f>VLOOKUP(GroupVertices[[#This Row],[Vertex]],Vertices[],MATCH("ID",Vertices[[#Headers],[Vertex]:[Top Word Pairs in Comment by Salience]],0),FALSE)</f>
        <v>102</v>
      </c>
    </row>
    <row r="257" spans="1:3" ht="15">
      <c r="A257" s="81" t="s">
        <v>2669</v>
      </c>
      <c r="B257" s="83" t="s">
        <v>307</v>
      </c>
      <c r="C257" s="80">
        <f>VLOOKUP(GroupVertices[[#This Row],[Vertex]],Vertices[],MATCH("ID",Vertices[[#Headers],[Vertex]:[Top Word Pairs in Comment by Salience]],0),FALSE)</f>
        <v>101</v>
      </c>
    </row>
    <row r="258" spans="1:3" ht="15">
      <c r="A258" s="81" t="s">
        <v>2669</v>
      </c>
      <c r="B258" s="83" t="s">
        <v>306</v>
      </c>
      <c r="C258" s="80">
        <f>VLOOKUP(GroupVertices[[#This Row],[Vertex]],Vertices[],MATCH("ID",Vertices[[#Headers],[Vertex]:[Top Word Pairs in Comment by Salience]],0),FALSE)</f>
        <v>100</v>
      </c>
    </row>
    <row r="259" spans="1:3" ht="15">
      <c r="A259" s="81" t="s">
        <v>2669</v>
      </c>
      <c r="B259" s="83" t="s">
        <v>305</v>
      </c>
      <c r="C259" s="80">
        <f>VLOOKUP(GroupVertices[[#This Row],[Vertex]],Vertices[],MATCH("ID",Vertices[[#Headers],[Vertex]:[Top Word Pairs in Comment by Salience]],0),FALSE)</f>
        <v>99</v>
      </c>
    </row>
    <row r="260" spans="1:3" ht="15">
      <c r="A260" s="81" t="s">
        <v>2669</v>
      </c>
      <c r="B260" s="83" t="s">
        <v>304</v>
      </c>
      <c r="C260" s="80">
        <f>VLOOKUP(GroupVertices[[#This Row],[Vertex]],Vertices[],MATCH("ID",Vertices[[#Headers],[Vertex]:[Top Word Pairs in Comment by Salience]],0),FALSE)</f>
        <v>98</v>
      </c>
    </row>
    <row r="261" spans="1:3" ht="15">
      <c r="A261" s="81" t="s">
        <v>2669</v>
      </c>
      <c r="B261" s="83" t="s">
        <v>303</v>
      </c>
      <c r="C261" s="80">
        <f>VLOOKUP(GroupVertices[[#This Row],[Vertex]],Vertices[],MATCH("ID",Vertices[[#Headers],[Vertex]:[Top Word Pairs in Comment by Salience]],0),FALSE)</f>
        <v>97</v>
      </c>
    </row>
    <row r="262" spans="1:3" ht="15">
      <c r="A262" s="81" t="s">
        <v>2669</v>
      </c>
      <c r="B262" s="83" t="s">
        <v>302</v>
      </c>
      <c r="C262" s="80">
        <f>VLOOKUP(GroupVertices[[#This Row],[Vertex]],Vertices[],MATCH("ID",Vertices[[#Headers],[Vertex]:[Top Word Pairs in Comment by Salience]],0),FALSE)</f>
        <v>96</v>
      </c>
    </row>
    <row r="263" spans="1:3" ht="15">
      <c r="A263" s="81" t="s">
        <v>2669</v>
      </c>
      <c r="B263" s="83" t="s">
        <v>301</v>
      </c>
      <c r="C263" s="80">
        <f>VLOOKUP(GroupVertices[[#This Row],[Vertex]],Vertices[],MATCH("ID",Vertices[[#Headers],[Vertex]:[Top Word Pairs in Comment by Salience]],0),FALSE)</f>
        <v>95</v>
      </c>
    </row>
    <row r="264" spans="1:3" ht="15">
      <c r="A264" s="81" t="s">
        <v>2669</v>
      </c>
      <c r="B264" s="83" t="s">
        <v>300</v>
      </c>
      <c r="C264" s="80">
        <f>VLOOKUP(GroupVertices[[#This Row],[Vertex]],Vertices[],MATCH("ID",Vertices[[#Headers],[Vertex]:[Top Word Pairs in Comment by Salience]],0),FALSE)</f>
        <v>94</v>
      </c>
    </row>
    <row r="265" spans="1:3" ht="15">
      <c r="A265" s="81" t="s">
        <v>2669</v>
      </c>
      <c r="B265" s="83" t="s">
        <v>299</v>
      </c>
      <c r="C265" s="80">
        <f>VLOOKUP(GroupVertices[[#This Row],[Vertex]],Vertices[],MATCH("ID",Vertices[[#Headers],[Vertex]:[Top Word Pairs in Comment by Salience]],0),FALSE)</f>
        <v>93</v>
      </c>
    </row>
    <row r="266" spans="1:3" ht="15">
      <c r="A266" s="81" t="s">
        <v>2669</v>
      </c>
      <c r="B266" s="83" t="s">
        <v>298</v>
      </c>
      <c r="C266" s="80">
        <f>VLOOKUP(GroupVertices[[#This Row],[Vertex]],Vertices[],MATCH("ID",Vertices[[#Headers],[Vertex]:[Top Word Pairs in Comment by Salience]],0),FALSE)</f>
        <v>92</v>
      </c>
    </row>
    <row r="267" spans="1:3" ht="15">
      <c r="A267" s="81" t="s">
        <v>2669</v>
      </c>
      <c r="B267" s="83" t="s">
        <v>297</v>
      </c>
      <c r="C267" s="80">
        <f>VLOOKUP(GroupVertices[[#This Row],[Vertex]],Vertices[],MATCH("ID",Vertices[[#Headers],[Vertex]:[Top Word Pairs in Comment by Salience]],0),FALSE)</f>
        <v>91</v>
      </c>
    </row>
    <row r="268" spans="1:3" ht="15">
      <c r="A268" s="81" t="s">
        <v>2669</v>
      </c>
      <c r="B268" s="83" t="s">
        <v>296</v>
      </c>
      <c r="C268" s="80">
        <f>VLOOKUP(GroupVertices[[#This Row],[Vertex]],Vertices[],MATCH("ID",Vertices[[#Headers],[Vertex]:[Top Word Pairs in Comment by Salience]],0),FALSE)</f>
        <v>90</v>
      </c>
    </row>
    <row r="269" spans="1:3" ht="15">
      <c r="A269" s="81" t="s">
        <v>2669</v>
      </c>
      <c r="B269" s="83" t="s">
        <v>295</v>
      </c>
      <c r="C269" s="80">
        <f>VLOOKUP(GroupVertices[[#This Row],[Vertex]],Vertices[],MATCH("ID",Vertices[[#Headers],[Vertex]:[Top Word Pairs in Comment by Salience]],0),FALSE)</f>
        <v>89</v>
      </c>
    </row>
    <row r="270" spans="1:3" ht="15">
      <c r="A270" s="81" t="s">
        <v>2669</v>
      </c>
      <c r="B270" s="83" t="s">
        <v>294</v>
      </c>
      <c r="C270" s="80">
        <f>VLOOKUP(GroupVertices[[#This Row],[Vertex]],Vertices[],MATCH("ID",Vertices[[#Headers],[Vertex]:[Top Word Pairs in Comment by Salience]],0),FALSE)</f>
        <v>88</v>
      </c>
    </row>
    <row r="271" spans="1:3" ht="15">
      <c r="A271" s="81" t="s">
        <v>2669</v>
      </c>
      <c r="B271" s="83" t="s">
        <v>293</v>
      </c>
      <c r="C271" s="80">
        <f>VLOOKUP(GroupVertices[[#This Row],[Vertex]],Vertices[],MATCH("ID",Vertices[[#Headers],[Vertex]:[Top Word Pairs in Comment by Salience]],0),FALSE)</f>
        <v>87</v>
      </c>
    </row>
    <row r="272" spans="1:3" ht="15">
      <c r="A272" s="81" t="s">
        <v>2669</v>
      </c>
      <c r="B272" s="83" t="s">
        <v>292</v>
      </c>
      <c r="C272" s="80">
        <f>VLOOKUP(GroupVertices[[#This Row],[Vertex]],Vertices[],MATCH("ID",Vertices[[#Headers],[Vertex]:[Top Word Pairs in Comment by Salience]],0),FALSE)</f>
        <v>86</v>
      </c>
    </row>
    <row r="273" spans="1:3" ht="15">
      <c r="A273" s="81" t="s">
        <v>2669</v>
      </c>
      <c r="B273" s="83" t="s">
        <v>291</v>
      </c>
      <c r="C273" s="80">
        <f>VLOOKUP(GroupVertices[[#This Row],[Vertex]],Vertices[],MATCH("ID",Vertices[[#Headers],[Vertex]:[Top Word Pairs in Comment by Salience]],0),FALSE)</f>
        <v>85</v>
      </c>
    </row>
    <row r="274" spans="1:3" ht="15">
      <c r="A274" s="81" t="s">
        <v>2669</v>
      </c>
      <c r="B274" s="83" t="s">
        <v>289</v>
      </c>
      <c r="C274" s="80">
        <f>VLOOKUP(GroupVertices[[#This Row],[Vertex]],Vertices[],MATCH("ID",Vertices[[#Headers],[Vertex]:[Top Word Pairs in Comment by Salience]],0),FALSE)</f>
        <v>83</v>
      </c>
    </row>
    <row r="275" spans="1:3" ht="15">
      <c r="A275" s="81" t="s">
        <v>2669</v>
      </c>
      <c r="B275" s="83" t="s">
        <v>288</v>
      </c>
      <c r="C275" s="80">
        <f>VLOOKUP(GroupVertices[[#This Row],[Vertex]],Vertices[],MATCH("ID",Vertices[[#Headers],[Vertex]:[Top Word Pairs in Comment by Salience]],0),FALSE)</f>
        <v>82</v>
      </c>
    </row>
    <row r="276" spans="1:3" ht="15">
      <c r="A276" s="81" t="s">
        <v>2669</v>
      </c>
      <c r="B276" s="83" t="s">
        <v>287</v>
      </c>
      <c r="C276" s="80">
        <f>VLOOKUP(GroupVertices[[#This Row],[Vertex]],Vertices[],MATCH("ID",Vertices[[#Headers],[Vertex]:[Top Word Pairs in Comment by Salience]],0),FALSE)</f>
        <v>81</v>
      </c>
    </row>
    <row r="277" spans="1:3" ht="15">
      <c r="A277" s="81" t="s">
        <v>2669</v>
      </c>
      <c r="B277" s="83" t="s">
        <v>286</v>
      </c>
      <c r="C277" s="80">
        <f>VLOOKUP(GroupVertices[[#This Row],[Vertex]],Vertices[],MATCH("ID",Vertices[[#Headers],[Vertex]:[Top Word Pairs in Comment by Salience]],0),FALSE)</f>
        <v>80</v>
      </c>
    </row>
    <row r="278" spans="1:3" ht="15">
      <c r="A278" s="81" t="s">
        <v>2669</v>
      </c>
      <c r="B278" s="83" t="s">
        <v>280</v>
      </c>
      <c r="C278" s="80">
        <f>VLOOKUP(GroupVertices[[#This Row],[Vertex]],Vertices[],MATCH("ID",Vertices[[#Headers],[Vertex]:[Top Word Pairs in Comment by Salience]],0),FALSE)</f>
        <v>74</v>
      </c>
    </row>
    <row r="279" spans="1:3" ht="15">
      <c r="A279" s="81" t="s">
        <v>2669</v>
      </c>
      <c r="B279" s="83" t="s">
        <v>285</v>
      </c>
      <c r="C279" s="80">
        <f>VLOOKUP(GroupVertices[[#This Row],[Vertex]],Vertices[],MATCH("ID",Vertices[[#Headers],[Vertex]:[Top Word Pairs in Comment by Salience]],0),FALSE)</f>
        <v>79</v>
      </c>
    </row>
    <row r="280" spans="1:3" ht="15">
      <c r="A280" s="81" t="s">
        <v>2669</v>
      </c>
      <c r="B280" s="83" t="s">
        <v>284</v>
      </c>
      <c r="C280" s="80">
        <f>VLOOKUP(GroupVertices[[#This Row],[Vertex]],Vertices[],MATCH("ID",Vertices[[#Headers],[Vertex]:[Top Word Pairs in Comment by Salience]],0),FALSE)</f>
        <v>78</v>
      </c>
    </row>
    <row r="281" spans="1:3" ht="15">
      <c r="A281" s="81" t="s">
        <v>2669</v>
      </c>
      <c r="B281" s="83" t="s">
        <v>283</v>
      </c>
      <c r="C281" s="80">
        <f>VLOOKUP(GroupVertices[[#This Row],[Vertex]],Vertices[],MATCH("ID",Vertices[[#Headers],[Vertex]:[Top Word Pairs in Comment by Salience]],0),FALSE)</f>
        <v>77</v>
      </c>
    </row>
    <row r="282" spans="1:3" ht="15">
      <c r="A282" s="81" t="s">
        <v>2669</v>
      </c>
      <c r="B282" s="83" t="s">
        <v>282</v>
      </c>
      <c r="C282" s="80">
        <f>VLOOKUP(GroupVertices[[#This Row],[Vertex]],Vertices[],MATCH("ID",Vertices[[#Headers],[Vertex]:[Top Word Pairs in Comment by Salience]],0),FALSE)</f>
        <v>76</v>
      </c>
    </row>
    <row r="283" spans="1:3" ht="15">
      <c r="A283" s="81" t="s">
        <v>2669</v>
      </c>
      <c r="B283" s="83" t="s">
        <v>273</v>
      </c>
      <c r="C283" s="80">
        <f>VLOOKUP(GroupVertices[[#This Row],[Vertex]],Vertices[],MATCH("ID",Vertices[[#Headers],[Vertex]:[Top Word Pairs in Comment by Salience]],0),FALSE)</f>
        <v>67</v>
      </c>
    </row>
    <row r="284" spans="1:3" ht="15">
      <c r="A284" s="81" t="s">
        <v>2669</v>
      </c>
      <c r="B284" s="83" t="s">
        <v>281</v>
      </c>
      <c r="C284" s="80">
        <f>VLOOKUP(GroupVertices[[#This Row],[Vertex]],Vertices[],MATCH("ID",Vertices[[#Headers],[Vertex]:[Top Word Pairs in Comment by Salience]],0),FALSE)</f>
        <v>75</v>
      </c>
    </row>
    <row r="285" spans="1:3" ht="15">
      <c r="A285" s="81" t="s">
        <v>2669</v>
      </c>
      <c r="B285" s="83" t="s">
        <v>279</v>
      </c>
      <c r="C285" s="80">
        <f>VLOOKUP(GroupVertices[[#This Row],[Vertex]],Vertices[],MATCH("ID",Vertices[[#Headers],[Vertex]:[Top Word Pairs in Comment by Salience]],0),FALSE)</f>
        <v>73</v>
      </c>
    </row>
    <row r="286" spans="1:3" ht="15">
      <c r="A286" s="81" t="s">
        <v>2669</v>
      </c>
      <c r="B286" s="83" t="s">
        <v>277</v>
      </c>
      <c r="C286" s="80">
        <f>VLOOKUP(GroupVertices[[#This Row],[Vertex]],Vertices[],MATCH("ID",Vertices[[#Headers],[Vertex]:[Top Word Pairs in Comment by Salience]],0),FALSE)</f>
        <v>72</v>
      </c>
    </row>
    <row r="287" spans="1:3" ht="15">
      <c r="A287" s="81" t="s">
        <v>2669</v>
      </c>
      <c r="B287" s="83" t="s">
        <v>278</v>
      </c>
      <c r="C287" s="80">
        <f>VLOOKUP(GroupVertices[[#This Row],[Vertex]],Vertices[],MATCH("ID",Vertices[[#Headers],[Vertex]:[Top Word Pairs in Comment by Salience]],0),FALSE)</f>
        <v>71</v>
      </c>
    </row>
    <row r="288" spans="1:3" ht="15">
      <c r="A288" s="81" t="s">
        <v>2669</v>
      </c>
      <c r="B288" s="83" t="s">
        <v>276</v>
      </c>
      <c r="C288" s="80">
        <f>VLOOKUP(GroupVertices[[#This Row],[Vertex]],Vertices[],MATCH("ID",Vertices[[#Headers],[Vertex]:[Top Word Pairs in Comment by Salience]],0),FALSE)</f>
        <v>70</v>
      </c>
    </row>
    <row r="289" spans="1:3" ht="15">
      <c r="A289" s="81" t="s">
        <v>2669</v>
      </c>
      <c r="B289" s="83" t="s">
        <v>275</v>
      </c>
      <c r="C289" s="80">
        <f>VLOOKUP(GroupVertices[[#This Row],[Vertex]],Vertices[],MATCH("ID",Vertices[[#Headers],[Vertex]:[Top Word Pairs in Comment by Salience]],0),FALSE)</f>
        <v>69</v>
      </c>
    </row>
    <row r="290" spans="1:3" ht="15">
      <c r="A290" s="81" t="s">
        <v>2669</v>
      </c>
      <c r="B290" s="83" t="s">
        <v>274</v>
      </c>
      <c r="C290" s="80">
        <f>VLOOKUP(GroupVertices[[#This Row],[Vertex]],Vertices[],MATCH("ID",Vertices[[#Headers],[Vertex]:[Top Word Pairs in Comment by Salience]],0),FALSE)</f>
        <v>68</v>
      </c>
    </row>
    <row r="291" spans="1:3" ht="15">
      <c r="A291" s="81" t="s">
        <v>2669</v>
      </c>
      <c r="B291" s="83" t="s">
        <v>272</v>
      </c>
      <c r="C291" s="80">
        <f>VLOOKUP(GroupVertices[[#This Row],[Vertex]],Vertices[],MATCH("ID",Vertices[[#Headers],[Vertex]:[Top Word Pairs in Comment by Salience]],0),FALSE)</f>
        <v>65</v>
      </c>
    </row>
    <row r="292" spans="1:3" ht="15">
      <c r="A292" s="81" t="s">
        <v>2670</v>
      </c>
      <c r="B292" s="83" t="s">
        <v>392</v>
      </c>
      <c r="C292" s="80">
        <f>VLOOKUP(GroupVertices[[#This Row],[Vertex]],Vertices[],MATCH("ID",Vertices[[#Headers],[Vertex]:[Top Word Pairs in Comment by Salience]],0),FALSE)</f>
        <v>189</v>
      </c>
    </row>
    <row r="293" spans="1:3" ht="15">
      <c r="A293" s="81" t="s">
        <v>2670</v>
      </c>
      <c r="B293" s="83" t="s">
        <v>840</v>
      </c>
      <c r="C293" s="80">
        <f>VLOOKUP(GroupVertices[[#This Row],[Vertex]],Vertices[],MATCH("ID",Vertices[[#Headers],[Vertex]:[Top Word Pairs in Comment by Salience]],0),FALSE)</f>
        <v>170</v>
      </c>
    </row>
    <row r="294" spans="1:3" ht="15">
      <c r="A294" s="81" t="s">
        <v>2670</v>
      </c>
      <c r="B294" s="83" t="s">
        <v>723</v>
      </c>
      <c r="C294" s="80">
        <f>VLOOKUP(GroupVertices[[#This Row],[Vertex]],Vertices[],MATCH("ID",Vertices[[#Headers],[Vertex]:[Top Word Pairs in Comment by Salience]],0),FALSE)</f>
        <v>525</v>
      </c>
    </row>
    <row r="295" spans="1:3" ht="15">
      <c r="A295" s="81" t="s">
        <v>2670</v>
      </c>
      <c r="B295" s="83" t="s">
        <v>722</v>
      </c>
      <c r="C295" s="80">
        <f>VLOOKUP(GroupVertices[[#This Row],[Vertex]],Vertices[],MATCH("ID",Vertices[[#Headers],[Vertex]:[Top Word Pairs in Comment by Salience]],0),FALSE)</f>
        <v>524</v>
      </c>
    </row>
    <row r="296" spans="1:3" ht="15">
      <c r="A296" s="81" t="s">
        <v>2670</v>
      </c>
      <c r="B296" s="83" t="s">
        <v>721</v>
      </c>
      <c r="C296" s="80">
        <f>VLOOKUP(GroupVertices[[#This Row],[Vertex]],Vertices[],MATCH("ID",Vertices[[#Headers],[Vertex]:[Top Word Pairs in Comment by Salience]],0),FALSE)</f>
        <v>523</v>
      </c>
    </row>
    <row r="297" spans="1:3" ht="15">
      <c r="A297" s="81" t="s">
        <v>2670</v>
      </c>
      <c r="B297" s="83" t="s">
        <v>720</v>
      </c>
      <c r="C297" s="80">
        <f>VLOOKUP(GroupVertices[[#This Row],[Vertex]],Vertices[],MATCH("ID",Vertices[[#Headers],[Vertex]:[Top Word Pairs in Comment by Salience]],0),FALSE)</f>
        <v>522</v>
      </c>
    </row>
    <row r="298" spans="1:3" ht="15">
      <c r="A298" s="81" t="s">
        <v>2670</v>
      </c>
      <c r="B298" s="83" t="s">
        <v>719</v>
      </c>
      <c r="C298" s="80">
        <f>VLOOKUP(GroupVertices[[#This Row],[Vertex]],Vertices[],MATCH("ID",Vertices[[#Headers],[Vertex]:[Top Word Pairs in Comment by Salience]],0),FALSE)</f>
        <v>521</v>
      </c>
    </row>
    <row r="299" spans="1:3" ht="15">
      <c r="A299" s="81" t="s">
        <v>2670</v>
      </c>
      <c r="B299" s="83" t="s">
        <v>718</v>
      </c>
      <c r="C299" s="80">
        <f>VLOOKUP(GroupVertices[[#This Row],[Vertex]],Vertices[],MATCH("ID",Vertices[[#Headers],[Vertex]:[Top Word Pairs in Comment by Salience]],0),FALSE)</f>
        <v>520</v>
      </c>
    </row>
    <row r="300" spans="1:3" ht="15">
      <c r="A300" s="81" t="s">
        <v>2670</v>
      </c>
      <c r="B300" s="83" t="s">
        <v>717</v>
      </c>
      <c r="C300" s="80">
        <f>VLOOKUP(GroupVertices[[#This Row],[Vertex]],Vertices[],MATCH("ID",Vertices[[#Headers],[Vertex]:[Top Word Pairs in Comment by Salience]],0),FALSE)</f>
        <v>519</v>
      </c>
    </row>
    <row r="301" spans="1:3" ht="15">
      <c r="A301" s="81" t="s">
        <v>2670</v>
      </c>
      <c r="B301" s="83" t="s">
        <v>716</v>
      </c>
      <c r="C301" s="80">
        <f>VLOOKUP(GroupVertices[[#This Row],[Vertex]],Vertices[],MATCH("ID",Vertices[[#Headers],[Vertex]:[Top Word Pairs in Comment by Salience]],0),FALSE)</f>
        <v>518</v>
      </c>
    </row>
    <row r="302" spans="1:3" ht="15">
      <c r="A302" s="81" t="s">
        <v>2670</v>
      </c>
      <c r="B302" s="83" t="s">
        <v>715</v>
      </c>
      <c r="C302" s="80">
        <f>VLOOKUP(GroupVertices[[#This Row],[Vertex]],Vertices[],MATCH("ID",Vertices[[#Headers],[Vertex]:[Top Word Pairs in Comment by Salience]],0),FALSE)</f>
        <v>517</v>
      </c>
    </row>
    <row r="303" spans="1:3" ht="15">
      <c r="A303" s="81" t="s">
        <v>2670</v>
      </c>
      <c r="B303" s="83" t="s">
        <v>714</v>
      </c>
      <c r="C303" s="80">
        <f>VLOOKUP(GroupVertices[[#This Row],[Vertex]],Vertices[],MATCH("ID",Vertices[[#Headers],[Vertex]:[Top Word Pairs in Comment by Salience]],0),FALSE)</f>
        <v>516</v>
      </c>
    </row>
    <row r="304" spans="1:3" ht="15">
      <c r="A304" s="81" t="s">
        <v>2670</v>
      </c>
      <c r="B304" s="83" t="s">
        <v>713</v>
      </c>
      <c r="C304" s="80">
        <f>VLOOKUP(GroupVertices[[#This Row],[Vertex]],Vertices[],MATCH("ID",Vertices[[#Headers],[Vertex]:[Top Word Pairs in Comment by Salience]],0),FALSE)</f>
        <v>515</v>
      </c>
    </row>
    <row r="305" spans="1:3" ht="15">
      <c r="A305" s="81" t="s">
        <v>2670</v>
      </c>
      <c r="B305" s="83" t="s">
        <v>712</v>
      </c>
      <c r="C305" s="80">
        <f>VLOOKUP(GroupVertices[[#This Row],[Vertex]],Vertices[],MATCH("ID",Vertices[[#Headers],[Vertex]:[Top Word Pairs in Comment by Salience]],0),FALSE)</f>
        <v>514</v>
      </c>
    </row>
    <row r="306" spans="1:3" ht="15">
      <c r="A306" s="81" t="s">
        <v>2670</v>
      </c>
      <c r="B306" s="83" t="s">
        <v>710</v>
      </c>
      <c r="C306" s="80">
        <f>VLOOKUP(GroupVertices[[#This Row],[Vertex]],Vertices[],MATCH("ID",Vertices[[#Headers],[Vertex]:[Top Word Pairs in Comment by Salience]],0),FALSE)</f>
        <v>512</v>
      </c>
    </row>
    <row r="307" spans="1:3" ht="15">
      <c r="A307" s="81" t="s">
        <v>2670</v>
      </c>
      <c r="B307" s="83" t="s">
        <v>709</v>
      </c>
      <c r="C307" s="80">
        <f>VLOOKUP(GroupVertices[[#This Row],[Vertex]],Vertices[],MATCH("ID",Vertices[[#Headers],[Vertex]:[Top Word Pairs in Comment by Salience]],0),FALSE)</f>
        <v>511</v>
      </c>
    </row>
    <row r="308" spans="1:3" ht="15">
      <c r="A308" s="81" t="s">
        <v>2670</v>
      </c>
      <c r="B308" s="83" t="s">
        <v>708</v>
      </c>
      <c r="C308" s="80">
        <f>VLOOKUP(GroupVertices[[#This Row],[Vertex]],Vertices[],MATCH("ID",Vertices[[#Headers],[Vertex]:[Top Word Pairs in Comment by Salience]],0),FALSE)</f>
        <v>510</v>
      </c>
    </row>
    <row r="309" spans="1:3" ht="15">
      <c r="A309" s="81" t="s">
        <v>2670</v>
      </c>
      <c r="B309" s="83" t="s">
        <v>707</v>
      </c>
      <c r="C309" s="80">
        <f>VLOOKUP(GroupVertices[[#This Row],[Vertex]],Vertices[],MATCH("ID",Vertices[[#Headers],[Vertex]:[Top Word Pairs in Comment by Salience]],0),FALSE)</f>
        <v>509</v>
      </c>
    </row>
    <row r="310" spans="1:3" ht="15">
      <c r="A310" s="81" t="s">
        <v>2670</v>
      </c>
      <c r="B310" s="83" t="s">
        <v>483</v>
      </c>
      <c r="C310" s="80">
        <f>VLOOKUP(GroupVertices[[#This Row],[Vertex]],Vertices[],MATCH("ID",Vertices[[#Headers],[Vertex]:[Top Word Pairs in Comment by Salience]],0),FALSE)</f>
        <v>280</v>
      </c>
    </row>
    <row r="311" spans="1:3" ht="15">
      <c r="A311" s="81" t="s">
        <v>2670</v>
      </c>
      <c r="B311" s="83" t="s">
        <v>482</v>
      </c>
      <c r="C311" s="80">
        <f>VLOOKUP(GroupVertices[[#This Row],[Vertex]],Vertices[],MATCH("ID",Vertices[[#Headers],[Vertex]:[Top Word Pairs in Comment by Salience]],0),FALSE)</f>
        <v>279</v>
      </c>
    </row>
    <row r="312" spans="1:3" ht="15">
      <c r="A312" s="81" t="s">
        <v>2670</v>
      </c>
      <c r="B312" s="83" t="s">
        <v>481</v>
      </c>
      <c r="C312" s="80">
        <f>VLOOKUP(GroupVertices[[#This Row],[Vertex]],Vertices[],MATCH("ID",Vertices[[#Headers],[Vertex]:[Top Word Pairs in Comment by Salience]],0),FALSE)</f>
        <v>278</v>
      </c>
    </row>
    <row r="313" spans="1:3" ht="15">
      <c r="A313" s="81" t="s">
        <v>2670</v>
      </c>
      <c r="B313" s="83" t="s">
        <v>480</v>
      </c>
      <c r="C313" s="80">
        <f>VLOOKUP(GroupVertices[[#This Row],[Vertex]],Vertices[],MATCH("ID",Vertices[[#Headers],[Vertex]:[Top Word Pairs in Comment by Salience]],0),FALSE)</f>
        <v>277</v>
      </c>
    </row>
    <row r="314" spans="1:3" ht="15">
      <c r="A314" s="81" t="s">
        <v>2670</v>
      </c>
      <c r="B314" s="83" t="s">
        <v>424</v>
      </c>
      <c r="C314" s="80">
        <f>VLOOKUP(GroupVertices[[#This Row],[Vertex]],Vertices[],MATCH("ID",Vertices[[#Headers],[Vertex]:[Top Word Pairs in Comment by Salience]],0),FALSE)</f>
        <v>220</v>
      </c>
    </row>
    <row r="315" spans="1:3" ht="15">
      <c r="A315" s="81" t="s">
        <v>2670</v>
      </c>
      <c r="B315" s="83" t="s">
        <v>423</v>
      </c>
      <c r="C315" s="80">
        <f>VLOOKUP(GroupVertices[[#This Row],[Vertex]],Vertices[],MATCH("ID",Vertices[[#Headers],[Vertex]:[Top Word Pairs in Comment by Salience]],0),FALSE)</f>
        <v>219</v>
      </c>
    </row>
    <row r="316" spans="1:3" ht="15">
      <c r="A316" s="81" t="s">
        <v>2670</v>
      </c>
      <c r="B316" s="83" t="s">
        <v>422</v>
      </c>
      <c r="C316" s="80">
        <f>VLOOKUP(GroupVertices[[#This Row],[Vertex]],Vertices[],MATCH("ID",Vertices[[#Headers],[Vertex]:[Top Word Pairs in Comment by Salience]],0),FALSE)</f>
        <v>218</v>
      </c>
    </row>
    <row r="317" spans="1:3" ht="15">
      <c r="A317" s="81" t="s">
        <v>2670</v>
      </c>
      <c r="B317" s="83" t="s">
        <v>421</v>
      </c>
      <c r="C317" s="80">
        <f>VLOOKUP(GroupVertices[[#This Row],[Vertex]],Vertices[],MATCH("ID",Vertices[[#Headers],[Vertex]:[Top Word Pairs in Comment by Salience]],0),FALSE)</f>
        <v>217</v>
      </c>
    </row>
    <row r="318" spans="1:3" ht="15">
      <c r="A318" s="81" t="s">
        <v>2670</v>
      </c>
      <c r="B318" s="83" t="s">
        <v>420</v>
      </c>
      <c r="C318" s="80">
        <f>VLOOKUP(GroupVertices[[#This Row],[Vertex]],Vertices[],MATCH("ID",Vertices[[#Headers],[Vertex]:[Top Word Pairs in Comment by Salience]],0),FALSE)</f>
        <v>216</v>
      </c>
    </row>
    <row r="319" spans="1:3" ht="15">
      <c r="A319" s="81" t="s">
        <v>2670</v>
      </c>
      <c r="B319" s="83" t="s">
        <v>419</v>
      </c>
      <c r="C319" s="80">
        <f>VLOOKUP(GroupVertices[[#This Row],[Vertex]],Vertices[],MATCH("ID",Vertices[[#Headers],[Vertex]:[Top Word Pairs in Comment by Salience]],0),FALSE)</f>
        <v>215</v>
      </c>
    </row>
    <row r="320" spans="1:3" ht="15">
      <c r="A320" s="81" t="s">
        <v>2670</v>
      </c>
      <c r="B320" s="83" t="s">
        <v>418</v>
      </c>
      <c r="C320" s="80">
        <f>VLOOKUP(GroupVertices[[#This Row],[Vertex]],Vertices[],MATCH("ID",Vertices[[#Headers],[Vertex]:[Top Word Pairs in Comment by Salience]],0),FALSE)</f>
        <v>214</v>
      </c>
    </row>
    <row r="321" spans="1:3" ht="15">
      <c r="A321" s="81" t="s">
        <v>2670</v>
      </c>
      <c r="B321" s="83" t="s">
        <v>417</v>
      </c>
      <c r="C321" s="80">
        <f>VLOOKUP(GroupVertices[[#This Row],[Vertex]],Vertices[],MATCH("ID",Vertices[[#Headers],[Vertex]:[Top Word Pairs in Comment by Salience]],0),FALSE)</f>
        <v>213</v>
      </c>
    </row>
    <row r="322" spans="1:3" ht="15">
      <c r="A322" s="81" t="s">
        <v>2670</v>
      </c>
      <c r="B322" s="83" t="s">
        <v>416</v>
      </c>
      <c r="C322" s="80">
        <f>VLOOKUP(GroupVertices[[#This Row],[Vertex]],Vertices[],MATCH("ID",Vertices[[#Headers],[Vertex]:[Top Word Pairs in Comment by Salience]],0),FALSE)</f>
        <v>212</v>
      </c>
    </row>
    <row r="323" spans="1:3" ht="15">
      <c r="A323" s="81" t="s">
        <v>2670</v>
      </c>
      <c r="B323" s="83" t="s">
        <v>415</v>
      </c>
      <c r="C323" s="80">
        <f>VLOOKUP(GroupVertices[[#This Row],[Vertex]],Vertices[],MATCH("ID",Vertices[[#Headers],[Vertex]:[Top Word Pairs in Comment by Salience]],0),FALSE)</f>
        <v>211</v>
      </c>
    </row>
    <row r="324" spans="1:3" ht="15">
      <c r="A324" s="81" t="s">
        <v>2670</v>
      </c>
      <c r="B324" s="83" t="s">
        <v>414</v>
      </c>
      <c r="C324" s="80">
        <f>VLOOKUP(GroupVertices[[#This Row],[Vertex]],Vertices[],MATCH("ID",Vertices[[#Headers],[Vertex]:[Top Word Pairs in Comment by Salience]],0),FALSE)</f>
        <v>210</v>
      </c>
    </row>
    <row r="325" spans="1:3" ht="15">
      <c r="A325" s="81" t="s">
        <v>2670</v>
      </c>
      <c r="B325" s="83" t="s">
        <v>413</v>
      </c>
      <c r="C325" s="80">
        <f>VLOOKUP(GroupVertices[[#This Row],[Vertex]],Vertices[],MATCH("ID",Vertices[[#Headers],[Vertex]:[Top Word Pairs in Comment by Salience]],0),FALSE)</f>
        <v>209</v>
      </c>
    </row>
    <row r="326" spans="1:3" ht="15">
      <c r="A326" s="81" t="s">
        <v>2670</v>
      </c>
      <c r="B326" s="83" t="s">
        <v>412</v>
      </c>
      <c r="C326" s="80">
        <f>VLOOKUP(GroupVertices[[#This Row],[Vertex]],Vertices[],MATCH("ID",Vertices[[#Headers],[Vertex]:[Top Word Pairs in Comment by Salience]],0),FALSE)</f>
        <v>208</v>
      </c>
    </row>
    <row r="327" spans="1:3" ht="15">
      <c r="A327" s="81" t="s">
        <v>2670</v>
      </c>
      <c r="B327" s="83" t="s">
        <v>411</v>
      </c>
      <c r="C327" s="80">
        <f>VLOOKUP(GroupVertices[[#This Row],[Vertex]],Vertices[],MATCH("ID",Vertices[[#Headers],[Vertex]:[Top Word Pairs in Comment by Salience]],0),FALSE)</f>
        <v>207</v>
      </c>
    </row>
    <row r="328" spans="1:3" ht="15">
      <c r="A328" s="81" t="s">
        <v>2670</v>
      </c>
      <c r="B328" s="83" t="s">
        <v>410</v>
      </c>
      <c r="C328" s="80">
        <f>VLOOKUP(GroupVertices[[#This Row],[Vertex]],Vertices[],MATCH("ID",Vertices[[#Headers],[Vertex]:[Top Word Pairs in Comment by Salience]],0),FALSE)</f>
        <v>206</v>
      </c>
    </row>
    <row r="329" spans="1:3" ht="15">
      <c r="A329" s="81" t="s">
        <v>2670</v>
      </c>
      <c r="B329" s="83" t="s">
        <v>409</v>
      </c>
      <c r="C329" s="80">
        <f>VLOOKUP(GroupVertices[[#This Row],[Vertex]],Vertices[],MATCH("ID",Vertices[[#Headers],[Vertex]:[Top Word Pairs in Comment by Salience]],0),FALSE)</f>
        <v>205</v>
      </c>
    </row>
    <row r="330" spans="1:3" ht="15">
      <c r="A330" s="81" t="s">
        <v>2670</v>
      </c>
      <c r="B330" s="83" t="s">
        <v>408</v>
      </c>
      <c r="C330" s="80">
        <f>VLOOKUP(GroupVertices[[#This Row],[Vertex]],Vertices[],MATCH("ID",Vertices[[#Headers],[Vertex]:[Top Word Pairs in Comment by Salience]],0),FALSE)</f>
        <v>204</v>
      </c>
    </row>
    <row r="331" spans="1:3" ht="15">
      <c r="A331" s="81" t="s">
        <v>2670</v>
      </c>
      <c r="B331" s="83" t="s">
        <v>407</v>
      </c>
      <c r="C331" s="80">
        <f>VLOOKUP(GroupVertices[[#This Row],[Vertex]],Vertices[],MATCH("ID",Vertices[[#Headers],[Vertex]:[Top Word Pairs in Comment by Salience]],0),FALSE)</f>
        <v>203</v>
      </c>
    </row>
    <row r="332" spans="1:3" ht="15">
      <c r="A332" s="81" t="s">
        <v>2670</v>
      </c>
      <c r="B332" s="83" t="s">
        <v>406</v>
      </c>
      <c r="C332" s="80">
        <f>VLOOKUP(GroupVertices[[#This Row],[Vertex]],Vertices[],MATCH("ID",Vertices[[#Headers],[Vertex]:[Top Word Pairs in Comment by Salience]],0),FALSE)</f>
        <v>202</v>
      </c>
    </row>
    <row r="333" spans="1:3" ht="15">
      <c r="A333" s="81" t="s">
        <v>2670</v>
      </c>
      <c r="B333" s="83" t="s">
        <v>405</v>
      </c>
      <c r="C333" s="80">
        <f>VLOOKUP(GroupVertices[[#This Row],[Vertex]],Vertices[],MATCH("ID",Vertices[[#Headers],[Vertex]:[Top Word Pairs in Comment by Salience]],0),FALSE)</f>
        <v>201</v>
      </c>
    </row>
    <row r="334" spans="1:3" ht="15">
      <c r="A334" s="81" t="s">
        <v>2670</v>
      </c>
      <c r="B334" s="83" t="s">
        <v>404</v>
      </c>
      <c r="C334" s="80">
        <f>VLOOKUP(GroupVertices[[#This Row],[Vertex]],Vertices[],MATCH("ID",Vertices[[#Headers],[Vertex]:[Top Word Pairs in Comment by Salience]],0),FALSE)</f>
        <v>200</v>
      </c>
    </row>
    <row r="335" spans="1:3" ht="15">
      <c r="A335" s="81" t="s">
        <v>2670</v>
      </c>
      <c r="B335" s="83" t="s">
        <v>403</v>
      </c>
      <c r="C335" s="80">
        <f>VLOOKUP(GroupVertices[[#This Row],[Vertex]],Vertices[],MATCH("ID",Vertices[[#Headers],[Vertex]:[Top Word Pairs in Comment by Salience]],0),FALSE)</f>
        <v>199</v>
      </c>
    </row>
    <row r="336" spans="1:3" ht="15">
      <c r="A336" s="81" t="s">
        <v>2670</v>
      </c>
      <c r="B336" s="83" t="s">
        <v>402</v>
      </c>
      <c r="C336" s="80">
        <f>VLOOKUP(GroupVertices[[#This Row],[Vertex]],Vertices[],MATCH("ID",Vertices[[#Headers],[Vertex]:[Top Word Pairs in Comment by Salience]],0),FALSE)</f>
        <v>198</v>
      </c>
    </row>
    <row r="337" spans="1:3" ht="15">
      <c r="A337" s="81" t="s">
        <v>2670</v>
      </c>
      <c r="B337" s="83" t="s">
        <v>401</v>
      </c>
      <c r="C337" s="80">
        <f>VLOOKUP(GroupVertices[[#This Row],[Vertex]],Vertices[],MATCH("ID",Vertices[[#Headers],[Vertex]:[Top Word Pairs in Comment by Salience]],0),FALSE)</f>
        <v>197</v>
      </c>
    </row>
    <row r="338" spans="1:3" ht="15">
      <c r="A338" s="81" t="s">
        <v>2670</v>
      </c>
      <c r="B338" s="83" t="s">
        <v>400</v>
      </c>
      <c r="C338" s="80">
        <f>VLOOKUP(GroupVertices[[#This Row],[Vertex]],Vertices[],MATCH("ID",Vertices[[#Headers],[Vertex]:[Top Word Pairs in Comment by Salience]],0),FALSE)</f>
        <v>196</v>
      </c>
    </row>
    <row r="339" spans="1:3" ht="15">
      <c r="A339" s="81" t="s">
        <v>2670</v>
      </c>
      <c r="B339" s="83" t="s">
        <v>399</v>
      </c>
      <c r="C339" s="80">
        <f>VLOOKUP(GroupVertices[[#This Row],[Vertex]],Vertices[],MATCH("ID",Vertices[[#Headers],[Vertex]:[Top Word Pairs in Comment by Salience]],0),FALSE)</f>
        <v>195</v>
      </c>
    </row>
    <row r="340" spans="1:3" ht="15">
      <c r="A340" s="81" t="s">
        <v>2670</v>
      </c>
      <c r="B340" s="83" t="s">
        <v>398</v>
      </c>
      <c r="C340" s="80">
        <f>VLOOKUP(GroupVertices[[#This Row],[Vertex]],Vertices[],MATCH("ID",Vertices[[#Headers],[Vertex]:[Top Word Pairs in Comment by Salience]],0),FALSE)</f>
        <v>194</v>
      </c>
    </row>
    <row r="341" spans="1:3" ht="15">
      <c r="A341" s="81" t="s">
        <v>2670</v>
      </c>
      <c r="B341" s="83" t="s">
        <v>396</v>
      </c>
      <c r="C341" s="80">
        <f>VLOOKUP(GroupVertices[[#This Row],[Vertex]],Vertices[],MATCH("ID",Vertices[[#Headers],[Vertex]:[Top Word Pairs in Comment by Salience]],0),FALSE)</f>
        <v>193</v>
      </c>
    </row>
    <row r="342" spans="1:3" ht="15">
      <c r="A342" s="81" t="s">
        <v>2670</v>
      </c>
      <c r="B342" s="83" t="s">
        <v>397</v>
      </c>
      <c r="C342" s="80">
        <f>VLOOKUP(GroupVertices[[#This Row],[Vertex]],Vertices[],MATCH("ID",Vertices[[#Headers],[Vertex]:[Top Word Pairs in Comment by Salience]],0),FALSE)</f>
        <v>192</v>
      </c>
    </row>
    <row r="343" spans="1:3" ht="15">
      <c r="A343" s="81" t="s">
        <v>2670</v>
      </c>
      <c r="B343" s="83" t="s">
        <v>395</v>
      </c>
      <c r="C343" s="80">
        <f>VLOOKUP(GroupVertices[[#This Row],[Vertex]],Vertices[],MATCH("ID",Vertices[[#Headers],[Vertex]:[Top Word Pairs in Comment by Salience]],0),FALSE)</f>
        <v>191</v>
      </c>
    </row>
    <row r="344" spans="1:3" ht="15">
      <c r="A344" s="81" t="s">
        <v>2670</v>
      </c>
      <c r="B344" s="83" t="s">
        <v>393</v>
      </c>
      <c r="C344" s="80">
        <f>VLOOKUP(GroupVertices[[#This Row],[Vertex]],Vertices[],MATCH("ID",Vertices[[#Headers],[Vertex]:[Top Word Pairs in Comment by Salience]],0),FALSE)</f>
        <v>190</v>
      </c>
    </row>
    <row r="345" spans="1:3" ht="15">
      <c r="A345" s="81" t="s">
        <v>2670</v>
      </c>
      <c r="B345" s="83" t="s">
        <v>394</v>
      </c>
      <c r="C345" s="80">
        <f>VLOOKUP(GroupVertices[[#This Row],[Vertex]],Vertices[],MATCH("ID",Vertices[[#Headers],[Vertex]:[Top Word Pairs in Comment by Salience]],0),FALSE)</f>
        <v>183</v>
      </c>
    </row>
    <row r="346" spans="1:3" ht="15">
      <c r="A346" s="81" t="s">
        <v>2670</v>
      </c>
      <c r="B346" s="83" t="s">
        <v>391</v>
      </c>
      <c r="C346" s="80">
        <f>VLOOKUP(GroupVertices[[#This Row],[Vertex]],Vertices[],MATCH("ID",Vertices[[#Headers],[Vertex]:[Top Word Pairs in Comment by Salience]],0),FALSE)</f>
        <v>188</v>
      </c>
    </row>
    <row r="347" spans="1:3" ht="15">
      <c r="A347" s="81" t="s">
        <v>2670</v>
      </c>
      <c r="B347" s="83" t="s">
        <v>390</v>
      </c>
      <c r="C347" s="80">
        <f>VLOOKUP(GroupVertices[[#This Row],[Vertex]],Vertices[],MATCH("ID",Vertices[[#Headers],[Vertex]:[Top Word Pairs in Comment by Salience]],0),FALSE)</f>
        <v>187</v>
      </c>
    </row>
    <row r="348" spans="1:3" ht="15">
      <c r="A348" s="81" t="s">
        <v>2670</v>
      </c>
      <c r="B348" s="83" t="s">
        <v>389</v>
      </c>
      <c r="C348" s="80">
        <f>VLOOKUP(GroupVertices[[#This Row],[Vertex]],Vertices[],MATCH("ID",Vertices[[#Headers],[Vertex]:[Top Word Pairs in Comment by Salience]],0),FALSE)</f>
        <v>186</v>
      </c>
    </row>
    <row r="349" spans="1:3" ht="15">
      <c r="A349" s="81" t="s">
        <v>2670</v>
      </c>
      <c r="B349" s="83" t="s">
        <v>388</v>
      </c>
      <c r="C349" s="80">
        <f>VLOOKUP(GroupVertices[[#This Row],[Vertex]],Vertices[],MATCH("ID",Vertices[[#Headers],[Vertex]:[Top Word Pairs in Comment by Salience]],0),FALSE)</f>
        <v>185</v>
      </c>
    </row>
    <row r="350" spans="1:3" ht="15">
      <c r="A350" s="81" t="s">
        <v>2670</v>
      </c>
      <c r="B350" s="83" t="s">
        <v>387</v>
      </c>
      <c r="C350" s="80">
        <f>VLOOKUP(GroupVertices[[#This Row],[Vertex]],Vertices[],MATCH("ID",Vertices[[#Headers],[Vertex]:[Top Word Pairs in Comment by Salience]],0),FALSE)</f>
        <v>184</v>
      </c>
    </row>
    <row r="351" spans="1:3" ht="15">
      <c r="A351" s="81" t="s">
        <v>2670</v>
      </c>
      <c r="B351" s="83" t="s">
        <v>384</v>
      </c>
      <c r="C351" s="80">
        <f>VLOOKUP(GroupVertices[[#This Row],[Vertex]],Vertices[],MATCH("ID",Vertices[[#Headers],[Vertex]:[Top Word Pairs in Comment by Salience]],0),FALSE)</f>
        <v>180</v>
      </c>
    </row>
    <row r="352" spans="1:3" ht="15">
      <c r="A352" s="81" t="s">
        <v>2670</v>
      </c>
      <c r="B352" s="83" t="s">
        <v>386</v>
      </c>
      <c r="C352" s="80">
        <f>VLOOKUP(GroupVertices[[#This Row],[Vertex]],Vertices[],MATCH("ID",Vertices[[#Headers],[Vertex]:[Top Word Pairs in Comment by Salience]],0),FALSE)</f>
        <v>182</v>
      </c>
    </row>
    <row r="353" spans="1:3" ht="15">
      <c r="A353" s="81" t="s">
        <v>2670</v>
      </c>
      <c r="B353" s="83" t="s">
        <v>385</v>
      </c>
      <c r="C353" s="80">
        <f>VLOOKUP(GroupVertices[[#This Row],[Vertex]],Vertices[],MATCH("ID",Vertices[[#Headers],[Vertex]:[Top Word Pairs in Comment by Salience]],0),FALSE)</f>
        <v>181</v>
      </c>
    </row>
    <row r="354" spans="1:3" ht="15">
      <c r="A354" s="81" t="s">
        <v>2670</v>
      </c>
      <c r="B354" s="83" t="s">
        <v>383</v>
      </c>
      <c r="C354" s="80">
        <f>VLOOKUP(GroupVertices[[#This Row],[Vertex]],Vertices[],MATCH("ID",Vertices[[#Headers],[Vertex]:[Top Word Pairs in Comment by Salience]],0),FALSE)</f>
        <v>179</v>
      </c>
    </row>
    <row r="355" spans="1:3" ht="15">
      <c r="A355" s="81" t="s">
        <v>2670</v>
      </c>
      <c r="B355" s="83" t="s">
        <v>382</v>
      </c>
      <c r="C355" s="80">
        <f>VLOOKUP(GroupVertices[[#This Row],[Vertex]],Vertices[],MATCH("ID",Vertices[[#Headers],[Vertex]:[Top Word Pairs in Comment by Salience]],0),FALSE)</f>
        <v>178</v>
      </c>
    </row>
    <row r="356" spans="1:3" ht="15">
      <c r="A356" s="81" t="s">
        <v>2670</v>
      </c>
      <c r="B356" s="83" t="s">
        <v>381</v>
      </c>
      <c r="C356" s="80">
        <f>VLOOKUP(GroupVertices[[#This Row],[Vertex]],Vertices[],MATCH("ID",Vertices[[#Headers],[Vertex]:[Top Word Pairs in Comment by Salience]],0),FALSE)</f>
        <v>177</v>
      </c>
    </row>
    <row r="357" spans="1:3" ht="15">
      <c r="A357" s="81" t="s">
        <v>2670</v>
      </c>
      <c r="B357" s="83" t="s">
        <v>380</v>
      </c>
      <c r="C357" s="80">
        <f>VLOOKUP(GroupVertices[[#This Row],[Vertex]],Vertices[],MATCH("ID",Vertices[[#Headers],[Vertex]:[Top Word Pairs in Comment by Salience]],0),FALSE)</f>
        <v>176</v>
      </c>
    </row>
    <row r="358" spans="1:3" ht="15">
      <c r="A358" s="81" t="s">
        <v>2670</v>
      </c>
      <c r="B358" s="83" t="s">
        <v>379</v>
      </c>
      <c r="C358" s="80">
        <f>VLOOKUP(GroupVertices[[#This Row],[Vertex]],Vertices[],MATCH("ID",Vertices[[#Headers],[Vertex]:[Top Word Pairs in Comment by Salience]],0),FALSE)</f>
        <v>175</v>
      </c>
    </row>
    <row r="359" spans="1:3" ht="15">
      <c r="A359" s="81" t="s">
        <v>2670</v>
      </c>
      <c r="B359" s="83" t="s">
        <v>378</v>
      </c>
      <c r="C359" s="80">
        <f>VLOOKUP(GroupVertices[[#This Row],[Vertex]],Vertices[],MATCH("ID",Vertices[[#Headers],[Vertex]:[Top Word Pairs in Comment by Salience]],0),FALSE)</f>
        <v>174</v>
      </c>
    </row>
    <row r="360" spans="1:3" ht="15">
      <c r="A360" s="81" t="s">
        <v>2670</v>
      </c>
      <c r="B360" s="83" t="s">
        <v>377</v>
      </c>
      <c r="C360" s="80">
        <f>VLOOKUP(GroupVertices[[#This Row],[Vertex]],Vertices[],MATCH("ID",Vertices[[#Headers],[Vertex]:[Top Word Pairs in Comment by Salience]],0),FALSE)</f>
        <v>173</v>
      </c>
    </row>
    <row r="361" spans="1:3" ht="15">
      <c r="A361" s="81" t="s">
        <v>2670</v>
      </c>
      <c r="B361" s="83" t="s">
        <v>376</v>
      </c>
      <c r="C361" s="80">
        <f>VLOOKUP(GroupVertices[[#This Row],[Vertex]],Vertices[],MATCH("ID",Vertices[[#Headers],[Vertex]:[Top Word Pairs in Comment by Salience]],0),FALSE)</f>
        <v>172</v>
      </c>
    </row>
    <row r="362" spans="1:3" ht="15">
      <c r="A362" s="81" t="s">
        <v>2670</v>
      </c>
      <c r="B362" s="83" t="s">
        <v>375</v>
      </c>
      <c r="C362" s="80">
        <f>VLOOKUP(GroupVertices[[#This Row],[Vertex]],Vertices[],MATCH("ID",Vertices[[#Headers],[Vertex]:[Top Word Pairs in Comment by Salience]],0),FALSE)</f>
        <v>171</v>
      </c>
    </row>
    <row r="363" spans="1:3" ht="15">
      <c r="A363" s="81" t="s">
        <v>2670</v>
      </c>
      <c r="B363" s="83" t="s">
        <v>374</v>
      </c>
      <c r="C363" s="80">
        <f>VLOOKUP(GroupVertices[[#This Row],[Vertex]],Vertices[],MATCH("ID",Vertices[[#Headers],[Vertex]:[Top Word Pairs in Comment by Salience]],0),FALSE)</f>
        <v>169</v>
      </c>
    </row>
    <row r="364" spans="1:3" ht="15">
      <c r="A364" s="81" t="s">
        <v>2670</v>
      </c>
      <c r="B364" s="83" t="s">
        <v>373</v>
      </c>
      <c r="C364" s="80">
        <f>VLOOKUP(GroupVertices[[#This Row],[Vertex]],Vertices[],MATCH("ID",Vertices[[#Headers],[Vertex]:[Top Word Pairs in Comment by Salience]],0),FALSE)</f>
        <v>168</v>
      </c>
    </row>
    <row r="365" spans="1:3" ht="15">
      <c r="A365" s="81" t="s">
        <v>2671</v>
      </c>
      <c r="B365" s="83" t="s">
        <v>733</v>
      </c>
      <c r="C365" s="80">
        <f>VLOOKUP(GroupVertices[[#This Row],[Vertex]],Vertices[],MATCH("ID",Vertices[[#Headers],[Vertex]:[Top Word Pairs in Comment by Salience]],0),FALSE)</f>
        <v>535</v>
      </c>
    </row>
    <row r="366" spans="1:3" ht="15">
      <c r="A366" s="81" t="s">
        <v>2671</v>
      </c>
      <c r="B366" s="83" t="s">
        <v>841</v>
      </c>
      <c r="C366" s="80">
        <f>VLOOKUP(GroupVertices[[#This Row],[Vertex]],Vertices[],MATCH("ID",Vertices[[#Headers],[Vertex]:[Top Word Pairs in Comment by Salience]],0),FALSE)</f>
        <v>222</v>
      </c>
    </row>
    <row r="367" spans="1:3" ht="15">
      <c r="A367" s="81" t="s">
        <v>2671</v>
      </c>
      <c r="B367" s="83" t="s">
        <v>732</v>
      </c>
      <c r="C367" s="80">
        <f>VLOOKUP(GroupVertices[[#This Row],[Vertex]],Vertices[],MATCH("ID",Vertices[[#Headers],[Vertex]:[Top Word Pairs in Comment by Salience]],0),FALSE)</f>
        <v>534</v>
      </c>
    </row>
    <row r="368" spans="1:3" ht="15">
      <c r="A368" s="81" t="s">
        <v>2671</v>
      </c>
      <c r="B368" s="83" t="s">
        <v>731</v>
      </c>
      <c r="C368" s="80">
        <f>VLOOKUP(GroupVertices[[#This Row],[Vertex]],Vertices[],MATCH("ID",Vertices[[#Headers],[Vertex]:[Top Word Pairs in Comment by Salience]],0),FALSE)</f>
        <v>533</v>
      </c>
    </row>
    <row r="369" spans="1:3" ht="15">
      <c r="A369" s="81" t="s">
        <v>2671</v>
      </c>
      <c r="B369" s="83" t="s">
        <v>730</v>
      </c>
      <c r="C369" s="80">
        <f>VLOOKUP(GroupVertices[[#This Row],[Vertex]],Vertices[],MATCH("ID",Vertices[[#Headers],[Vertex]:[Top Word Pairs in Comment by Salience]],0),FALSE)</f>
        <v>532</v>
      </c>
    </row>
    <row r="370" spans="1:3" ht="15">
      <c r="A370" s="81" t="s">
        <v>2671</v>
      </c>
      <c r="B370" s="83" t="s">
        <v>729</v>
      </c>
      <c r="C370" s="80">
        <f>VLOOKUP(GroupVertices[[#This Row],[Vertex]],Vertices[],MATCH("ID",Vertices[[#Headers],[Vertex]:[Top Word Pairs in Comment by Salience]],0),FALSE)</f>
        <v>531</v>
      </c>
    </row>
    <row r="371" spans="1:3" ht="15">
      <c r="A371" s="81" t="s">
        <v>2671</v>
      </c>
      <c r="B371" s="83" t="s">
        <v>728</v>
      </c>
      <c r="C371" s="80">
        <f>VLOOKUP(GroupVertices[[#This Row],[Vertex]],Vertices[],MATCH("ID",Vertices[[#Headers],[Vertex]:[Top Word Pairs in Comment by Salience]],0),FALSE)</f>
        <v>530</v>
      </c>
    </row>
    <row r="372" spans="1:3" ht="15">
      <c r="A372" s="81" t="s">
        <v>2671</v>
      </c>
      <c r="B372" s="83" t="s">
        <v>726</v>
      </c>
      <c r="C372" s="80">
        <f>VLOOKUP(GroupVertices[[#This Row],[Vertex]],Vertices[],MATCH("ID",Vertices[[#Headers],[Vertex]:[Top Word Pairs in Comment by Salience]],0),FALSE)</f>
        <v>529</v>
      </c>
    </row>
    <row r="373" spans="1:3" ht="15">
      <c r="A373" s="81" t="s">
        <v>2671</v>
      </c>
      <c r="B373" s="83" t="s">
        <v>727</v>
      </c>
      <c r="C373" s="80">
        <f>VLOOKUP(GroupVertices[[#This Row],[Vertex]],Vertices[],MATCH("ID",Vertices[[#Headers],[Vertex]:[Top Word Pairs in Comment by Salience]],0),FALSE)</f>
        <v>528</v>
      </c>
    </row>
    <row r="374" spans="1:3" ht="15">
      <c r="A374" s="81" t="s">
        <v>2671</v>
      </c>
      <c r="B374" s="83" t="s">
        <v>725</v>
      </c>
      <c r="C374" s="80">
        <f>VLOOKUP(GroupVertices[[#This Row],[Vertex]],Vertices[],MATCH("ID",Vertices[[#Headers],[Vertex]:[Top Word Pairs in Comment by Salience]],0),FALSE)</f>
        <v>527</v>
      </c>
    </row>
    <row r="375" spans="1:3" ht="15">
      <c r="A375" s="81" t="s">
        <v>2671</v>
      </c>
      <c r="B375" s="83" t="s">
        <v>724</v>
      </c>
      <c r="C375" s="80">
        <f>VLOOKUP(GroupVertices[[#This Row],[Vertex]],Vertices[],MATCH("ID",Vertices[[#Headers],[Vertex]:[Top Word Pairs in Comment by Salience]],0),FALSE)</f>
        <v>526</v>
      </c>
    </row>
    <row r="376" spans="1:3" ht="15">
      <c r="A376" s="81" t="s">
        <v>2671</v>
      </c>
      <c r="B376" s="83" t="s">
        <v>705</v>
      </c>
      <c r="C376" s="80">
        <f>VLOOKUP(GroupVertices[[#This Row],[Vertex]],Vertices[],MATCH("ID",Vertices[[#Headers],[Vertex]:[Top Word Pairs in Comment by Salience]],0),FALSE)</f>
        <v>506</v>
      </c>
    </row>
    <row r="377" spans="1:3" ht="15">
      <c r="A377" s="81" t="s">
        <v>2671</v>
      </c>
      <c r="B377" s="83" t="s">
        <v>704</v>
      </c>
      <c r="C377" s="80">
        <f>VLOOKUP(GroupVertices[[#This Row],[Vertex]],Vertices[],MATCH("ID",Vertices[[#Headers],[Vertex]:[Top Word Pairs in Comment by Salience]],0),FALSE)</f>
        <v>505</v>
      </c>
    </row>
    <row r="378" spans="1:3" ht="15">
      <c r="A378" s="81" t="s">
        <v>2671</v>
      </c>
      <c r="B378" s="83" t="s">
        <v>593</v>
      </c>
      <c r="C378" s="80">
        <f>VLOOKUP(GroupVertices[[#This Row],[Vertex]],Vertices[],MATCH("ID",Vertices[[#Headers],[Vertex]:[Top Word Pairs in Comment by Salience]],0),FALSE)</f>
        <v>394</v>
      </c>
    </row>
    <row r="379" spans="1:3" ht="15">
      <c r="A379" s="81" t="s">
        <v>2671</v>
      </c>
      <c r="B379" s="83" t="s">
        <v>541</v>
      </c>
      <c r="C379" s="80">
        <f>VLOOKUP(GroupVertices[[#This Row],[Vertex]],Vertices[],MATCH("ID",Vertices[[#Headers],[Vertex]:[Top Word Pairs in Comment by Salience]],0),FALSE)</f>
        <v>342</v>
      </c>
    </row>
    <row r="380" spans="1:3" ht="15">
      <c r="A380" s="81" t="s">
        <v>2671</v>
      </c>
      <c r="B380" s="83" t="s">
        <v>540</v>
      </c>
      <c r="C380" s="80">
        <f>VLOOKUP(GroupVertices[[#This Row],[Vertex]],Vertices[],MATCH("ID",Vertices[[#Headers],[Vertex]:[Top Word Pairs in Comment by Salience]],0),FALSE)</f>
        <v>341</v>
      </c>
    </row>
    <row r="381" spans="1:3" ht="15">
      <c r="A381" s="81" t="s">
        <v>2671</v>
      </c>
      <c r="B381" s="83" t="s">
        <v>539</v>
      </c>
      <c r="C381" s="80">
        <f>VLOOKUP(GroupVertices[[#This Row],[Vertex]],Vertices[],MATCH("ID",Vertices[[#Headers],[Vertex]:[Top Word Pairs in Comment by Salience]],0),FALSE)</f>
        <v>340</v>
      </c>
    </row>
    <row r="382" spans="1:3" ht="15">
      <c r="A382" s="81" t="s">
        <v>2671</v>
      </c>
      <c r="B382" s="83" t="s">
        <v>538</v>
      </c>
      <c r="C382" s="80">
        <f>VLOOKUP(GroupVertices[[#This Row],[Vertex]],Vertices[],MATCH("ID",Vertices[[#Headers],[Vertex]:[Top Word Pairs in Comment by Salience]],0),FALSE)</f>
        <v>339</v>
      </c>
    </row>
    <row r="383" spans="1:3" ht="15">
      <c r="A383" s="81" t="s">
        <v>2671</v>
      </c>
      <c r="B383" s="83" t="s">
        <v>537</v>
      </c>
      <c r="C383" s="80">
        <f>VLOOKUP(GroupVertices[[#This Row],[Vertex]],Vertices[],MATCH("ID",Vertices[[#Headers],[Vertex]:[Top Word Pairs in Comment by Salience]],0),FALSE)</f>
        <v>338</v>
      </c>
    </row>
    <row r="384" spans="1:3" ht="15">
      <c r="A384" s="81" t="s">
        <v>2671</v>
      </c>
      <c r="B384" s="83" t="s">
        <v>536</v>
      </c>
      <c r="C384" s="80">
        <f>VLOOKUP(GroupVertices[[#This Row],[Vertex]],Vertices[],MATCH("ID",Vertices[[#Headers],[Vertex]:[Top Word Pairs in Comment by Salience]],0),FALSE)</f>
        <v>337</v>
      </c>
    </row>
    <row r="385" spans="1:3" ht="15">
      <c r="A385" s="81" t="s">
        <v>2671</v>
      </c>
      <c r="B385" s="83" t="s">
        <v>535</v>
      </c>
      <c r="C385" s="80">
        <f>VLOOKUP(GroupVertices[[#This Row],[Vertex]],Vertices[],MATCH("ID",Vertices[[#Headers],[Vertex]:[Top Word Pairs in Comment by Salience]],0),FALSE)</f>
        <v>336</v>
      </c>
    </row>
    <row r="386" spans="1:3" ht="15">
      <c r="A386" s="81" t="s">
        <v>2671</v>
      </c>
      <c r="B386" s="83" t="s">
        <v>534</v>
      </c>
      <c r="C386" s="80">
        <f>VLOOKUP(GroupVertices[[#This Row],[Vertex]],Vertices[],MATCH("ID",Vertices[[#Headers],[Vertex]:[Top Word Pairs in Comment by Salience]],0),FALSE)</f>
        <v>335</v>
      </c>
    </row>
    <row r="387" spans="1:3" ht="15">
      <c r="A387" s="81" t="s">
        <v>2671</v>
      </c>
      <c r="B387" s="83" t="s">
        <v>533</v>
      </c>
      <c r="C387" s="80">
        <f>VLOOKUP(GroupVertices[[#This Row],[Vertex]],Vertices[],MATCH("ID",Vertices[[#Headers],[Vertex]:[Top Word Pairs in Comment by Salience]],0),FALSE)</f>
        <v>334</v>
      </c>
    </row>
    <row r="388" spans="1:3" ht="15">
      <c r="A388" s="81" t="s">
        <v>2671</v>
      </c>
      <c r="B388" s="83" t="s">
        <v>532</v>
      </c>
      <c r="C388" s="80">
        <f>VLOOKUP(GroupVertices[[#This Row],[Vertex]],Vertices[],MATCH("ID",Vertices[[#Headers],[Vertex]:[Top Word Pairs in Comment by Salience]],0),FALSE)</f>
        <v>333</v>
      </c>
    </row>
    <row r="389" spans="1:3" ht="15">
      <c r="A389" s="81" t="s">
        <v>2671</v>
      </c>
      <c r="B389" s="83" t="s">
        <v>443</v>
      </c>
      <c r="C389" s="80">
        <f>VLOOKUP(GroupVertices[[#This Row],[Vertex]],Vertices[],MATCH("ID",Vertices[[#Headers],[Vertex]:[Top Word Pairs in Comment by Salience]],0),FALSE)</f>
        <v>240</v>
      </c>
    </row>
    <row r="390" spans="1:3" ht="15">
      <c r="A390" s="81" t="s">
        <v>2671</v>
      </c>
      <c r="B390" s="83" t="s">
        <v>442</v>
      </c>
      <c r="C390" s="80">
        <f>VLOOKUP(GroupVertices[[#This Row],[Vertex]],Vertices[],MATCH("ID",Vertices[[#Headers],[Vertex]:[Top Word Pairs in Comment by Salience]],0),FALSE)</f>
        <v>239</v>
      </c>
    </row>
    <row r="391" spans="1:3" ht="15">
      <c r="A391" s="81" t="s">
        <v>2671</v>
      </c>
      <c r="B391" s="83" t="s">
        <v>441</v>
      </c>
      <c r="C391" s="80">
        <f>VLOOKUP(GroupVertices[[#This Row],[Vertex]],Vertices[],MATCH("ID",Vertices[[#Headers],[Vertex]:[Top Word Pairs in Comment by Salience]],0),FALSE)</f>
        <v>238</v>
      </c>
    </row>
    <row r="392" spans="1:3" ht="15">
      <c r="A392" s="81" t="s">
        <v>2671</v>
      </c>
      <c r="B392" s="83" t="s">
        <v>440</v>
      </c>
      <c r="C392" s="80">
        <f>VLOOKUP(GroupVertices[[#This Row],[Vertex]],Vertices[],MATCH("ID",Vertices[[#Headers],[Vertex]:[Top Word Pairs in Comment by Salience]],0),FALSE)</f>
        <v>237</v>
      </c>
    </row>
    <row r="393" spans="1:3" ht="15">
      <c r="A393" s="81" t="s">
        <v>2671</v>
      </c>
      <c r="B393" s="83" t="s">
        <v>439</v>
      </c>
      <c r="C393" s="80">
        <f>VLOOKUP(GroupVertices[[#This Row],[Vertex]],Vertices[],MATCH("ID",Vertices[[#Headers],[Vertex]:[Top Word Pairs in Comment by Salience]],0),FALSE)</f>
        <v>236</v>
      </c>
    </row>
    <row r="394" spans="1:3" ht="15">
      <c r="A394" s="81" t="s">
        <v>2671</v>
      </c>
      <c r="B394" s="83" t="s">
        <v>437</v>
      </c>
      <c r="C394" s="80">
        <f>VLOOKUP(GroupVertices[[#This Row],[Vertex]],Vertices[],MATCH("ID",Vertices[[#Headers],[Vertex]:[Top Word Pairs in Comment by Salience]],0),FALSE)</f>
        <v>234</v>
      </c>
    </row>
    <row r="395" spans="1:3" ht="15">
      <c r="A395" s="81" t="s">
        <v>2671</v>
      </c>
      <c r="B395" s="83" t="s">
        <v>438</v>
      </c>
      <c r="C395" s="80">
        <f>VLOOKUP(GroupVertices[[#This Row],[Vertex]],Vertices[],MATCH("ID",Vertices[[#Headers],[Vertex]:[Top Word Pairs in Comment by Salience]],0),FALSE)</f>
        <v>235</v>
      </c>
    </row>
    <row r="396" spans="1:3" ht="15">
      <c r="A396" s="81" t="s">
        <v>2671</v>
      </c>
      <c r="B396" s="83" t="s">
        <v>436</v>
      </c>
      <c r="C396" s="80">
        <f>VLOOKUP(GroupVertices[[#This Row],[Vertex]],Vertices[],MATCH("ID",Vertices[[#Headers],[Vertex]:[Top Word Pairs in Comment by Salience]],0),FALSE)</f>
        <v>233</v>
      </c>
    </row>
    <row r="397" spans="1:3" ht="15">
      <c r="A397" s="81" t="s">
        <v>2671</v>
      </c>
      <c r="B397" s="83" t="s">
        <v>435</v>
      </c>
      <c r="C397" s="80">
        <f>VLOOKUP(GroupVertices[[#This Row],[Vertex]],Vertices[],MATCH("ID",Vertices[[#Headers],[Vertex]:[Top Word Pairs in Comment by Salience]],0),FALSE)</f>
        <v>232</v>
      </c>
    </row>
    <row r="398" spans="1:3" ht="15">
      <c r="A398" s="81" t="s">
        <v>2671</v>
      </c>
      <c r="B398" s="83" t="s">
        <v>434</v>
      </c>
      <c r="C398" s="80">
        <f>VLOOKUP(GroupVertices[[#This Row],[Vertex]],Vertices[],MATCH("ID",Vertices[[#Headers],[Vertex]:[Top Word Pairs in Comment by Salience]],0),FALSE)</f>
        <v>231</v>
      </c>
    </row>
    <row r="399" spans="1:3" ht="15">
      <c r="A399" s="81" t="s">
        <v>2671</v>
      </c>
      <c r="B399" s="83" t="s">
        <v>433</v>
      </c>
      <c r="C399" s="80">
        <f>VLOOKUP(GroupVertices[[#This Row],[Vertex]],Vertices[],MATCH("ID",Vertices[[#Headers],[Vertex]:[Top Word Pairs in Comment by Salience]],0),FALSE)</f>
        <v>230</v>
      </c>
    </row>
    <row r="400" spans="1:3" ht="15">
      <c r="A400" s="81" t="s">
        <v>2671</v>
      </c>
      <c r="B400" s="83" t="s">
        <v>432</v>
      </c>
      <c r="C400" s="80">
        <f>VLOOKUP(GroupVertices[[#This Row],[Vertex]],Vertices[],MATCH("ID",Vertices[[#Headers],[Vertex]:[Top Word Pairs in Comment by Salience]],0),FALSE)</f>
        <v>229</v>
      </c>
    </row>
    <row r="401" spans="1:3" ht="15">
      <c r="A401" s="81" t="s">
        <v>2671</v>
      </c>
      <c r="B401" s="83" t="s">
        <v>431</v>
      </c>
      <c r="C401" s="80">
        <f>VLOOKUP(GroupVertices[[#This Row],[Vertex]],Vertices[],MATCH("ID",Vertices[[#Headers],[Vertex]:[Top Word Pairs in Comment by Salience]],0),FALSE)</f>
        <v>228</v>
      </c>
    </row>
    <row r="402" spans="1:3" ht="15">
      <c r="A402" s="81" t="s">
        <v>2671</v>
      </c>
      <c r="B402" s="83" t="s">
        <v>430</v>
      </c>
      <c r="C402" s="80">
        <f>VLOOKUP(GroupVertices[[#This Row],[Vertex]],Vertices[],MATCH("ID",Vertices[[#Headers],[Vertex]:[Top Word Pairs in Comment by Salience]],0),FALSE)</f>
        <v>227</v>
      </c>
    </row>
    <row r="403" spans="1:3" ht="15">
      <c r="A403" s="81" t="s">
        <v>2671</v>
      </c>
      <c r="B403" s="83" t="s">
        <v>429</v>
      </c>
      <c r="C403" s="80">
        <f>VLOOKUP(GroupVertices[[#This Row],[Vertex]],Vertices[],MATCH("ID",Vertices[[#Headers],[Vertex]:[Top Word Pairs in Comment by Salience]],0),FALSE)</f>
        <v>226</v>
      </c>
    </row>
    <row r="404" spans="1:3" ht="15">
      <c r="A404" s="81" t="s">
        <v>2671</v>
      </c>
      <c r="B404" s="83" t="s">
        <v>428</v>
      </c>
      <c r="C404" s="80">
        <f>VLOOKUP(GroupVertices[[#This Row],[Vertex]],Vertices[],MATCH("ID",Vertices[[#Headers],[Vertex]:[Top Word Pairs in Comment by Salience]],0),FALSE)</f>
        <v>225</v>
      </c>
    </row>
    <row r="405" spans="1:3" ht="15">
      <c r="A405" s="81" t="s">
        <v>2671</v>
      </c>
      <c r="B405" s="83" t="s">
        <v>427</v>
      </c>
      <c r="C405" s="80">
        <f>VLOOKUP(GroupVertices[[#This Row],[Vertex]],Vertices[],MATCH("ID",Vertices[[#Headers],[Vertex]:[Top Word Pairs in Comment by Salience]],0),FALSE)</f>
        <v>224</v>
      </c>
    </row>
    <row r="406" spans="1:3" ht="15">
      <c r="A406" s="81" t="s">
        <v>2671</v>
      </c>
      <c r="B406" s="83" t="s">
        <v>426</v>
      </c>
      <c r="C406" s="80">
        <f>VLOOKUP(GroupVertices[[#This Row],[Vertex]],Vertices[],MATCH("ID",Vertices[[#Headers],[Vertex]:[Top Word Pairs in Comment by Salience]],0),FALSE)</f>
        <v>223</v>
      </c>
    </row>
    <row r="407" spans="1:3" ht="15">
      <c r="A407" s="81" t="s">
        <v>2671</v>
      </c>
      <c r="B407" s="83" t="s">
        <v>425</v>
      </c>
      <c r="C407" s="80">
        <f>VLOOKUP(GroupVertices[[#This Row],[Vertex]],Vertices[],MATCH("ID",Vertices[[#Headers],[Vertex]:[Top Word Pairs in Comment by Salience]],0),FALSE)</f>
        <v>221</v>
      </c>
    </row>
    <row r="408" spans="1:3" ht="15">
      <c r="A408" s="81" t="s">
        <v>2672</v>
      </c>
      <c r="B408" s="83" t="s">
        <v>271</v>
      </c>
      <c r="C408" s="80">
        <f>VLOOKUP(GroupVertices[[#This Row],[Vertex]],Vertices[],MATCH("ID",Vertices[[#Headers],[Vertex]:[Top Word Pairs in Comment by Salience]],0),FALSE)</f>
        <v>64</v>
      </c>
    </row>
    <row r="409" spans="1:3" ht="15">
      <c r="A409" s="81" t="s">
        <v>2672</v>
      </c>
      <c r="B409" s="83" t="s">
        <v>826</v>
      </c>
      <c r="C409" s="80">
        <f>VLOOKUP(GroupVertices[[#This Row],[Vertex]],Vertices[],MATCH("ID",Vertices[[#Headers],[Vertex]:[Top Word Pairs in Comment by Salience]],0),FALSE)</f>
        <v>32</v>
      </c>
    </row>
    <row r="410" spans="1:3" ht="15">
      <c r="A410" s="81" t="s">
        <v>2672</v>
      </c>
      <c r="B410" s="83" t="s">
        <v>270</v>
      </c>
      <c r="C410" s="80">
        <f>VLOOKUP(GroupVertices[[#This Row],[Vertex]],Vertices[],MATCH("ID",Vertices[[#Headers],[Vertex]:[Top Word Pairs in Comment by Salience]],0),FALSE)</f>
        <v>63</v>
      </c>
    </row>
    <row r="411" spans="1:3" ht="15">
      <c r="A411" s="81" t="s">
        <v>2672</v>
      </c>
      <c r="B411" s="83" t="s">
        <v>269</v>
      </c>
      <c r="C411" s="80">
        <f>VLOOKUP(GroupVertices[[#This Row],[Vertex]],Vertices[],MATCH("ID",Vertices[[#Headers],[Vertex]:[Top Word Pairs in Comment by Salience]],0),FALSE)</f>
        <v>62</v>
      </c>
    </row>
    <row r="412" spans="1:3" ht="15">
      <c r="A412" s="81" t="s">
        <v>2672</v>
      </c>
      <c r="B412" s="83" t="s">
        <v>268</v>
      </c>
      <c r="C412" s="80">
        <f>VLOOKUP(GroupVertices[[#This Row],[Vertex]],Vertices[],MATCH("ID",Vertices[[#Headers],[Vertex]:[Top Word Pairs in Comment by Salience]],0),FALSE)</f>
        <v>61</v>
      </c>
    </row>
    <row r="413" spans="1:3" ht="15">
      <c r="A413" s="81" t="s">
        <v>2672</v>
      </c>
      <c r="B413" s="83" t="s">
        <v>267</v>
      </c>
      <c r="C413" s="80">
        <f>VLOOKUP(GroupVertices[[#This Row],[Vertex]],Vertices[],MATCH("ID",Vertices[[#Headers],[Vertex]:[Top Word Pairs in Comment by Salience]],0),FALSE)</f>
        <v>60</v>
      </c>
    </row>
    <row r="414" spans="1:3" ht="15">
      <c r="A414" s="81" t="s">
        <v>2672</v>
      </c>
      <c r="B414" s="83" t="s">
        <v>266</v>
      </c>
      <c r="C414" s="80">
        <f>VLOOKUP(GroupVertices[[#This Row],[Vertex]],Vertices[],MATCH("ID",Vertices[[#Headers],[Vertex]:[Top Word Pairs in Comment by Salience]],0),FALSE)</f>
        <v>59</v>
      </c>
    </row>
    <row r="415" spans="1:3" ht="15">
      <c r="A415" s="81" t="s">
        <v>2672</v>
      </c>
      <c r="B415" s="83" t="s">
        <v>265</v>
      </c>
      <c r="C415" s="80">
        <f>VLOOKUP(GroupVertices[[#This Row],[Vertex]],Vertices[],MATCH("ID",Vertices[[#Headers],[Vertex]:[Top Word Pairs in Comment by Salience]],0),FALSE)</f>
        <v>58</v>
      </c>
    </row>
    <row r="416" spans="1:3" ht="15">
      <c r="A416" s="81" t="s">
        <v>2672</v>
      </c>
      <c r="B416" s="83" t="s">
        <v>264</v>
      </c>
      <c r="C416" s="80">
        <f>VLOOKUP(GroupVertices[[#This Row],[Vertex]],Vertices[],MATCH("ID",Vertices[[#Headers],[Vertex]:[Top Word Pairs in Comment by Salience]],0),FALSE)</f>
        <v>57</v>
      </c>
    </row>
    <row r="417" spans="1:3" ht="15">
      <c r="A417" s="81" t="s">
        <v>2672</v>
      </c>
      <c r="B417" s="83" t="s">
        <v>263</v>
      </c>
      <c r="C417" s="80">
        <f>VLOOKUP(GroupVertices[[#This Row],[Vertex]],Vertices[],MATCH("ID",Vertices[[#Headers],[Vertex]:[Top Word Pairs in Comment by Salience]],0),FALSE)</f>
        <v>56</v>
      </c>
    </row>
    <row r="418" spans="1:3" ht="15">
      <c r="A418" s="81" t="s">
        <v>2672</v>
      </c>
      <c r="B418" s="83" t="s">
        <v>262</v>
      </c>
      <c r="C418" s="80">
        <f>VLOOKUP(GroupVertices[[#This Row],[Vertex]],Vertices[],MATCH("ID",Vertices[[#Headers],[Vertex]:[Top Word Pairs in Comment by Salience]],0),FALSE)</f>
        <v>55</v>
      </c>
    </row>
    <row r="419" spans="1:3" ht="15">
      <c r="A419" s="81" t="s">
        <v>2672</v>
      </c>
      <c r="B419" s="83" t="s">
        <v>261</v>
      </c>
      <c r="C419" s="80">
        <f>VLOOKUP(GroupVertices[[#This Row],[Vertex]],Vertices[],MATCH("ID",Vertices[[#Headers],[Vertex]:[Top Word Pairs in Comment by Salience]],0),FALSE)</f>
        <v>54</v>
      </c>
    </row>
    <row r="420" spans="1:3" ht="15">
      <c r="A420" s="81" t="s">
        <v>2672</v>
      </c>
      <c r="B420" s="83" t="s">
        <v>260</v>
      </c>
      <c r="C420" s="80">
        <f>VLOOKUP(GroupVertices[[#This Row],[Vertex]],Vertices[],MATCH("ID",Vertices[[#Headers],[Vertex]:[Top Word Pairs in Comment by Salience]],0),FALSE)</f>
        <v>53</v>
      </c>
    </row>
    <row r="421" spans="1:3" ht="15">
      <c r="A421" s="81" t="s">
        <v>2672</v>
      </c>
      <c r="B421" s="83" t="s">
        <v>259</v>
      </c>
      <c r="C421" s="80">
        <f>VLOOKUP(GroupVertices[[#This Row],[Vertex]],Vertices[],MATCH("ID",Vertices[[#Headers],[Vertex]:[Top Word Pairs in Comment by Salience]],0),FALSE)</f>
        <v>52</v>
      </c>
    </row>
    <row r="422" spans="1:3" ht="15">
      <c r="A422" s="81" t="s">
        <v>2672</v>
      </c>
      <c r="B422" s="83" t="s">
        <v>258</v>
      </c>
      <c r="C422" s="80">
        <f>VLOOKUP(GroupVertices[[#This Row],[Vertex]],Vertices[],MATCH("ID",Vertices[[#Headers],[Vertex]:[Top Word Pairs in Comment by Salience]],0),FALSE)</f>
        <v>51</v>
      </c>
    </row>
    <row r="423" spans="1:3" ht="15">
      <c r="A423" s="81" t="s">
        <v>2672</v>
      </c>
      <c r="B423" s="83" t="s">
        <v>257</v>
      </c>
      <c r="C423" s="80">
        <f>VLOOKUP(GroupVertices[[#This Row],[Vertex]],Vertices[],MATCH("ID",Vertices[[#Headers],[Vertex]:[Top Word Pairs in Comment by Salience]],0),FALSE)</f>
        <v>50</v>
      </c>
    </row>
    <row r="424" spans="1:3" ht="15">
      <c r="A424" s="81" t="s">
        <v>2672</v>
      </c>
      <c r="B424" s="83" t="s">
        <v>256</v>
      </c>
      <c r="C424" s="80">
        <f>VLOOKUP(GroupVertices[[#This Row],[Vertex]],Vertices[],MATCH("ID",Vertices[[#Headers],[Vertex]:[Top Word Pairs in Comment by Salience]],0),FALSE)</f>
        <v>49</v>
      </c>
    </row>
    <row r="425" spans="1:3" ht="15">
      <c r="A425" s="81" t="s">
        <v>2672</v>
      </c>
      <c r="B425" s="83" t="s">
        <v>255</v>
      </c>
      <c r="C425" s="80">
        <f>VLOOKUP(GroupVertices[[#This Row],[Vertex]],Vertices[],MATCH("ID",Vertices[[#Headers],[Vertex]:[Top Word Pairs in Comment by Salience]],0),FALSE)</f>
        <v>48</v>
      </c>
    </row>
    <row r="426" spans="1:3" ht="15">
      <c r="A426" s="81" t="s">
        <v>2672</v>
      </c>
      <c r="B426" s="83" t="s">
        <v>254</v>
      </c>
      <c r="C426" s="80">
        <f>VLOOKUP(GroupVertices[[#This Row],[Vertex]],Vertices[],MATCH("ID",Vertices[[#Headers],[Vertex]:[Top Word Pairs in Comment by Salience]],0),FALSE)</f>
        <v>47</v>
      </c>
    </row>
    <row r="427" spans="1:3" ht="15">
      <c r="A427" s="81" t="s">
        <v>2672</v>
      </c>
      <c r="B427" s="83" t="s">
        <v>253</v>
      </c>
      <c r="C427" s="80">
        <f>VLOOKUP(GroupVertices[[#This Row],[Vertex]],Vertices[],MATCH("ID",Vertices[[#Headers],[Vertex]:[Top Word Pairs in Comment by Salience]],0),FALSE)</f>
        <v>46</v>
      </c>
    </row>
    <row r="428" spans="1:3" ht="15">
      <c r="A428" s="81" t="s">
        <v>2672</v>
      </c>
      <c r="B428" s="83" t="s">
        <v>252</v>
      </c>
      <c r="C428" s="80">
        <f>VLOOKUP(GroupVertices[[#This Row],[Vertex]],Vertices[],MATCH("ID",Vertices[[#Headers],[Vertex]:[Top Word Pairs in Comment by Salience]],0),FALSE)</f>
        <v>45</v>
      </c>
    </row>
    <row r="429" spans="1:3" ht="15">
      <c r="A429" s="81" t="s">
        <v>2672</v>
      </c>
      <c r="B429" s="83" t="s">
        <v>251</v>
      </c>
      <c r="C429" s="80">
        <f>VLOOKUP(GroupVertices[[#This Row],[Vertex]],Vertices[],MATCH("ID",Vertices[[#Headers],[Vertex]:[Top Word Pairs in Comment by Salience]],0),FALSE)</f>
        <v>44</v>
      </c>
    </row>
    <row r="430" spans="1:3" ht="15">
      <c r="A430" s="81" t="s">
        <v>2672</v>
      </c>
      <c r="B430" s="83" t="s">
        <v>250</v>
      </c>
      <c r="C430" s="80">
        <f>VLOOKUP(GroupVertices[[#This Row],[Vertex]],Vertices[],MATCH("ID",Vertices[[#Headers],[Vertex]:[Top Word Pairs in Comment by Salience]],0),FALSE)</f>
        <v>43</v>
      </c>
    </row>
    <row r="431" spans="1:3" ht="15">
      <c r="A431" s="81" t="s">
        <v>2672</v>
      </c>
      <c r="B431" s="83" t="s">
        <v>249</v>
      </c>
      <c r="C431" s="80">
        <f>VLOOKUP(GroupVertices[[#This Row],[Vertex]],Vertices[],MATCH("ID",Vertices[[#Headers],[Vertex]:[Top Word Pairs in Comment by Salience]],0),FALSE)</f>
        <v>42</v>
      </c>
    </row>
    <row r="432" spans="1:3" ht="15">
      <c r="A432" s="81" t="s">
        <v>2672</v>
      </c>
      <c r="B432" s="83" t="s">
        <v>248</v>
      </c>
      <c r="C432" s="80">
        <f>VLOOKUP(GroupVertices[[#This Row],[Vertex]],Vertices[],MATCH("ID",Vertices[[#Headers],[Vertex]:[Top Word Pairs in Comment by Salience]],0),FALSE)</f>
        <v>41</v>
      </c>
    </row>
    <row r="433" spans="1:3" ht="15">
      <c r="A433" s="81" t="s">
        <v>2672</v>
      </c>
      <c r="B433" s="83" t="s">
        <v>247</v>
      </c>
      <c r="C433" s="80">
        <f>VLOOKUP(GroupVertices[[#This Row],[Vertex]],Vertices[],MATCH("ID",Vertices[[#Headers],[Vertex]:[Top Word Pairs in Comment by Salience]],0),FALSE)</f>
        <v>40</v>
      </c>
    </row>
    <row r="434" spans="1:3" ht="15">
      <c r="A434" s="81" t="s">
        <v>2672</v>
      </c>
      <c r="B434" s="83" t="s">
        <v>246</v>
      </c>
      <c r="C434" s="80">
        <f>VLOOKUP(GroupVertices[[#This Row],[Vertex]],Vertices[],MATCH("ID",Vertices[[#Headers],[Vertex]:[Top Word Pairs in Comment by Salience]],0),FALSE)</f>
        <v>39</v>
      </c>
    </row>
    <row r="435" spans="1:3" ht="15">
      <c r="A435" s="81" t="s">
        <v>2672</v>
      </c>
      <c r="B435" s="83" t="s">
        <v>245</v>
      </c>
      <c r="C435" s="80">
        <f>VLOOKUP(GroupVertices[[#This Row],[Vertex]],Vertices[],MATCH("ID",Vertices[[#Headers],[Vertex]:[Top Word Pairs in Comment by Salience]],0),FALSE)</f>
        <v>38</v>
      </c>
    </row>
    <row r="436" spans="1:3" ht="15">
      <c r="A436" s="81" t="s">
        <v>2672</v>
      </c>
      <c r="B436" s="83" t="s">
        <v>244</v>
      </c>
      <c r="C436" s="80">
        <f>VLOOKUP(GroupVertices[[#This Row],[Vertex]],Vertices[],MATCH("ID",Vertices[[#Headers],[Vertex]:[Top Word Pairs in Comment by Salience]],0),FALSE)</f>
        <v>37</v>
      </c>
    </row>
    <row r="437" spans="1:3" ht="15">
      <c r="A437" s="81" t="s">
        <v>2672</v>
      </c>
      <c r="B437" s="83" t="s">
        <v>243</v>
      </c>
      <c r="C437" s="80">
        <f>VLOOKUP(GroupVertices[[#This Row],[Vertex]],Vertices[],MATCH("ID",Vertices[[#Headers],[Vertex]:[Top Word Pairs in Comment by Salience]],0),FALSE)</f>
        <v>36</v>
      </c>
    </row>
    <row r="438" spans="1:3" ht="15">
      <c r="A438" s="81" t="s">
        <v>2672</v>
      </c>
      <c r="B438" s="83" t="s">
        <v>242</v>
      </c>
      <c r="C438" s="80">
        <f>VLOOKUP(GroupVertices[[#This Row],[Vertex]],Vertices[],MATCH("ID",Vertices[[#Headers],[Vertex]:[Top Word Pairs in Comment by Salience]],0),FALSE)</f>
        <v>35</v>
      </c>
    </row>
    <row r="439" spans="1:3" ht="15">
      <c r="A439" s="81" t="s">
        <v>2672</v>
      </c>
      <c r="B439" s="83" t="s">
        <v>241</v>
      </c>
      <c r="C439" s="80">
        <f>VLOOKUP(GroupVertices[[#This Row],[Vertex]],Vertices[],MATCH("ID",Vertices[[#Headers],[Vertex]:[Top Word Pairs in Comment by Salience]],0),FALSE)</f>
        <v>34</v>
      </c>
    </row>
    <row r="440" spans="1:3" ht="15">
      <c r="A440" s="81" t="s">
        <v>2672</v>
      </c>
      <c r="B440" s="83" t="s">
        <v>240</v>
      </c>
      <c r="C440" s="80">
        <f>VLOOKUP(GroupVertices[[#This Row],[Vertex]],Vertices[],MATCH("ID",Vertices[[#Headers],[Vertex]:[Top Word Pairs in Comment by Salience]],0),FALSE)</f>
        <v>33</v>
      </c>
    </row>
    <row r="441" spans="1:3" ht="15">
      <c r="A441" s="81" t="s">
        <v>2672</v>
      </c>
      <c r="B441" s="83" t="s">
        <v>239</v>
      </c>
      <c r="C441" s="80">
        <f>VLOOKUP(GroupVertices[[#This Row],[Vertex]],Vertices[],MATCH("ID",Vertices[[#Headers],[Vertex]:[Top Word Pairs in Comment by Salience]],0),FALSE)</f>
        <v>31</v>
      </c>
    </row>
    <row r="442" spans="1:3" ht="15">
      <c r="A442" s="81" t="s">
        <v>2673</v>
      </c>
      <c r="B442" s="83" t="s">
        <v>479</v>
      </c>
      <c r="C442" s="80">
        <f>VLOOKUP(GroupVertices[[#This Row],[Vertex]],Vertices[],MATCH("ID",Vertices[[#Headers],[Vertex]:[Top Word Pairs in Comment by Salience]],0),FALSE)</f>
        <v>276</v>
      </c>
    </row>
    <row r="443" spans="1:3" ht="15">
      <c r="A443" s="81" t="s">
        <v>2673</v>
      </c>
      <c r="B443" s="83" t="s">
        <v>455</v>
      </c>
      <c r="C443" s="80">
        <f>VLOOKUP(GroupVertices[[#This Row],[Vertex]],Vertices[],MATCH("ID",Vertices[[#Headers],[Vertex]:[Top Word Pairs in Comment by Salience]],0),FALSE)</f>
        <v>246</v>
      </c>
    </row>
    <row r="444" spans="1:3" ht="15">
      <c r="A444" s="81" t="s">
        <v>2673</v>
      </c>
      <c r="B444" s="83" t="s">
        <v>478</v>
      </c>
      <c r="C444" s="80">
        <f>VLOOKUP(GroupVertices[[#This Row],[Vertex]],Vertices[],MATCH("ID",Vertices[[#Headers],[Vertex]:[Top Word Pairs in Comment by Salience]],0),FALSE)</f>
        <v>275</v>
      </c>
    </row>
    <row r="445" spans="1:3" ht="15">
      <c r="A445" s="81" t="s">
        <v>2673</v>
      </c>
      <c r="B445" s="83" t="s">
        <v>477</v>
      </c>
      <c r="C445" s="80">
        <f>VLOOKUP(GroupVertices[[#This Row],[Vertex]],Vertices[],MATCH("ID",Vertices[[#Headers],[Vertex]:[Top Word Pairs in Comment by Salience]],0),FALSE)</f>
        <v>274</v>
      </c>
    </row>
    <row r="446" spans="1:3" ht="15">
      <c r="A446" s="81" t="s">
        <v>2673</v>
      </c>
      <c r="B446" s="83" t="s">
        <v>476</v>
      </c>
      <c r="C446" s="80">
        <f>VLOOKUP(GroupVertices[[#This Row],[Vertex]],Vertices[],MATCH("ID",Vertices[[#Headers],[Vertex]:[Top Word Pairs in Comment by Salience]],0),FALSE)</f>
        <v>273</v>
      </c>
    </row>
    <row r="447" spans="1:3" ht="15">
      <c r="A447" s="81" t="s">
        <v>2673</v>
      </c>
      <c r="B447" s="83" t="s">
        <v>475</v>
      </c>
      <c r="C447" s="80">
        <f>VLOOKUP(GroupVertices[[#This Row],[Vertex]],Vertices[],MATCH("ID",Vertices[[#Headers],[Vertex]:[Top Word Pairs in Comment by Salience]],0),FALSE)</f>
        <v>272</v>
      </c>
    </row>
    <row r="448" spans="1:3" ht="15">
      <c r="A448" s="81" t="s">
        <v>2673</v>
      </c>
      <c r="B448" s="83" t="s">
        <v>474</v>
      </c>
      <c r="C448" s="80">
        <f>VLOOKUP(GroupVertices[[#This Row],[Vertex]],Vertices[],MATCH("ID",Vertices[[#Headers],[Vertex]:[Top Word Pairs in Comment by Salience]],0),FALSE)</f>
        <v>271</v>
      </c>
    </row>
    <row r="449" spans="1:3" ht="15">
      <c r="A449" s="81" t="s">
        <v>2673</v>
      </c>
      <c r="B449" s="83" t="s">
        <v>473</v>
      </c>
      <c r="C449" s="80">
        <f>VLOOKUP(GroupVertices[[#This Row],[Vertex]],Vertices[],MATCH("ID",Vertices[[#Headers],[Vertex]:[Top Word Pairs in Comment by Salience]],0),FALSE)</f>
        <v>270</v>
      </c>
    </row>
    <row r="450" spans="1:3" ht="15">
      <c r="A450" s="81" t="s">
        <v>2673</v>
      </c>
      <c r="B450" s="83" t="s">
        <v>472</v>
      </c>
      <c r="C450" s="80">
        <f>VLOOKUP(GroupVertices[[#This Row],[Vertex]],Vertices[],MATCH("ID",Vertices[[#Headers],[Vertex]:[Top Word Pairs in Comment by Salience]],0),FALSE)</f>
        <v>269</v>
      </c>
    </row>
    <row r="451" spans="1:3" ht="15">
      <c r="A451" s="81" t="s">
        <v>2673</v>
      </c>
      <c r="B451" s="83" t="s">
        <v>471</v>
      </c>
      <c r="C451" s="80">
        <f>VLOOKUP(GroupVertices[[#This Row],[Vertex]],Vertices[],MATCH("ID",Vertices[[#Headers],[Vertex]:[Top Word Pairs in Comment by Salience]],0),FALSE)</f>
        <v>268</v>
      </c>
    </row>
    <row r="452" spans="1:3" ht="15">
      <c r="A452" s="81" t="s">
        <v>2673</v>
      </c>
      <c r="B452" s="83" t="s">
        <v>470</v>
      </c>
      <c r="C452" s="80">
        <f>VLOOKUP(GroupVertices[[#This Row],[Vertex]],Vertices[],MATCH("ID",Vertices[[#Headers],[Vertex]:[Top Word Pairs in Comment by Salience]],0),FALSE)</f>
        <v>267</v>
      </c>
    </row>
    <row r="453" spans="1:3" ht="15">
      <c r="A453" s="81" t="s">
        <v>2673</v>
      </c>
      <c r="B453" s="83" t="s">
        <v>469</v>
      </c>
      <c r="C453" s="80">
        <f>VLOOKUP(GroupVertices[[#This Row],[Vertex]],Vertices[],MATCH("ID",Vertices[[#Headers],[Vertex]:[Top Word Pairs in Comment by Salience]],0),FALSE)</f>
        <v>266</v>
      </c>
    </row>
    <row r="454" spans="1:3" ht="15">
      <c r="A454" s="81" t="s">
        <v>2673</v>
      </c>
      <c r="B454" s="83" t="s">
        <v>468</v>
      </c>
      <c r="C454" s="80">
        <f>VLOOKUP(GroupVertices[[#This Row],[Vertex]],Vertices[],MATCH("ID",Vertices[[#Headers],[Vertex]:[Top Word Pairs in Comment by Salience]],0),FALSE)</f>
        <v>265</v>
      </c>
    </row>
    <row r="455" spans="1:3" ht="15">
      <c r="A455" s="81" t="s">
        <v>2673</v>
      </c>
      <c r="B455" s="83" t="s">
        <v>467</v>
      </c>
      <c r="C455" s="80">
        <f>VLOOKUP(GroupVertices[[#This Row],[Vertex]],Vertices[],MATCH("ID",Vertices[[#Headers],[Vertex]:[Top Word Pairs in Comment by Salience]],0),FALSE)</f>
        <v>264</v>
      </c>
    </row>
    <row r="456" spans="1:3" ht="15">
      <c r="A456" s="81" t="s">
        <v>2673</v>
      </c>
      <c r="B456" s="83" t="s">
        <v>466</v>
      </c>
      <c r="C456" s="80">
        <f>VLOOKUP(GroupVertices[[#This Row],[Vertex]],Vertices[],MATCH("ID",Vertices[[#Headers],[Vertex]:[Top Word Pairs in Comment by Salience]],0),FALSE)</f>
        <v>263</v>
      </c>
    </row>
    <row r="457" spans="1:3" ht="15">
      <c r="A457" s="81" t="s">
        <v>2673</v>
      </c>
      <c r="B457" s="83" t="s">
        <v>465</v>
      </c>
      <c r="C457" s="80">
        <f>VLOOKUP(GroupVertices[[#This Row],[Vertex]],Vertices[],MATCH("ID",Vertices[[#Headers],[Vertex]:[Top Word Pairs in Comment by Salience]],0),FALSE)</f>
        <v>262</v>
      </c>
    </row>
    <row r="458" spans="1:3" ht="15">
      <c r="A458" s="81" t="s">
        <v>2673</v>
      </c>
      <c r="B458" s="83" t="s">
        <v>464</v>
      </c>
      <c r="C458" s="80">
        <f>VLOOKUP(GroupVertices[[#This Row],[Vertex]],Vertices[],MATCH("ID",Vertices[[#Headers],[Vertex]:[Top Word Pairs in Comment by Salience]],0),FALSE)</f>
        <v>261</v>
      </c>
    </row>
    <row r="459" spans="1:3" ht="15">
      <c r="A459" s="81" t="s">
        <v>2673</v>
      </c>
      <c r="B459" s="83" t="s">
        <v>463</v>
      </c>
      <c r="C459" s="80">
        <f>VLOOKUP(GroupVertices[[#This Row],[Vertex]],Vertices[],MATCH("ID",Vertices[[#Headers],[Vertex]:[Top Word Pairs in Comment by Salience]],0),FALSE)</f>
        <v>260</v>
      </c>
    </row>
    <row r="460" spans="1:3" ht="15">
      <c r="A460" s="81" t="s">
        <v>2673</v>
      </c>
      <c r="B460" s="83" t="s">
        <v>462</v>
      </c>
      <c r="C460" s="80">
        <f>VLOOKUP(GroupVertices[[#This Row],[Vertex]],Vertices[],MATCH("ID",Vertices[[#Headers],[Vertex]:[Top Word Pairs in Comment by Salience]],0),FALSE)</f>
        <v>259</v>
      </c>
    </row>
    <row r="461" spans="1:3" ht="15">
      <c r="A461" s="81" t="s">
        <v>2673</v>
      </c>
      <c r="B461" s="83" t="s">
        <v>461</v>
      </c>
      <c r="C461" s="80">
        <f>VLOOKUP(GroupVertices[[#This Row],[Vertex]],Vertices[],MATCH("ID",Vertices[[#Headers],[Vertex]:[Top Word Pairs in Comment by Salience]],0),FALSE)</f>
        <v>258</v>
      </c>
    </row>
    <row r="462" spans="1:3" ht="15">
      <c r="A462" s="81" t="s">
        <v>2673</v>
      </c>
      <c r="B462" s="83" t="s">
        <v>460</v>
      </c>
      <c r="C462" s="80">
        <f>VLOOKUP(GroupVertices[[#This Row],[Vertex]],Vertices[],MATCH("ID",Vertices[[#Headers],[Vertex]:[Top Word Pairs in Comment by Salience]],0),FALSE)</f>
        <v>257</v>
      </c>
    </row>
    <row r="463" spans="1:3" ht="15">
      <c r="A463" s="81" t="s">
        <v>2673</v>
      </c>
      <c r="B463" s="83" t="s">
        <v>459</v>
      </c>
      <c r="C463" s="80">
        <f>VLOOKUP(GroupVertices[[#This Row],[Vertex]],Vertices[],MATCH("ID",Vertices[[#Headers],[Vertex]:[Top Word Pairs in Comment by Salience]],0),FALSE)</f>
        <v>256</v>
      </c>
    </row>
    <row r="464" spans="1:3" ht="15">
      <c r="A464" s="81" t="s">
        <v>2673</v>
      </c>
      <c r="B464" s="83" t="s">
        <v>458</v>
      </c>
      <c r="C464" s="80">
        <f>VLOOKUP(GroupVertices[[#This Row],[Vertex]],Vertices[],MATCH("ID",Vertices[[#Headers],[Vertex]:[Top Word Pairs in Comment by Salience]],0),FALSE)</f>
        <v>255</v>
      </c>
    </row>
    <row r="465" spans="1:3" ht="15">
      <c r="A465" s="81" t="s">
        <v>2673</v>
      </c>
      <c r="B465" s="83" t="s">
        <v>457</v>
      </c>
      <c r="C465" s="80">
        <f>VLOOKUP(GroupVertices[[#This Row],[Vertex]],Vertices[],MATCH("ID",Vertices[[#Headers],[Vertex]:[Top Word Pairs in Comment by Salience]],0),FALSE)</f>
        <v>254</v>
      </c>
    </row>
    <row r="466" spans="1:3" ht="15">
      <c r="A466" s="81" t="s">
        <v>2673</v>
      </c>
      <c r="B466" s="83" t="s">
        <v>456</v>
      </c>
      <c r="C466" s="80">
        <f>VLOOKUP(GroupVertices[[#This Row],[Vertex]],Vertices[],MATCH("ID",Vertices[[#Headers],[Vertex]:[Top Word Pairs in Comment by Salience]],0),FALSE)</f>
        <v>253</v>
      </c>
    </row>
    <row r="467" spans="1:3" ht="15">
      <c r="A467" s="81" t="s">
        <v>2673</v>
      </c>
      <c r="B467" s="83" t="s">
        <v>454</v>
      </c>
      <c r="C467" s="80">
        <f>VLOOKUP(GroupVertices[[#This Row],[Vertex]],Vertices[],MATCH("ID",Vertices[[#Headers],[Vertex]:[Top Word Pairs in Comment by Salience]],0),FALSE)</f>
        <v>252</v>
      </c>
    </row>
    <row r="468" spans="1:3" ht="15">
      <c r="A468" s="81" t="s">
        <v>2673</v>
      </c>
      <c r="B468" s="83" t="s">
        <v>453</v>
      </c>
      <c r="C468" s="80">
        <f>VLOOKUP(GroupVertices[[#This Row],[Vertex]],Vertices[],MATCH("ID",Vertices[[#Headers],[Vertex]:[Top Word Pairs in Comment by Salience]],0),FALSE)</f>
        <v>251</v>
      </c>
    </row>
    <row r="469" spans="1:3" ht="15">
      <c r="A469" s="81" t="s">
        <v>2673</v>
      </c>
      <c r="B469" s="83" t="s">
        <v>452</v>
      </c>
      <c r="C469" s="80">
        <f>VLOOKUP(GroupVertices[[#This Row],[Vertex]],Vertices[],MATCH("ID",Vertices[[#Headers],[Vertex]:[Top Word Pairs in Comment by Salience]],0),FALSE)</f>
        <v>250</v>
      </c>
    </row>
    <row r="470" spans="1:3" ht="15">
      <c r="A470" s="81" t="s">
        <v>2673</v>
      </c>
      <c r="B470" s="83" t="s">
        <v>451</v>
      </c>
      <c r="C470" s="80">
        <f>VLOOKUP(GroupVertices[[#This Row],[Vertex]],Vertices[],MATCH("ID",Vertices[[#Headers],[Vertex]:[Top Word Pairs in Comment by Salience]],0),FALSE)</f>
        <v>249</v>
      </c>
    </row>
    <row r="471" spans="1:3" ht="15">
      <c r="A471" s="81" t="s">
        <v>2673</v>
      </c>
      <c r="B471" s="83" t="s">
        <v>450</v>
      </c>
      <c r="C471" s="80">
        <f>VLOOKUP(GroupVertices[[#This Row],[Vertex]],Vertices[],MATCH("ID",Vertices[[#Headers],[Vertex]:[Top Word Pairs in Comment by Salience]],0),FALSE)</f>
        <v>248</v>
      </c>
    </row>
    <row r="472" spans="1:3" ht="15">
      <c r="A472" s="81" t="s">
        <v>2673</v>
      </c>
      <c r="B472" s="83" t="s">
        <v>449</v>
      </c>
      <c r="C472" s="80">
        <f>VLOOKUP(GroupVertices[[#This Row],[Vertex]],Vertices[],MATCH("ID",Vertices[[#Headers],[Vertex]:[Top Word Pairs in Comment by Salience]],0),FALSE)</f>
        <v>247</v>
      </c>
    </row>
    <row r="473" spans="1:3" ht="15">
      <c r="A473" s="81" t="s">
        <v>2673</v>
      </c>
      <c r="B473" s="83" t="s">
        <v>448</v>
      </c>
      <c r="C473" s="80">
        <f>VLOOKUP(GroupVertices[[#This Row],[Vertex]],Vertices[],MATCH("ID",Vertices[[#Headers],[Vertex]:[Top Word Pairs in Comment by Salience]],0),FALSE)</f>
        <v>245</v>
      </c>
    </row>
    <row r="474" spans="1:3" ht="15">
      <c r="A474" s="81" t="s">
        <v>2674</v>
      </c>
      <c r="B474" s="83" t="s">
        <v>823</v>
      </c>
      <c r="C474" s="80">
        <f>VLOOKUP(GroupVertices[[#This Row],[Vertex]],Vertices[],MATCH("ID",Vertices[[#Headers],[Vertex]:[Top Word Pairs in Comment by Salience]],0),FALSE)</f>
        <v>164</v>
      </c>
    </row>
    <row r="475" spans="1:3" ht="15">
      <c r="A475" s="81" t="s">
        <v>2674</v>
      </c>
      <c r="B475" s="83" t="s">
        <v>372</v>
      </c>
      <c r="C475" s="80">
        <f>VLOOKUP(GroupVertices[[#This Row],[Vertex]],Vertices[],MATCH("ID",Vertices[[#Headers],[Vertex]:[Top Word Pairs in Comment by Salience]],0),FALSE)</f>
        <v>167</v>
      </c>
    </row>
    <row r="476" spans="1:3" ht="15">
      <c r="A476" s="81" t="s">
        <v>2674</v>
      </c>
      <c r="B476" s="83" t="s">
        <v>345</v>
      </c>
      <c r="C476" s="80">
        <f>VLOOKUP(GroupVertices[[#This Row],[Vertex]],Vertices[],MATCH("ID",Vertices[[#Headers],[Vertex]:[Top Word Pairs in Comment by Salience]],0),FALSE)</f>
        <v>140</v>
      </c>
    </row>
    <row r="477" spans="1:3" ht="15">
      <c r="A477" s="81" t="s">
        <v>2674</v>
      </c>
      <c r="B477" s="83" t="s">
        <v>371</v>
      </c>
      <c r="C477" s="80">
        <f>VLOOKUP(GroupVertices[[#This Row],[Vertex]],Vertices[],MATCH("ID",Vertices[[#Headers],[Vertex]:[Top Word Pairs in Comment by Salience]],0),FALSE)</f>
        <v>166</v>
      </c>
    </row>
    <row r="478" spans="1:3" ht="15">
      <c r="A478" s="81" t="s">
        <v>2674</v>
      </c>
      <c r="B478" s="83" t="s">
        <v>370</v>
      </c>
      <c r="C478" s="80">
        <f>VLOOKUP(GroupVertices[[#This Row],[Vertex]],Vertices[],MATCH("ID",Vertices[[#Headers],[Vertex]:[Top Word Pairs in Comment by Salience]],0),FALSE)</f>
        <v>165</v>
      </c>
    </row>
    <row r="479" spans="1:3" ht="15">
      <c r="A479" s="81" t="s">
        <v>2674</v>
      </c>
      <c r="B479" s="83" t="s">
        <v>357</v>
      </c>
      <c r="C479" s="80">
        <f>VLOOKUP(GroupVertices[[#This Row],[Vertex]],Vertices[],MATCH("ID",Vertices[[#Headers],[Vertex]:[Top Word Pairs in Comment by Salience]],0),FALSE)</f>
        <v>152</v>
      </c>
    </row>
    <row r="480" spans="1:3" ht="15">
      <c r="A480" s="81" t="s">
        <v>2674</v>
      </c>
      <c r="B480" s="83" t="s">
        <v>369</v>
      </c>
      <c r="C480" s="80">
        <f>VLOOKUP(GroupVertices[[#This Row],[Vertex]],Vertices[],MATCH("ID",Vertices[[#Headers],[Vertex]:[Top Word Pairs in Comment by Salience]],0),FALSE)</f>
        <v>163</v>
      </c>
    </row>
    <row r="481" spans="1:3" ht="15">
      <c r="A481" s="81" t="s">
        <v>2674</v>
      </c>
      <c r="B481" s="83" t="s">
        <v>368</v>
      </c>
      <c r="C481" s="80">
        <f>VLOOKUP(GroupVertices[[#This Row],[Vertex]],Vertices[],MATCH("ID",Vertices[[#Headers],[Vertex]:[Top Word Pairs in Comment by Salience]],0),FALSE)</f>
        <v>162</v>
      </c>
    </row>
    <row r="482" spans="1:3" ht="15">
      <c r="A482" s="81" t="s">
        <v>2674</v>
      </c>
      <c r="B482" s="83" t="s">
        <v>367</v>
      </c>
      <c r="C482" s="80">
        <f>VLOOKUP(GroupVertices[[#This Row],[Vertex]],Vertices[],MATCH("ID",Vertices[[#Headers],[Vertex]:[Top Word Pairs in Comment by Salience]],0),FALSE)</f>
        <v>161</v>
      </c>
    </row>
    <row r="483" spans="1:3" ht="15">
      <c r="A483" s="81" t="s">
        <v>2674</v>
      </c>
      <c r="B483" s="83" t="s">
        <v>365</v>
      </c>
      <c r="C483" s="80">
        <f>VLOOKUP(GroupVertices[[#This Row],[Vertex]],Vertices[],MATCH("ID",Vertices[[#Headers],[Vertex]:[Top Word Pairs in Comment by Salience]],0),FALSE)</f>
        <v>160</v>
      </c>
    </row>
    <row r="484" spans="1:3" ht="15">
      <c r="A484" s="81" t="s">
        <v>2674</v>
      </c>
      <c r="B484" s="83" t="s">
        <v>366</v>
      </c>
      <c r="C484" s="80">
        <f>VLOOKUP(GroupVertices[[#This Row],[Vertex]],Vertices[],MATCH("ID",Vertices[[#Headers],[Vertex]:[Top Word Pairs in Comment by Salience]],0),FALSE)</f>
        <v>159</v>
      </c>
    </row>
    <row r="485" spans="1:3" ht="15">
      <c r="A485" s="81" t="s">
        <v>2674</v>
      </c>
      <c r="B485" s="83" t="s">
        <v>364</v>
      </c>
      <c r="C485" s="80">
        <f>VLOOKUP(GroupVertices[[#This Row],[Vertex]],Vertices[],MATCH("ID",Vertices[[#Headers],[Vertex]:[Top Word Pairs in Comment by Salience]],0),FALSE)</f>
        <v>158</v>
      </c>
    </row>
    <row r="486" spans="1:3" ht="15">
      <c r="A486" s="81" t="s">
        <v>2674</v>
      </c>
      <c r="B486" s="83" t="s">
        <v>363</v>
      </c>
      <c r="C486" s="80">
        <f>VLOOKUP(GroupVertices[[#This Row],[Vertex]],Vertices[],MATCH("ID",Vertices[[#Headers],[Vertex]:[Top Word Pairs in Comment by Salience]],0),FALSE)</f>
        <v>157</v>
      </c>
    </row>
    <row r="487" spans="1:3" ht="15">
      <c r="A487" s="81" t="s">
        <v>2674</v>
      </c>
      <c r="B487" s="83" t="s">
        <v>362</v>
      </c>
      <c r="C487" s="80">
        <f>VLOOKUP(GroupVertices[[#This Row],[Vertex]],Vertices[],MATCH("ID",Vertices[[#Headers],[Vertex]:[Top Word Pairs in Comment by Salience]],0),FALSE)</f>
        <v>156</v>
      </c>
    </row>
    <row r="488" spans="1:3" ht="15">
      <c r="A488" s="81" t="s">
        <v>2674</v>
      </c>
      <c r="B488" s="83" t="s">
        <v>361</v>
      </c>
      <c r="C488" s="80">
        <f>VLOOKUP(GroupVertices[[#This Row],[Vertex]],Vertices[],MATCH("ID",Vertices[[#Headers],[Vertex]:[Top Word Pairs in Comment by Salience]],0),FALSE)</f>
        <v>155</v>
      </c>
    </row>
    <row r="489" spans="1:3" ht="15">
      <c r="A489" s="81" t="s">
        <v>2674</v>
      </c>
      <c r="B489" s="83" t="s">
        <v>360</v>
      </c>
      <c r="C489" s="80">
        <f>VLOOKUP(GroupVertices[[#This Row],[Vertex]],Vertices[],MATCH("ID",Vertices[[#Headers],[Vertex]:[Top Word Pairs in Comment by Salience]],0),FALSE)</f>
        <v>154</v>
      </c>
    </row>
    <row r="490" spans="1:3" ht="15">
      <c r="A490" s="81" t="s">
        <v>2674</v>
      </c>
      <c r="B490" s="83" t="s">
        <v>358</v>
      </c>
      <c r="C490" s="80">
        <f>VLOOKUP(GroupVertices[[#This Row],[Vertex]],Vertices[],MATCH("ID",Vertices[[#Headers],[Vertex]:[Top Word Pairs in Comment by Salience]],0),FALSE)</f>
        <v>153</v>
      </c>
    </row>
    <row r="491" spans="1:3" ht="15">
      <c r="A491" s="81" t="s">
        <v>2674</v>
      </c>
      <c r="B491" s="83" t="s">
        <v>359</v>
      </c>
      <c r="C491" s="80">
        <f>VLOOKUP(GroupVertices[[#This Row],[Vertex]],Vertices[],MATCH("ID",Vertices[[#Headers],[Vertex]:[Top Word Pairs in Comment by Salience]],0),FALSE)</f>
        <v>151</v>
      </c>
    </row>
    <row r="492" spans="1:3" ht="15">
      <c r="A492" s="81" t="s">
        <v>2674</v>
      </c>
      <c r="B492" s="83" t="s">
        <v>356</v>
      </c>
      <c r="C492" s="80">
        <f>VLOOKUP(GroupVertices[[#This Row],[Vertex]],Vertices[],MATCH("ID",Vertices[[#Headers],[Vertex]:[Top Word Pairs in Comment by Salience]],0),FALSE)</f>
        <v>150</v>
      </c>
    </row>
    <row r="493" spans="1:3" ht="15">
      <c r="A493" s="81" t="s">
        <v>2674</v>
      </c>
      <c r="B493" s="83" t="s">
        <v>355</v>
      </c>
      <c r="C493" s="80">
        <f>VLOOKUP(GroupVertices[[#This Row],[Vertex]],Vertices[],MATCH("ID",Vertices[[#Headers],[Vertex]:[Top Word Pairs in Comment by Salience]],0),FALSE)</f>
        <v>149</v>
      </c>
    </row>
    <row r="494" spans="1:3" ht="15">
      <c r="A494" s="81" t="s">
        <v>2674</v>
      </c>
      <c r="B494" s="83" t="s">
        <v>354</v>
      </c>
      <c r="C494" s="80">
        <f>VLOOKUP(GroupVertices[[#This Row],[Vertex]],Vertices[],MATCH("ID",Vertices[[#Headers],[Vertex]:[Top Word Pairs in Comment by Salience]],0),FALSE)</f>
        <v>148</v>
      </c>
    </row>
    <row r="495" spans="1:3" ht="15">
      <c r="A495" s="81" t="s">
        <v>2674</v>
      </c>
      <c r="B495" s="83" t="s">
        <v>346</v>
      </c>
      <c r="C495" s="80">
        <f>VLOOKUP(GroupVertices[[#This Row],[Vertex]],Vertices[],MATCH("ID",Vertices[[#Headers],[Vertex]:[Top Word Pairs in Comment by Salience]],0),FALSE)</f>
        <v>141</v>
      </c>
    </row>
    <row r="496" spans="1:3" ht="15">
      <c r="A496" s="81" t="s">
        <v>2674</v>
      </c>
      <c r="B496" s="83" t="s">
        <v>353</v>
      </c>
      <c r="C496" s="80">
        <f>VLOOKUP(GroupVertices[[#This Row],[Vertex]],Vertices[],MATCH("ID",Vertices[[#Headers],[Vertex]:[Top Word Pairs in Comment by Salience]],0),FALSE)</f>
        <v>147</v>
      </c>
    </row>
    <row r="497" spans="1:3" ht="15">
      <c r="A497" s="81" t="s">
        <v>2674</v>
      </c>
      <c r="B497" s="83" t="s">
        <v>352</v>
      </c>
      <c r="C497" s="80">
        <f>VLOOKUP(GroupVertices[[#This Row],[Vertex]],Vertices[],MATCH("ID",Vertices[[#Headers],[Vertex]:[Top Word Pairs in Comment by Salience]],0),FALSE)</f>
        <v>146</v>
      </c>
    </row>
    <row r="498" spans="1:3" ht="15">
      <c r="A498" s="81" t="s">
        <v>2674</v>
      </c>
      <c r="B498" s="83" t="s">
        <v>351</v>
      </c>
      <c r="C498" s="80">
        <f>VLOOKUP(GroupVertices[[#This Row],[Vertex]],Vertices[],MATCH("ID",Vertices[[#Headers],[Vertex]:[Top Word Pairs in Comment by Salience]],0),FALSE)</f>
        <v>145</v>
      </c>
    </row>
    <row r="499" spans="1:3" ht="15">
      <c r="A499" s="81" t="s">
        <v>2674</v>
      </c>
      <c r="B499" s="83" t="s">
        <v>350</v>
      </c>
      <c r="C499" s="80">
        <f>VLOOKUP(GroupVertices[[#This Row],[Vertex]],Vertices[],MATCH("ID",Vertices[[#Headers],[Vertex]:[Top Word Pairs in Comment by Salience]],0),FALSE)</f>
        <v>144</v>
      </c>
    </row>
    <row r="500" spans="1:3" ht="15">
      <c r="A500" s="81" t="s">
        <v>2674</v>
      </c>
      <c r="B500" s="83" t="s">
        <v>349</v>
      </c>
      <c r="C500" s="80">
        <f>VLOOKUP(GroupVertices[[#This Row],[Vertex]],Vertices[],MATCH("ID",Vertices[[#Headers],[Vertex]:[Top Word Pairs in Comment by Salience]],0),FALSE)</f>
        <v>143</v>
      </c>
    </row>
    <row r="501" spans="1:3" ht="15">
      <c r="A501" s="81" t="s">
        <v>2674</v>
      </c>
      <c r="B501" s="83" t="s">
        <v>348</v>
      </c>
      <c r="C501" s="80">
        <f>VLOOKUP(GroupVertices[[#This Row],[Vertex]],Vertices[],MATCH("ID",Vertices[[#Headers],[Vertex]:[Top Word Pairs in Comment by Salience]],0),FALSE)</f>
        <v>142</v>
      </c>
    </row>
    <row r="502" spans="1:3" ht="15">
      <c r="A502" s="81" t="s">
        <v>2674</v>
      </c>
      <c r="B502" s="83" t="s">
        <v>347</v>
      </c>
      <c r="C502" s="80">
        <f>VLOOKUP(GroupVertices[[#This Row],[Vertex]],Vertices[],MATCH("ID",Vertices[[#Headers],[Vertex]:[Top Word Pairs in Comment by Salience]],0),FALSE)</f>
        <v>139</v>
      </c>
    </row>
    <row r="503" spans="1:3" ht="15">
      <c r="A503" s="81" t="s">
        <v>2674</v>
      </c>
      <c r="B503" s="83" t="s">
        <v>344</v>
      </c>
      <c r="C503" s="80">
        <f>VLOOKUP(GroupVertices[[#This Row],[Vertex]],Vertices[],MATCH("ID",Vertices[[#Headers],[Vertex]:[Top Word Pairs in Comment by Salience]],0),FALSE)</f>
        <v>138</v>
      </c>
    </row>
    <row r="504" spans="1:3" ht="15">
      <c r="A504" s="81" t="s">
        <v>2675</v>
      </c>
      <c r="B504" s="83" t="s">
        <v>237</v>
      </c>
      <c r="C504" s="80">
        <f>VLOOKUP(GroupVertices[[#This Row],[Vertex]],Vertices[],MATCH("ID",Vertices[[#Headers],[Vertex]:[Top Word Pairs in Comment by Salience]],0),FALSE)</f>
        <v>28</v>
      </c>
    </row>
    <row r="505" spans="1:3" ht="15">
      <c r="A505" s="81" t="s">
        <v>2675</v>
      </c>
      <c r="B505" s="83" t="s">
        <v>223</v>
      </c>
      <c r="C505" s="80">
        <f>VLOOKUP(GroupVertices[[#This Row],[Vertex]],Vertices[],MATCH("ID",Vertices[[#Headers],[Vertex]:[Top Word Pairs in Comment by Salience]],0),FALSE)</f>
        <v>4</v>
      </c>
    </row>
    <row r="506" spans="1:3" ht="15">
      <c r="A506" s="81" t="s">
        <v>2675</v>
      </c>
      <c r="B506" s="83" t="s">
        <v>236</v>
      </c>
      <c r="C506" s="80">
        <f>VLOOKUP(GroupVertices[[#This Row],[Vertex]],Vertices[],MATCH("ID",Vertices[[#Headers],[Vertex]:[Top Word Pairs in Comment by Salience]],0),FALSE)</f>
        <v>27</v>
      </c>
    </row>
    <row r="507" spans="1:3" ht="15">
      <c r="A507" s="81" t="s">
        <v>2675</v>
      </c>
      <c r="B507" s="83" t="s">
        <v>235</v>
      </c>
      <c r="C507" s="80">
        <f>VLOOKUP(GroupVertices[[#This Row],[Vertex]],Vertices[],MATCH("ID",Vertices[[#Headers],[Vertex]:[Top Word Pairs in Comment by Salience]],0),FALSE)</f>
        <v>26</v>
      </c>
    </row>
    <row r="508" spans="1:3" ht="15">
      <c r="A508" s="81" t="s">
        <v>2675</v>
      </c>
      <c r="B508" s="83" t="s">
        <v>234</v>
      </c>
      <c r="C508" s="80">
        <f>VLOOKUP(GroupVertices[[#This Row],[Vertex]],Vertices[],MATCH("ID",Vertices[[#Headers],[Vertex]:[Top Word Pairs in Comment by Salience]],0),FALSE)</f>
        <v>25</v>
      </c>
    </row>
    <row r="509" spans="1:3" ht="15">
      <c r="A509" s="81" t="s">
        <v>2675</v>
      </c>
      <c r="B509" s="83" t="s">
        <v>233</v>
      </c>
      <c r="C509" s="80">
        <f>VLOOKUP(GroupVertices[[#This Row],[Vertex]],Vertices[],MATCH("ID",Vertices[[#Headers],[Vertex]:[Top Word Pairs in Comment by Salience]],0),FALSE)</f>
        <v>24</v>
      </c>
    </row>
    <row r="510" spans="1:3" ht="15">
      <c r="A510" s="81" t="s">
        <v>2675</v>
      </c>
      <c r="B510" s="83" t="s">
        <v>232</v>
      </c>
      <c r="C510" s="80">
        <f>VLOOKUP(GroupVertices[[#This Row],[Vertex]],Vertices[],MATCH("ID",Vertices[[#Headers],[Vertex]:[Top Word Pairs in Comment by Salience]],0),FALSE)</f>
        <v>23</v>
      </c>
    </row>
    <row r="511" spans="1:3" ht="15">
      <c r="A511" s="81" t="s">
        <v>2675</v>
      </c>
      <c r="B511" s="83" t="s">
        <v>231</v>
      </c>
      <c r="C511" s="80">
        <f>VLOOKUP(GroupVertices[[#This Row],[Vertex]],Vertices[],MATCH("ID",Vertices[[#Headers],[Vertex]:[Top Word Pairs in Comment by Salience]],0),FALSE)</f>
        <v>22</v>
      </c>
    </row>
    <row r="512" spans="1:3" ht="15">
      <c r="A512" s="81" t="s">
        <v>2675</v>
      </c>
      <c r="B512" s="83" t="s">
        <v>230</v>
      </c>
      <c r="C512" s="80">
        <f>VLOOKUP(GroupVertices[[#This Row],[Vertex]],Vertices[],MATCH("ID",Vertices[[#Headers],[Vertex]:[Top Word Pairs in Comment by Salience]],0),FALSE)</f>
        <v>21</v>
      </c>
    </row>
    <row r="513" spans="1:3" ht="15">
      <c r="A513" s="81" t="s">
        <v>2675</v>
      </c>
      <c r="B513" s="83" t="s">
        <v>229</v>
      </c>
      <c r="C513" s="80">
        <f>VLOOKUP(GroupVertices[[#This Row],[Vertex]],Vertices[],MATCH("ID",Vertices[[#Headers],[Vertex]:[Top Word Pairs in Comment by Salience]],0),FALSE)</f>
        <v>20</v>
      </c>
    </row>
    <row r="514" spans="1:3" ht="15">
      <c r="A514" s="81" t="s">
        <v>2675</v>
      </c>
      <c r="B514" s="83" t="s">
        <v>228</v>
      </c>
      <c r="C514" s="80">
        <f>VLOOKUP(GroupVertices[[#This Row],[Vertex]],Vertices[],MATCH("ID",Vertices[[#Headers],[Vertex]:[Top Word Pairs in Comment by Salience]],0),FALSE)</f>
        <v>19</v>
      </c>
    </row>
    <row r="515" spans="1:3" ht="15">
      <c r="A515" s="81" t="s">
        <v>2675</v>
      </c>
      <c r="B515" s="83" t="s">
        <v>227</v>
      </c>
      <c r="C515" s="80">
        <f>VLOOKUP(GroupVertices[[#This Row],[Vertex]],Vertices[],MATCH("ID",Vertices[[#Headers],[Vertex]:[Top Word Pairs in Comment by Salience]],0),FALSE)</f>
        <v>18</v>
      </c>
    </row>
    <row r="516" spans="1:3" ht="15">
      <c r="A516" s="81" t="s">
        <v>2675</v>
      </c>
      <c r="B516" s="83" t="s">
        <v>226</v>
      </c>
      <c r="C516" s="80">
        <f>VLOOKUP(GroupVertices[[#This Row],[Vertex]],Vertices[],MATCH("ID",Vertices[[#Headers],[Vertex]:[Top Word Pairs in Comment by Salience]],0),FALSE)</f>
        <v>17</v>
      </c>
    </row>
    <row r="517" spans="1:3" ht="15">
      <c r="A517" s="81" t="s">
        <v>2675</v>
      </c>
      <c r="B517" s="83" t="s">
        <v>225</v>
      </c>
      <c r="C517" s="80">
        <f>VLOOKUP(GroupVertices[[#This Row],[Vertex]],Vertices[],MATCH("ID",Vertices[[#Headers],[Vertex]:[Top Word Pairs in Comment by Salience]],0),FALSE)</f>
        <v>16</v>
      </c>
    </row>
    <row r="518" spans="1:3" ht="15">
      <c r="A518" s="81" t="s">
        <v>2675</v>
      </c>
      <c r="B518" s="83" t="s">
        <v>224</v>
      </c>
      <c r="C518" s="80">
        <f>VLOOKUP(GroupVertices[[#This Row],[Vertex]],Vertices[],MATCH("ID",Vertices[[#Headers],[Vertex]:[Top Word Pairs in Comment by Salience]],0),FALSE)</f>
        <v>15</v>
      </c>
    </row>
    <row r="519" spans="1:3" ht="15">
      <c r="A519" s="81" t="s">
        <v>2675</v>
      </c>
      <c r="B519" s="83" t="s">
        <v>222</v>
      </c>
      <c r="C519" s="80">
        <f>VLOOKUP(GroupVertices[[#This Row],[Vertex]],Vertices[],MATCH("ID",Vertices[[#Headers],[Vertex]:[Top Word Pairs in Comment by Salience]],0),FALSE)</f>
        <v>14</v>
      </c>
    </row>
    <row r="520" spans="1:3" ht="15">
      <c r="A520" s="81" t="s">
        <v>2675</v>
      </c>
      <c r="B520" s="83" t="s">
        <v>221</v>
      </c>
      <c r="C520" s="80">
        <f>VLOOKUP(GroupVertices[[#This Row],[Vertex]],Vertices[],MATCH("ID",Vertices[[#Headers],[Vertex]:[Top Word Pairs in Comment by Salience]],0),FALSE)</f>
        <v>13</v>
      </c>
    </row>
    <row r="521" spans="1:3" ht="15">
      <c r="A521" s="81" t="s">
        <v>2675</v>
      </c>
      <c r="B521" s="83" t="s">
        <v>220</v>
      </c>
      <c r="C521" s="80">
        <f>VLOOKUP(GroupVertices[[#This Row],[Vertex]],Vertices[],MATCH("ID",Vertices[[#Headers],[Vertex]:[Top Word Pairs in Comment by Salience]],0),FALSE)</f>
        <v>12</v>
      </c>
    </row>
    <row r="522" spans="1:3" ht="15">
      <c r="A522" s="81" t="s">
        <v>2675</v>
      </c>
      <c r="B522" s="83" t="s">
        <v>219</v>
      </c>
      <c r="C522" s="80">
        <f>VLOOKUP(GroupVertices[[#This Row],[Vertex]],Vertices[],MATCH("ID",Vertices[[#Headers],[Vertex]:[Top Word Pairs in Comment by Salience]],0),FALSE)</f>
        <v>11</v>
      </c>
    </row>
    <row r="523" spans="1:3" ht="15">
      <c r="A523" s="81" t="s">
        <v>2675</v>
      </c>
      <c r="B523" s="83" t="s">
        <v>218</v>
      </c>
      <c r="C523" s="80">
        <f>VLOOKUP(GroupVertices[[#This Row],[Vertex]],Vertices[],MATCH("ID",Vertices[[#Headers],[Vertex]:[Top Word Pairs in Comment by Salience]],0),FALSE)</f>
        <v>10</v>
      </c>
    </row>
    <row r="524" spans="1:3" ht="15">
      <c r="A524" s="81" t="s">
        <v>2675</v>
      </c>
      <c r="B524" s="83" t="s">
        <v>217</v>
      </c>
      <c r="C524" s="80">
        <f>VLOOKUP(GroupVertices[[#This Row],[Vertex]],Vertices[],MATCH("ID",Vertices[[#Headers],[Vertex]:[Top Word Pairs in Comment by Salience]],0),FALSE)</f>
        <v>9</v>
      </c>
    </row>
    <row r="525" spans="1:3" ht="15">
      <c r="A525" s="81" t="s">
        <v>2675</v>
      </c>
      <c r="B525" s="83" t="s">
        <v>216</v>
      </c>
      <c r="C525" s="80">
        <f>VLOOKUP(GroupVertices[[#This Row],[Vertex]],Vertices[],MATCH("ID",Vertices[[#Headers],[Vertex]:[Top Word Pairs in Comment by Salience]],0),FALSE)</f>
        <v>8</v>
      </c>
    </row>
    <row r="526" spans="1:3" ht="15">
      <c r="A526" s="81" t="s">
        <v>2675</v>
      </c>
      <c r="B526" s="83" t="s">
        <v>215</v>
      </c>
      <c r="C526" s="80">
        <f>VLOOKUP(GroupVertices[[#This Row],[Vertex]],Vertices[],MATCH("ID",Vertices[[#Headers],[Vertex]:[Top Word Pairs in Comment by Salience]],0),FALSE)</f>
        <v>7</v>
      </c>
    </row>
    <row r="527" spans="1:3" ht="15">
      <c r="A527" s="81" t="s">
        <v>2675</v>
      </c>
      <c r="B527" s="83" t="s">
        <v>214</v>
      </c>
      <c r="C527" s="80">
        <f>VLOOKUP(GroupVertices[[#This Row],[Vertex]],Vertices[],MATCH("ID",Vertices[[#Headers],[Vertex]:[Top Word Pairs in Comment by Salience]],0),FALSE)</f>
        <v>6</v>
      </c>
    </row>
    <row r="528" spans="1:3" ht="15">
      <c r="A528" s="81" t="s">
        <v>2675</v>
      </c>
      <c r="B528" s="83" t="s">
        <v>213</v>
      </c>
      <c r="C528" s="80">
        <f>VLOOKUP(GroupVertices[[#This Row],[Vertex]],Vertices[],MATCH("ID",Vertices[[#Headers],[Vertex]:[Top Word Pairs in Comment by Salience]],0),FALSE)</f>
        <v>5</v>
      </c>
    </row>
    <row r="529" spans="1:3" ht="15">
      <c r="A529" s="81" t="s">
        <v>2675</v>
      </c>
      <c r="B529" s="83" t="s">
        <v>843</v>
      </c>
      <c r="C529" s="80">
        <f>VLOOKUP(GroupVertices[[#This Row],[Vertex]],Vertices[],MATCH("ID",Vertices[[#Headers],[Vertex]:[Top Word Pairs in Comment by Salience]],0),FALSE)</f>
        <v>3</v>
      </c>
    </row>
    <row r="530" spans="1:3" ht="15">
      <c r="A530" s="81" t="s">
        <v>2676</v>
      </c>
      <c r="B530" s="83" t="s">
        <v>505</v>
      </c>
      <c r="C530" s="80">
        <f>VLOOKUP(GroupVertices[[#This Row],[Vertex]],Vertices[],MATCH("ID",Vertices[[#Headers],[Vertex]:[Top Word Pairs in Comment by Salience]],0),FALSE)</f>
        <v>304</v>
      </c>
    </row>
    <row r="531" spans="1:3" ht="15">
      <c r="A531" s="81" t="s">
        <v>2676</v>
      </c>
      <c r="B531" s="83" t="s">
        <v>834</v>
      </c>
      <c r="C531" s="80">
        <f>VLOOKUP(GroupVertices[[#This Row],[Vertex]],Vertices[],MATCH("ID",Vertices[[#Headers],[Vertex]:[Top Word Pairs in Comment by Salience]],0),FALSE)</f>
        <v>284</v>
      </c>
    </row>
    <row r="532" spans="1:3" ht="15">
      <c r="A532" s="81" t="s">
        <v>2676</v>
      </c>
      <c r="B532" s="83" t="s">
        <v>504</v>
      </c>
      <c r="C532" s="80">
        <f>VLOOKUP(GroupVertices[[#This Row],[Vertex]],Vertices[],MATCH("ID",Vertices[[#Headers],[Vertex]:[Top Word Pairs in Comment by Salience]],0),FALSE)</f>
        <v>303</v>
      </c>
    </row>
    <row r="533" spans="1:3" ht="15">
      <c r="A533" s="81" t="s">
        <v>2676</v>
      </c>
      <c r="B533" s="83" t="s">
        <v>503</v>
      </c>
      <c r="C533" s="80">
        <f>VLOOKUP(GroupVertices[[#This Row],[Vertex]],Vertices[],MATCH("ID",Vertices[[#Headers],[Vertex]:[Top Word Pairs in Comment by Salience]],0),FALSE)</f>
        <v>302</v>
      </c>
    </row>
    <row r="534" spans="1:3" ht="15">
      <c r="A534" s="81" t="s">
        <v>2676</v>
      </c>
      <c r="B534" s="83" t="s">
        <v>502</v>
      </c>
      <c r="C534" s="80">
        <f>VLOOKUP(GroupVertices[[#This Row],[Vertex]],Vertices[],MATCH("ID",Vertices[[#Headers],[Vertex]:[Top Word Pairs in Comment by Salience]],0),FALSE)</f>
        <v>301</v>
      </c>
    </row>
    <row r="535" spans="1:3" ht="15">
      <c r="A535" s="81" t="s">
        <v>2676</v>
      </c>
      <c r="B535" s="83" t="s">
        <v>501</v>
      </c>
      <c r="C535" s="80">
        <f>VLOOKUP(GroupVertices[[#This Row],[Vertex]],Vertices[],MATCH("ID",Vertices[[#Headers],[Vertex]:[Top Word Pairs in Comment by Salience]],0),FALSE)</f>
        <v>300</v>
      </c>
    </row>
    <row r="536" spans="1:3" ht="15">
      <c r="A536" s="81" t="s">
        <v>2676</v>
      </c>
      <c r="B536" s="83" t="s">
        <v>500</v>
      </c>
      <c r="C536" s="80">
        <f>VLOOKUP(GroupVertices[[#This Row],[Vertex]],Vertices[],MATCH("ID",Vertices[[#Headers],[Vertex]:[Top Word Pairs in Comment by Salience]],0),FALSE)</f>
        <v>299</v>
      </c>
    </row>
    <row r="537" spans="1:3" ht="15">
      <c r="A537" s="81" t="s">
        <v>2676</v>
      </c>
      <c r="B537" s="83" t="s">
        <v>499</v>
      </c>
      <c r="C537" s="80">
        <f>VLOOKUP(GroupVertices[[#This Row],[Vertex]],Vertices[],MATCH("ID",Vertices[[#Headers],[Vertex]:[Top Word Pairs in Comment by Salience]],0),FALSE)</f>
        <v>298</v>
      </c>
    </row>
    <row r="538" spans="1:3" ht="15">
      <c r="A538" s="81" t="s">
        <v>2676</v>
      </c>
      <c r="B538" s="83" t="s">
        <v>498</v>
      </c>
      <c r="C538" s="80">
        <f>VLOOKUP(GroupVertices[[#This Row],[Vertex]],Vertices[],MATCH("ID",Vertices[[#Headers],[Vertex]:[Top Word Pairs in Comment by Salience]],0),FALSE)</f>
        <v>297</v>
      </c>
    </row>
    <row r="539" spans="1:3" ht="15">
      <c r="A539" s="81" t="s">
        <v>2676</v>
      </c>
      <c r="B539" s="83" t="s">
        <v>497</v>
      </c>
      <c r="C539" s="80">
        <f>VLOOKUP(GroupVertices[[#This Row],[Vertex]],Vertices[],MATCH("ID",Vertices[[#Headers],[Vertex]:[Top Word Pairs in Comment by Salience]],0),FALSE)</f>
        <v>296</v>
      </c>
    </row>
    <row r="540" spans="1:3" ht="15">
      <c r="A540" s="81" t="s">
        <v>2676</v>
      </c>
      <c r="B540" s="83" t="s">
        <v>496</v>
      </c>
      <c r="C540" s="80">
        <f>VLOOKUP(GroupVertices[[#This Row],[Vertex]],Vertices[],MATCH("ID",Vertices[[#Headers],[Vertex]:[Top Word Pairs in Comment by Salience]],0),FALSE)</f>
        <v>295</v>
      </c>
    </row>
    <row r="541" spans="1:3" ht="15">
      <c r="A541" s="81" t="s">
        <v>2676</v>
      </c>
      <c r="B541" s="83" t="s">
        <v>495</v>
      </c>
      <c r="C541" s="80">
        <f>VLOOKUP(GroupVertices[[#This Row],[Vertex]],Vertices[],MATCH("ID",Vertices[[#Headers],[Vertex]:[Top Word Pairs in Comment by Salience]],0),FALSE)</f>
        <v>294</v>
      </c>
    </row>
    <row r="542" spans="1:3" ht="15">
      <c r="A542" s="81" t="s">
        <v>2676</v>
      </c>
      <c r="B542" s="83" t="s">
        <v>494</v>
      </c>
      <c r="C542" s="80">
        <f>VLOOKUP(GroupVertices[[#This Row],[Vertex]],Vertices[],MATCH("ID",Vertices[[#Headers],[Vertex]:[Top Word Pairs in Comment by Salience]],0),FALSE)</f>
        <v>293</v>
      </c>
    </row>
    <row r="543" spans="1:3" ht="15">
      <c r="A543" s="81" t="s">
        <v>2676</v>
      </c>
      <c r="B543" s="83" t="s">
        <v>493</v>
      </c>
      <c r="C543" s="80">
        <f>VLOOKUP(GroupVertices[[#This Row],[Vertex]],Vertices[],MATCH("ID",Vertices[[#Headers],[Vertex]:[Top Word Pairs in Comment by Salience]],0),FALSE)</f>
        <v>292</v>
      </c>
    </row>
    <row r="544" spans="1:3" ht="15">
      <c r="A544" s="81" t="s">
        <v>2676</v>
      </c>
      <c r="B544" s="83" t="s">
        <v>491</v>
      </c>
      <c r="C544" s="80">
        <f>VLOOKUP(GroupVertices[[#This Row],[Vertex]],Vertices[],MATCH("ID",Vertices[[#Headers],[Vertex]:[Top Word Pairs in Comment by Salience]],0),FALSE)</f>
        <v>291</v>
      </c>
    </row>
    <row r="545" spans="1:3" ht="15">
      <c r="A545" s="81" t="s">
        <v>2676</v>
      </c>
      <c r="B545" s="83" t="s">
        <v>492</v>
      </c>
      <c r="C545" s="80">
        <f>VLOOKUP(GroupVertices[[#This Row],[Vertex]],Vertices[],MATCH("ID",Vertices[[#Headers],[Vertex]:[Top Word Pairs in Comment by Salience]],0),FALSE)</f>
        <v>290</v>
      </c>
    </row>
    <row r="546" spans="1:3" ht="15">
      <c r="A546" s="81" t="s">
        <v>2676</v>
      </c>
      <c r="B546" s="83" t="s">
        <v>490</v>
      </c>
      <c r="C546" s="80">
        <f>VLOOKUP(GroupVertices[[#This Row],[Vertex]],Vertices[],MATCH("ID",Vertices[[#Headers],[Vertex]:[Top Word Pairs in Comment by Salience]],0),FALSE)</f>
        <v>289</v>
      </c>
    </row>
    <row r="547" spans="1:3" ht="15">
      <c r="A547" s="81" t="s">
        <v>2676</v>
      </c>
      <c r="B547" s="83" t="s">
        <v>489</v>
      </c>
      <c r="C547" s="80">
        <f>VLOOKUP(GroupVertices[[#This Row],[Vertex]],Vertices[],MATCH("ID",Vertices[[#Headers],[Vertex]:[Top Word Pairs in Comment by Salience]],0),FALSE)</f>
        <v>288</v>
      </c>
    </row>
    <row r="548" spans="1:3" ht="15">
      <c r="A548" s="81" t="s">
        <v>2676</v>
      </c>
      <c r="B548" s="83" t="s">
        <v>488</v>
      </c>
      <c r="C548" s="80">
        <f>VLOOKUP(GroupVertices[[#This Row],[Vertex]],Vertices[],MATCH("ID",Vertices[[#Headers],[Vertex]:[Top Word Pairs in Comment by Salience]],0),FALSE)</f>
        <v>287</v>
      </c>
    </row>
    <row r="549" spans="1:3" ht="15">
      <c r="A549" s="81" t="s">
        <v>2676</v>
      </c>
      <c r="B549" s="83" t="s">
        <v>487</v>
      </c>
      <c r="C549" s="80">
        <f>VLOOKUP(GroupVertices[[#This Row],[Vertex]],Vertices[],MATCH("ID",Vertices[[#Headers],[Vertex]:[Top Word Pairs in Comment by Salience]],0),FALSE)</f>
        <v>286</v>
      </c>
    </row>
    <row r="550" spans="1:3" ht="15">
      <c r="A550" s="81" t="s">
        <v>2676</v>
      </c>
      <c r="B550" s="83" t="s">
        <v>486</v>
      </c>
      <c r="C550" s="80">
        <f>VLOOKUP(GroupVertices[[#This Row],[Vertex]],Vertices[],MATCH("ID",Vertices[[#Headers],[Vertex]:[Top Word Pairs in Comment by Salience]],0),FALSE)</f>
        <v>285</v>
      </c>
    </row>
    <row r="551" spans="1:3" ht="15">
      <c r="A551" s="81" t="s">
        <v>2676</v>
      </c>
      <c r="B551" s="83" t="s">
        <v>485</v>
      </c>
      <c r="C551" s="80">
        <f>VLOOKUP(GroupVertices[[#This Row],[Vertex]],Vertices[],MATCH("ID",Vertices[[#Headers],[Vertex]:[Top Word Pairs in Comment by Salience]],0),FALSE)</f>
        <v>283</v>
      </c>
    </row>
    <row r="552" spans="1:3" ht="15">
      <c r="A552" s="81" t="s">
        <v>2677</v>
      </c>
      <c r="B552" s="83" t="s">
        <v>523</v>
      </c>
      <c r="C552" s="80">
        <f>VLOOKUP(GroupVertices[[#This Row],[Vertex]],Vertices[],MATCH("ID",Vertices[[#Headers],[Vertex]:[Top Word Pairs in Comment by Salience]],0),FALSE)</f>
        <v>323</v>
      </c>
    </row>
    <row r="553" spans="1:3" ht="15">
      <c r="A553" s="81" t="s">
        <v>2677</v>
      </c>
      <c r="B553" s="83" t="s">
        <v>835</v>
      </c>
      <c r="C553" s="80">
        <f>VLOOKUP(GroupVertices[[#This Row],[Vertex]],Vertices[],MATCH("ID",Vertices[[#Headers],[Vertex]:[Top Word Pairs in Comment by Salience]],0),FALSE)</f>
        <v>306</v>
      </c>
    </row>
    <row r="554" spans="1:3" ht="15">
      <c r="A554" s="81" t="s">
        <v>2677</v>
      </c>
      <c r="B554" s="83" t="s">
        <v>522</v>
      </c>
      <c r="C554" s="80">
        <f>VLOOKUP(GroupVertices[[#This Row],[Vertex]],Vertices[],MATCH("ID",Vertices[[#Headers],[Vertex]:[Top Word Pairs in Comment by Salience]],0),FALSE)</f>
        <v>322</v>
      </c>
    </row>
    <row r="555" spans="1:3" ht="15">
      <c r="A555" s="81" t="s">
        <v>2677</v>
      </c>
      <c r="B555" s="83" t="s">
        <v>521</v>
      </c>
      <c r="C555" s="80">
        <f>VLOOKUP(GroupVertices[[#This Row],[Vertex]],Vertices[],MATCH("ID",Vertices[[#Headers],[Vertex]:[Top Word Pairs in Comment by Salience]],0),FALSE)</f>
        <v>321</v>
      </c>
    </row>
    <row r="556" spans="1:3" ht="15">
      <c r="A556" s="81" t="s">
        <v>2677</v>
      </c>
      <c r="B556" s="83" t="s">
        <v>520</v>
      </c>
      <c r="C556" s="80">
        <f>VLOOKUP(GroupVertices[[#This Row],[Vertex]],Vertices[],MATCH("ID",Vertices[[#Headers],[Vertex]:[Top Word Pairs in Comment by Salience]],0),FALSE)</f>
        <v>320</v>
      </c>
    </row>
    <row r="557" spans="1:3" ht="15">
      <c r="A557" s="81" t="s">
        <v>2677</v>
      </c>
      <c r="B557" s="83" t="s">
        <v>519</v>
      </c>
      <c r="C557" s="80">
        <f>VLOOKUP(GroupVertices[[#This Row],[Vertex]],Vertices[],MATCH("ID",Vertices[[#Headers],[Vertex]:[Top Word Pairs in Comment by Salience]],0),FALSE)</f>
        <v>319</v>
      </c>
    </row>
    <row r="558" spans="1:3" ht="15">
      <c r="A558" s="81" t="s">
        <v>2677</v>
      </c>
      <c r="B558" s="83" t="s">
        <v>518</v>
      </c>
      <c r="C558" s="80">
        <f>VLOOKUP(GroupVertices[[#This Row],[Vertex]],Vertices[],MATCH("ID",Vertices[[#Headers],[Vertex]:[Top Word Pairs in Comment by Salience]],0),FALSE)</f>
        <v>318</v>
      </c>
    </row>
    <row r="559" spans="1:3" ht="15">
      <c r="A559" s="81" t="s">
        <v>2677</v>
      </c>
      <c r="B559" s="83" t="s">
        <v>517</v>
      </c>
      <c r="C559" s="80">
        <f>VLOOKUP(GroupVertices[[#This Row],[Vertex]],Vertices[],MATCH("ID",Vertices[[#Headers],[Vertex]:[Top Word Pairs in Comment by Salience]],0),FALSE)</f>
        <v>317</v>
      </c>
    </row>
    <row r="560" spans="1:3" ht="15">
      <c r="A560" s="81" t="s">
        <v>2677</v>
      </c>
      <c r="B560" s="83" t="s">
        <v>516</v>
      </c>
      <c r="C560" s="80">
        <f>VLOOKUP(GroupVertices[[#This Row],[Vertex]],Vertices[],MATCH("ID",Vertices[[#Headers],[Vertex]:[Top Word Pairs in Comment by Salience]],0),FALSE)</f>
        <v>316</v>
      </c>
    </row>
    <row r="561" spans="1:3" ht="15">
      <c r="A561" s="81" t="s">
        <v>2677</v>
      </c>
      <c r="B561" s="83" t="s">
        <v>515</v>
      </c>
      <c r="C561" s="80">
        <f>VLOOKUP(GroupVertices[[#This Row],[Vertex]],Vertices[],MATCH("ID",Vertices[[#Headers],[Vertex]:[Top Word Pairs in Comment by Salience]],0),FALSE)</f>
        <v>315</v>
      </c>
    </row>
    <row r="562" spans="1:3" ht="15">
      <c r="A562" s="81" t="s">
        <v>2677</v>
      </c>
      <c r="B562" s="83" t="s">
        <v>514</v>
      </c>
      <c r="C562" s="80">
        <f>VLOOKUP(GroupVertices[[#This Row],[Vertex]],Vertices[],MATCH("ID",Vertices[[#Headers],[Vertex]:[Top Word Pairs in Comment by Salience]],0),FALSE)</f>
        <v>314</v>
      </c>
    </row>
    <row r="563" spans="1:3" ht="15">
      <c r="A563" s="81" t="s">
        <v>2677</v>
      </c>
      <c r="B563" s="83" t="s">
        <v>507</v>
      </c>
      <c r="C563" s="80">
        <f>VLOOKUP(GroupVertices[[#This Row],[Vertex]],Vertices[],MATCH("ID",Vertices[[#Headers],[Vertex]:[Top Word Pairs in Comment by Salience]],0),FALSE)</f>
        <v>307</v>
      </c>
    </row>
    <row r="564" spans="1:3" ht="15">
      <c r="A564" s="81" t="s">
        <v>2677</v>
      </c>
      <c r="B564" s="83" t="s">
        <v>513</v>
      </c>
      <c r="C564" s="80">
        <f>VLOOKUP(GroupVertices[[#This Row],[Vertex]],Vertices[],MATCH("ID",Vertices[[#Headers],[Vertex]:[Top Word Pairs in Comment by Salience]],0),FALSE)</f>
        <v>313</v>
      </c>
    </row>
    <row r="565" spans="1:3" ht="15">
      <c r="A565" s="81" t="s">
        <v>2677</v>
      </c>
      <c r="B565" s="83" t="s">
        <v>512</v>
      </c>
      <c r="C565" s="80">
        <f>VLOOKUP(GroupVertices[[#This Row],[Vertex]],Vertices[],MATCH("ID",Vertices[[#Headers],[Vertex]:[Top Word Pairs in Comment by Salience]],0),FALSE)</f>
        <v>312</v>
      </c>
    </row>
    <row r="566" spans="1:3" ht="15">
      <c r="A566" s="81" t="s">
        <v>2677</v>
      </c>
      <c r="B566" s="83" t="s">
        <v>511</v>
      </c>
      <c r="C566" s="80">
        <f>VLOOKUP(GroupVertices[[#This Row],[Vertex]],Vertices[],MATCH("ID",Vertices[[#Headers],[Vertex]:[Top Word Pairs in Comment by Salience]],0),FALSE)</f>
        <v>311</v>
      </c>
    </row>
    <row r="567" spans="1:3" ht="15">
      <c r="A567" s="81" t="s">
        <v>2677</v>
      </c>
      <c r="B567" s="83" t="s">
        <v>510</v>
      </c>
      <c r="C567" s="80">
        <f>VLOOKUP(GroupVertices[[#This Row],[Vertex]],Vertices[],MATCH("ID",Vertices[[#Headers],[Vertex]:[Top Word Pairs in Comment by Salience]],0),FALSE)</f>
        <v>310</v>
      </c>
    </row>
    <row r="568" spans="1:3" ht="15">
      <c r="A568" s="81" t="s">
        <v>2677</v>
      </c>
      <c r="B568" s="83" t="s">
        <v>509</v>
      </c>
      <c r="C568" s="80">
        <f>VLOOKUP(GroupVertices[[#This Row],[Vertex]],Vertices[],MATCH("ID",Vertices[[#Headers],[Vertex]:[Top Word Pairs in Comment by Salience]],0),FALSE)</f>
        <v>309</v>
      </c>
    </row>
    <row r="569" spans="1:3" ht="15">
      <c r="A569" s="81" t="s">
        <v>2677</v>
      </c>
      <c r="B569" s="83" t="s">
        <v>508</v>
      </c>
      <c r="C569" s="80">
        <f>VLOOKUP(GroupVertices[[#This Row],[Vertex]],Vertices[],MATCH("ID",Vertices[[#Headers],[Vertex]:[Top Word Pairs in Comment by Salience]],0),FALSE)</f>
        <v>308</v>
      </c>
    </row>
    <row r="570" spans="1:3" ht="15">
      <c r="A570" s="81" t="s">
        <v>2677</v>
      </c>
      <c r="B570" s="83" t="s">
        <v>506</v>
      </c>
      <c r="C570" s="80">
        <f>VLOOKUP(GroupVertices[[#This Row],[Vertex]],Vertices[],MATCH("ID",Vertices[[#Headers],[Vertex]:[Top Word Pairs in Comment by Salience]],0),FALSE)</f>
        <v>305</v>
      </c>
    </row>
    <row r="571" spans="1:3" ht="15">
      <c r="A571" s="81" t="s">
        <v>2678</v>
      </c>
      <c r="B571" s="83" t="s">
        <v>607</v>
      </c>
      <c r="C571" s="80">
        <f>VLOOKUP(GroupVertices[[#This Row],[Vertex]],Vertices[],MATCH("ID",Vertices[[#Headers],[Vertex]:[Top Word Pairs in Comment by Salience]],0),FALSE)</f>
        <v>409</v>
      </c>
    </row>
    <row r="572" spans="1:3" ht="15">
      <c r="A572" s="81" t="s">
        <v>2678</v>
      </c>
      <c r="B572" s="83" t="s">
        <v>608</v>
      </c>
      <c r="C572" s="80">
        <f>VLOOKUP(GroupVertices[[#This Row],[Vertex]],Vertices[],MATCH("ID",Vertices[[#Headers],[Vertex]:[Top Word Pairs in Comment by Salience]],0),FALSE)</f>
        <v>401</v>
      </c>
    </row>
    <row r="573" spans="1:3" ht="15">
      <c r="A573" s="81" t="s">
        <v>2678</v>
      </c>
      <c r="B573" s="83" t="s">
        <v>606</v>
      </c>
      <c r="C573" s="80">
        <f>VLOOKUP(GroupVertices[[#This Row],[Vertex]],Vertices[],MATCH("ID",Vertices[[#Headers],[Vertex]:[Top Word Pairs in Comment by Salience]],0),FALSE)</f>
        <v>408</v>
      </c>
    </row>
    <row r="574" spans="1:3" ht="15">
      <c r="A574" s="81" t="s">
        <v>2678</v>
      </c>
      <c r="B574" s="83" t="s">
        <v>605</v>
      </c>
      <c r="C574" s="80">
        <f>VLOOKUP(GroupVertices[[#This Row],[Vertex]],Vertices[],MATCH("ID",Vertices[[#Headers],[Vertex]:[Top Word Pairs in Comment by Salience]],0),FALSE)</f>
        <v>407</v>
      </c>
    </row>
    <row r="575" spans="1:3" ht="15">
      <c r="A575" s="81" t="s">
        <v>2678</v>
      </c>
      <c r="B575" s="83" t="s">
        <v>604</v>
      </c>
      <c r="C575" s="80">
        <f>VLOOKUP(GroupVertices[[#This Row],[Vertex]],Vertices[],MATCH("ID",Vertices[[#Headers],[Vertex]:[Top Word Pairs in Comment by Salience]],0),FALSE)</f>
        <v>406</v>
      </c>
    </row>
    <row r="576" spans="1:3" ht="15">
      <c r="A576" s="81" t="s">
        <v>2678</v>
      </c>
      <c r="B576" s="83" t="s">
        <v>603</v>
      </c>
      <c r="C576" s="80">
        <f>VLOOKUP(GroupVertices[[#This Row],[Vertex]],Vertices[],MATCH("ID",Vertices[[#Headers],[Vertex]:[Top Word Pairs in Comment by Salience]],0),FALSE)</f>
        <v>405</v>
      </c>
    </row>
    <row r="577" spans="1:3" ht="15">
      <c r="A577" s="81" t="s">
        <v>2678</v>
      </c>
      <c r="B577" s="83" t="s">
        <v>602</v>
      </c>
      <c r="C577" s="80">
        <f>VLOOKUP(GroupVertices[[#This Row],[Vertex]],Vertices[],MATCH("ID",Vertices[[#Headers],[Vertex]:[Top Word Pairs in Comment by Salience]],0),FALSE)</f>
        <v>404</v>
      </c>
    </row>
    <row r="578" spans="1:3" ht="15">
      <c r="A578" s="81" t="s">
        <v>2678</v>
      </c>
      <c r="B578" s="83" t="s">
        <v>601</v>
      </c>
      <c r="C578" s="80">
        <f>VLOOKUP(GroupVertices[[#This Row],[Vertex]],Vertices[],MATCH("ID",Vertices[[#Headers],[Vertex]:[Top Word Pairs in Comment by Salience]],0),FALSE)</f>
        <v>403</v>
      </c>
    </row>
    <row r="579" spans="1:3" ht="15">
      <c r="A579" s="81" t="s">
        <v>2678</v>
      </c>
      <c r="B579" s="83" t="s">
        <v>600</v>
      </c>
      <c r="C579" s="80">
        <f>VLOOKUP(GroupVertices[[#This Row],[Vertex]],Vertices[],MATCH("ID",Vertices[[#Headers],[Vertex]:[Top Word Pairs in Comment by Salience]],0),FALSE)</f>
        <v>402</v>
      </c>
    </row>
    <row r="580" spans="1:3" ht="15">
      <c r="A580" s="81" t="s">
        <v>2678</v>
      </c>
      <c r="B580" s="83" t="s">
        <v>599</v>
      </c>
      <c r="C580" s="80">
        <f>VLOOKUP(GroupVertices[[#This Row],[Vertex]],Vertices[],MATCH("ID",Vertices[[#Headers],[Vertex]:[Top Word Pairs in Comment by Salience]],0),FALSE)</f>
        <v>400</v>
      </c>
    </row>
    <row r="581" spans="1:3" ht="15">
      <c r="A581" s="81" t="s">
        <v>2679</v>
      </c>
      <c r="B581" s="83" t="s">
        <v>824</v>
      </c>
      <c r="C581" s="80">
        <f>VLOOKUP(GroupVertices[[#This Row],[Vertex]],Vertices[],MATCH("ID",Vertices[[#Headers],[Vertex]:[Top Word Pairs in Comment by Salience]],0),FALSE)</f>
        <v>626</v>
      </c>
    </row>
    <row r="582" spans="1:3" ht="15">
      <c r="A582" s="81" t="s">
        <v>2679</v>
      </c>
      <c r="B582" s="83" t="s">
        <v>827</v>
      </c>
      <c r="C582" s="80">
        <f>VLOOKUP(GroupVertices[[#This Row],[Vertex]],Vertices[],MATCH("ID",Vertices[[#Headers],[Vertex]:[Top Word Pairs in Comment by Salience]],0),FALSE)</f>
        <v>627</v>
      </c>
    </row>
    <row r="583" spans="1:3" ht="15">
      <c r="A583" s="81" t="s">
        <v>2679</v>
      </c>
      <c r="B583" s="83" t="s">
        <v>829</v>
      </c>
      <c r="C583" s="80">
        <f>VLOOKUP(GroupVertices[[#This Row],[Vertex]],Vertices[],MATCH("ID",Vertices[[#Headers],[Vertex]:[Top Word Pairs in Comment by Salience]],0),FALSE)</f>
        <v>628</v>
      </c>
    </row>
    <row r="584" spans="1:3" ht="15">
      <c r="A584" s="81" t="s">
        <v>2679</v>
      </c>
      <c r="B584" s="83" t="s">
        <v>830</v>
      </c>
      <c r="C584" s="80">
        <f>VLOOKUP(GroupVertices[[#This Row],[Vertex]],Vertices[],MATCH("ID",Vertices[[#Headers],[Vertex]:[Top Word Pairs in Comment by Salience]],0),FALSE)</f>
        <v>629</v>
      </c>
    </row>
    <row r="585" spans="1:3" ht="15">
      <c r="A585" s="81" t="s">
        <v>2679</v>
      </c>
      <c r="B585" s="83" t="s">
        <v>831</v>
      </c>
      <c r="C585" s="80">
        <f>VLOOKUP(GroupVertices[[#This Row],[Vertex]],Vertices[],MATCH("ID",Vertices[[#Headers],[Vertex]:[Top Word Pairs in Comment by Salience]],0),FALSE)</f>
        <v>630</v>
      </c>
    </row>
    <row r="586" spans="1:3" ht="15">
      <c r="A586" s="81" t="s">
        <v>2679</v>
      </c>
      <c r="B586" s="83" t="s">
        <v>832</v>
      </c>
      <c r="C586" s="80">
        <f>VLOOKUP(GroupVertices[[#This Row],[Vertex]],Vertices[],MATCH("ID",Vertices[[#Headers],[Vertex]:[Top Word Pairs in Comment by Salience]],0),FALSE)</f>
        <v>631</v>
      </c>
    </row>
    <row r="587" spans="1:3" ht="15">
      <c r="A587" s="81" t="s">
        <v>2679</v>
      </c>
      <c r="B587" s="83" t="s">
        <v>837</v>
      </c>
      <c r="C587" s="80">
        <f>VLOOKUP(GroupVertices[[#This Row],[Vertex]],Vertices[],MATCH("ID",Vertices[[#Headers],[Vertex]:[Top Word Pairs in Comment by Salience]],0),FALSE)</f>
        <v>632</v>
      </c>
    </row>
    <row r="588" spans="1:3" ht="15">
      <c r="A588" s="81" t="s">
        <v>2679</v>
      </c>
      <c r="B588" s="83" t="s">
        <v>838</v>
      </c>
      <c r="C588" s="80">
        <f>VLOOKUP(GroupVertices[[#This Row],[Vertex]],Vertices[],MATCH("ID",Vertices[[#Headers],[Vertex]:[Top Word Pairs in Comment by Salience]],0),FALSE)</f>
        <v>633</v>
      </c>
    </row>
    <row r="589" spans="1:3" ht="15">
      <c r="A589" s="81" t="s">
        <v>2680</v>
      </c>
      <c r="B589" s="83" t="s">
        <v>572</v>
      </c>
      <c r="C589" s="80">
        <f>VLOOKUP(GroupVertices[[#This Row],[Vertex]],Vertices[],MATCH("ID",Vertices[[#Headers],[Vertex]:[Top Word Pairs in Comment by Salience]],0),FALSE)</f>
        <v>374</v>
      </c>
    </row>
    <row r="590" spans="1:3" ht="15">
      <c r="A590" s="81" t="s">
        <v>2680</v>
      </c>
      <c r="B590" s="83" t="s">
        <v>573</v>
      </c>
      <c r="C590" s="80">
        <f>VLOOKUP(GroupVertices[[#This Row],[Vertex]],Vertices[],MATCH("ID",Vertices[[#Headers],[Vertex]:[Top Word Pairs in Comment by Salience]],0),FALSE)</f>
        <v>369</v>
      </c>
    </row>
    <row r="591" spans="1:3" ht="15">
      <c r="A591" s="81" t="s">
        <v>2680</v>
      </c>
      <c r="B591" s="83" t="s">
        <v>571</v>
      </c>
      <c r="C591" s="80">
        <f>VLOOKUP(GroupVertices[[#This Row],[Vertex]],Vertices[],MATCH("ID",Vertices[[#Headers],[Vertex]:[Top Word Pairs in Comment by Salience]],0),FALSE)</f>
        <v>373</v>
      </c>
    </row>
    <row r="592" spans="1:3" ht="15">
      <c r="A592" s="81" t="s">
        <v>2680</v>
      </c>
      <c r="B592" s="83" t="s">
        <v>570</v>
      </c>
      <c r="C592" s="80">
        <f>VLOOKUP(GroupVertices[[#This Row],[Vertex]],Vertices[],MATCH("ID",Vertices[[#Headers],[Vertex]:[Top Word Pairs in Comment by Salience]],0),FALSE)</f>
        <v>372</v>
      </c>
    </row>
    <row r="593" spans="1:3" ht="15">
      <c r="A593" s="81" t="s">
        <v>2680</v>
      </c>
      <c r="B593" s="83" t="s">
        <v>569</v>
      </c>
      <c r="C593" s="80">
        <f>VLOOKUP(GroupVertices[[#This Row],[Vertex]],Vertices[],MATCH("ID",Vertices[[#Headers],[Vertex]:[Top Word Pairs in Comment by Salience]],0),FALSE)</f>
        <v>371</v>
      </c>
    </row>
    <row r="594" spans="1:3" ht="15">
      <c r="A594" s="81" t="s">
        <v>2680</v>
      </c>
      <c r="B594" s="83" t="s">
        <v>568</v>
      </c>
      <c r="C594" s="80">
        <f>VLOOKUP(GroupVertices[[#This Row],[Vertex]],Vertices[],MATCH("ID",Vertices[[#Headers],[Vertex]:[Top Word Pairs in Comment by Salience]],0),FALSE)</f>
        <v>370</v>
      </c>
    </row>
    <row r="595" spans="1:3" ht="15">
      <c r="A595" s="81" t="s">
        <v>2680</v>
      </c>
      <c r="B595" s="83" t="s">
        <v>567</v>
      </c>
      <c r="C595" s="80">
        <f>VLOOKUP(GroupVertices[[#This Row],[Vertex]],Vertices[],MATCH("ID",Vertices[[#Headers],[Vertex]:[Top Word Pairs in Comment by Salience]],0),FALSE)</f>
        <v>368</v>
      </c>
    </row>
    <row r="596" spans="1:3" ht="15">
      <c r="A596" s="81" t="s">
        <v>2681</v>
      </c>
      <c r="B596" s="83" t="s">
        <v>547</v>
      </c>
      <c r="C596" s="80">
        <f>VLOOKUP(GroupVertices[[#This Row],[Vertex]],Vertices[],MATCH("ID",Vertices[[#Headers],[Vertex]:[Top Word Pairs in Comment by Salience]],0),FALSE)</f>
        <v>348</v>
      </c>
    </row>
    <row r="597" spans="1:3" ht="15">
      <c r="A597" s="81" t="s">
        <v>2681</v>
      </c>
      <c r="B597" s="83" t="s">
        <v>542</v>
      </c>
      <c r="C597" s="80">
        <f>VLOOKUP(GroupVertices[[#This Row],[Vertex]],Vertices[],MATCH("ID",Vertices[[#Headers],[Vertex]:[Top Word Pairs in Comment by Salience]],0),FALSE)</f>
        <v>343</v>
      </c>
    </row>
    <row r="598" spans="1:3" ht="15">
      <c r="A598" s="81" t="s">
        <v>2681</v>
      </c>
      <c r="B598" s="83" t="s">
        <v>546</v>
      </c>
      <c r="C598" s="80">
        <f>VLOOKUP(GroupVertices[[#This Row],[Vertex]],Vertices[],MATCH("ID",Vertices[[#Headers],[Vertex]:[Top Word Pairs in Comment by Salience]],0),FALSE)</f>
        <v>347</v>
      </c>
    </row>
    <row r="599" spans="1:3" ht="15">
      <c r="A599" s="81" t="s">
        <v>2681</v>
      </c>
      <c r="B599" s="83" t="s">
        <v>545</v>
      </c>
      <c r="C599" s="80">
        <f>VLOOKUP(GroupVertices[[#This Row],[Vertex]],Vertices[],MATCH("ID",Vertices[[#Headers],[Vertex]:[Top Word Pairs in Comment by Salience]],0),FALSE)</f>
        <v>346</v>
      </c>
    </row>
    <row r="600" spans="1:3" ht="15">
      <c r="A600" s="81" t="s">
        <v>2681</v>
      </c>
      <c r="B600" s="83" t="s">
        <v>544</v>
      </c>
      <c r="C600" s="80">
        <f>VLOOKUP(GroupVertices[[#This Row],[Vertex]],Vertices[],MATCH("ID",Vertices[[#Headers],[Vertex]:[Top Word Pairs in Comment by Salience]],0),FALSE)</f>
        <v>345</v>
      </c>
    </row>
    <row r="601" spans="1:3" ht="15">
      <c r="A601" s="81" t="s">
        <v>2681</v>
      </c>
      <c r="B601" s="83" t="s">
        <v>543</v>
      </c>
      <c r="C601" s="80">
        <f>VLOOKUP(GroupVertices[[#This Row],[Vertex]],Vertices[],MATCH("ID",Vertices[[#Headers],[Vertex]:[Top Word Pairs in Comment by Salience]],0),FALSE)</f>
        <v>344</v>
      </c>
    </row>
    <row r="602" spans="1:3" ht="15">
      <c r="A602" s="81" t="s">
        <v>2682</v>
      </c>
      <c r="B602" s="83" t="s">
        <v>531</v>
      </c>
      <c r="C602" s="80">
        <f>VLOOKUP(GroupVertices[[#This Row],[Vertex]],Vertices[],MATCH("ID",Vertices[[#Headers],[Vertex]:[Top Word Pairs in Comment by Salience]],0),FALSE)</f>
        <v>332</v>
      </c>
    </row>
    <row r="603" spans="1:3" ht="15">
      <c r="A603" s="81" t="s">
        <v>2682</v>
      </c>
      <c r="B603" s="83" t="s">
        <v>526</v>
      </c>
      <c r="C603" s="80">
        <f>VLOOKUP(GroupVertices[[#This Row],[Vertex]],Vertices[],MATCH("ID",Vertices[[#Headers],[Vertex]:[Top Word Pairs in Comment by Salience]],0),FALSE)</f>
        <v>327</v>
      </c>
    </row>
    <row r="604" spans="1:3" ht="15">
      <c r="A604" s="81" t="s">
        <v>2682</v>
      </c>
      <c r="B604" s="83" t="s">
        <v>530</v>
      </c>
      <c r="C604" s="80">
        <f>VLOOKUP(GroupVertices[[#This Row],[Vertex]],Vertices[],MATCH("ID",Vertices[[#Headers],[Vertex]:[Top Word Pairs in Comment by Salience]],0),FALSE)</f>
        <v>331</v>
      </c>
    </row>
    <row r="605" spans="1:3" ht="15">
      <c r="A605" s="81" t="s">
        <v>2682</v>
      </c>
      <c r="B605" s="83" t="s">
        <v>529</v>
      </c>
      <c r="C605" s="80">
        <f>VLOOKUP(GroupVertices[[#This Row],[Vertex]],Vertices[],MATCH("ID",Vertices[[#Headers],[Vertex]:[Top Word Pairs in Comment by Salience]],0),FALSE)</f>
        <v>330</v>
      </c>
    </row>
    <row r="606" spans="1:3" ht="15">
      <c r="A606" s="81" t="s">
        <v>2682</v>
      </c>
      <c r="B606" s="83" t="s">
        <v>528</v>
      </c>
      <c r="C606" s="80">
        <f>VLOOKUP(GroupVertices[[#This Row],[Vertex]],Vertices[],MATCH("ID",Vertices[[#Headers],[Vertex]:[Top Word Pairs in Comment by Salience]],0),FALSE)</f>
        <v>329</v>
      </c>
    </row>
    <row r="607" spans="1:3" ht="15">
      <c r="A607" s="81" t="s">
        <v>2682</v>
      </c>
      <c r="B607" s="83" t="s">
        <v>527</v>
      </c>
      <c r="C607" s="80">
        <f>VLOOKUP(GroupVertices[[#This Row],[Vertex]],Vertices[],MATCH("ID",Vertices[[#Headers],[Vertex]:[Top Word Pairs in Comment by Salience]],0),FALSE)</f>
        <v>328</v>
      </c>
    </row>
    <row r="608" spans="1:3" ht="15">
      <c r="A608" s="81" t="s">
        <v>2683</v>
      </c>
      <c r="B608" s="83" t="s">
        <v>666</v>
      </c>
      <c r="C608" s="80">
        <f>VLOOKUP(GroupVertices[[#This Row],[Vertex]],Vertices[],MATCH("ID",Vertices[[#Headers],[Vertex]:[Top Word Pairs in Comment by Salience]],0),FALSE)</f>
        <v>468</v>
      </c>
    </row>
    <row r="609" spans="1:3" ht="15">
      <c r="A609" s="81" t="s">
        <v>2683</v>
      </c>
      <c r="B609" s="83" t="s">
        <v>667</v>
      </c>
      <c r="C609" s="80">
        <f>VLOOKUP(GroupVertices[[#This Row],[Vertex]],Vertices[],MATCH("ID",Vertices[[#Headers],[Vertex]:[Top Word Pairs in Comment by Salience]],0),FALSE)</f>
        <v>466</v>
      </c>
    </row>
    <row r="610" spans="1:3" ht="15">
      <c r="A610" s="81" t="s">
        <v>2683</v>
      </c>
      <c r="B610" s="83" t="s">
        <v>665</v>
      </c>
      <c r="C610" s="80">
        <f>VLOOKUP(GroupVertices[[#This Row],[Vertex]],Vertices[],MATCH("ID",Vertices[[#Headers],[Vertex]:[Top Word Pairs in Comment by Salience]],0),FALSE)</f>
        <v>467</v>
      </c>
    </row>
    <row r="611" spans="1:3" ht="15">
      <c r="A611" s="81" t="s">
        <v>2683</v>
      </c>
      <c r="B611" s="83" t="s">
        <v>664</v>
      </c>
      <c r="C611" s="80">
        <f>VLOOKUP(GroupVertices[[#This Row],[Vertex]],Vertices[],MATCH("ID",Vertices[[#Headers],[Vertex]:[Top Word Pairs in Comment by Salience]],0),FALSE)</f>
        <v>465</v>
      </c>
    </row>
    <row r="612" spans="1:3" ht="15">
      <c r="A612" s="81" t="s">
        <v>2684</v>
      </c>
      <c r="B612" s="83" t="s">
        <v>640</v>
      </c>
      <c r="C612" s="80">
        <f>VLOOKUP(GroupVertices[[#This Row],[Vertex]],Vertices[],MATCH("ID",Vertices[[#Headers],[Vertex]:[Top Word Pairs in Comment by Salience]],0),FALSE)</f>
        <v>442</v>
      </c>
    </row>
    <row r="613" spans="1:3" ht="15">
      <c r="A613" s="81" t="s">
        <v>2684</v>
      </c>
      <c r="B613" s="83" t="s">
        <v>641</v>
      </c>
      <c r="C613" s="80">
        <f>VLOOKUP(GroupVertices[[#This Row],[Vertex]],Vertices[],MATCH("ID",Vertices[[#Headers],[Vertex]:[Top Word Pairs in Comment by Salience]],0),FALSE)</f>
        <v>440</v>
      </c>
    </row>
    <row r="614" spans="1:3" ht="15">
      <c r="A614" s="81" t="s">
        <v>2684</v>
      </c>
      <c r="B614" s="83" t="s">
        <v>639</v>
      </c>
      <c r="C614" s="80">
        <f>VLOOKUP(GroupVertices[[#This Row],[Vertex]],Vertices[],MATCH("ID",Vertices[[#Headers],[Vertex]:[Top Word Pairs in Comment by Salience]],0),FALSE)</f>
        <v>441</v>
      </c>
    </row>
    <row r="615" spans="1:3" ht="15">
      <c r="A615" s="81" t="s">
        <v>2684</v>
      </c>
      <c r="B615" s="83" t="s">
        <v>638</v>
      </c>
      <c r="C615" s="80">
        <f>VLOOKUP(GroupVertices[[#This Row],[Vertex]],Vertices[],MATCH("ID",Vertices[[#Headers],[Vertex]:[Top Word Pairs in Comment by Salience]],0),FALSE)</f>
        <v>439</v>
      </c>
    </row>
    <row r="616" spans="1:3" ht="15">
      <c r="A616" s="81" t="s">
        <v>2685</v>
      </c>
      <c r="B616" s="83" t="s">
        <v>619</v>
      </c>
      <c r="C616" s="80">
        <f>VLOOKUP(GroupVertices[[#This Row],[Vertex]],Vertices[],MATCH("ID",Vertices[[#Headers],[Vertex]:[Top Word Pairs in Comment by Salience]],0),FALSE)</f>
        <v>421</v>
      </c>
    </row>
    <row r="617" spans="1:3" ht="15">
      <c r="A617" s="81" t="s">
        <v>2685</v>
      </c>
      <c r="B617" s="83" t="s">
        <v>620</v>
      </c>
      <c r="C617" s="80">
        <f>VLOOKUP(GroupVertices[[#This Row],[Vertex]],Vertices[],MATCH("ID",Vertices[[#Headers],[Vertex]:[Top Word Pairs in Comment by Salience]],0),FALSE)</f>
        <v>419</v>
      </c>
    </row>
    <row r="618" spans="1:3" ht="15">
      <c r="A618" s="81" t="s">
        <v>2685</v>
      </c>
      <c r="B618" s="83" t="s">
        <v>618</v>
      </c>
      <c r="C618" s="80">
        <f>VLOOKUP(GroupVertices[[#This Row],[Vertex]],Vertices[],MATCH("ID",Vertices[[#Headers],[Vertex]:[Top Word Pairs in Comment by Salience]],0),FALSE)</f>
        <v>420</v>
      </c>
    </row>
    <row r="619" spans="1:3" ht="15">
      <c r="A619" s="81" t="s">
        <v>2685</v>
      </c>
      <c r="B619" s="83" t="s">
        <v>617</v>
      </c>
      <c r="C619" s="80">
        <f>VLOOKUP(GroupVertices[[#This Row],[Vertex]],Vertices[],MATCH("ID",Vertices[[#Headers],[Vertex]:[Top Word Pairs in Comment by Salience]],0),FALSE)</f>
        <v>418</v>
      </c>
    </row>
    <row r="620" spans="1:3" ht="15">
      <c r="A620" s="81" t="s">
        <v>2686</v>
      </c>
      <c r="B620" s="83" t="s">
        <v>447</v>
      </c>
      <c r="C620" s="80">
        <f>VLOOKUP(GroupVertices[[#This Row],[Vertex]],Vertices[],MATCH("ID",Vertices[[#Headers],[Vertex]:[Top Word Pairs in Comment by Salience]],0),FALSE)</f>
        <v>244</v>
      </c>
    </row>
    <row r="621" spans="1:3" ht="15">
      <c r="A621" s="81" t="s">
        <v>2686</v>
      </c>
      <c r="B621" s="83" t="s">
        <v>445</v>
      </c>
      <c r="C621" s="80">
        <f>VLOOKUP(GroupVertices[[#This Row],[Vertex]],Vertices[],MATCH("ID",Vertices[[#Headers],[Vertex]:[Top Word Pairs in Comment by Salience]],0),FALSE)</f>
        <v>243</v>
      </c>
    </row>
    <row r="622" spans="1:3" ht="15">
      <c r="A622" s="81" t="s">
        <v>2686</v>
      </c>
      <c r="B622" s="83" t="s">
        <v>446</v>
      </c>
      <c r="C622" s="80">
        <f>VLOOKUP(GroupVertices[[#This Row],[Vertex]],Vertices[],MATCH("ID",Vertices[[#Headers],[Vertex]:[Top Word Pairs in Comment by Salience]],0),FALSE)</f>
        <v>242</v>
      </c>
    </row>
    <row r="623" spans="1:3" ht="15">
      <c r="A623" s="81" t="s">
        <v>2686</v>
      </c>
      <c r="B623" s="83" t="s">
        <v>444</v>
      </c>
      <c r="C623" s="80">
        <f>VLOOKUP(GroupVertices[[#This Row],[Vertex]],Vertices[],MATCH("ID",Vertices[[#Headers],[Vertex]:[Top Word Pairs in Comment by Salience]],0),FALSE)</f>
        <v>241</v>
      </c>
    </row>
    <row r="624" spans="1:3" ht="15">
      <c r="A624" s="81" t="s">
        <v>2687</v>
      </c>
      <c r="B624" s="83" t="s">
        <v>525</v>
      </c>
      <c r="C624" s="80">
        <f>VLOOKUP(GroupVertices[[#This Row],[Vertex]],Vertices[],MATCH("ID",Vertices[[#Headers],[Vertex]:[Top Word Pairs in Comment by Salience]],0),FALSE)</f>
        <v>326</v>
      </c>
    </row>
    <row r="625" spans="1:3" ht="15">
      <c r="A625" s="81" t="s">
        <v>2687</v>
      </c>
      <c r="B625" s="83" t="s">
        <v>836</v>
      </c>
      <c r="C625" s="80">
        <f>VLOOKUP(GroupVertices[[#This Row],[Vertex]],Vertices[],MATCH("ID",Vertices[[#Headers],[Vertex]:[Top Word Pairs in Comment by Salience]],0),FALSE)</f>
        <v>325</v>
      </c>
    </row>
    <row r="626" spans="1:3" ht="15">
      <c r="A626" s="81" t="s">
        <v>2687</v>
      </c>
      <c r="B626" s="83" t="s">
        <v>524</v>
      </c>
      <c r="C626" s="80">
        <f>VLOOKUP(GroupVertices[[#This Row],[Vertex]],Vertices[],MATCH("ID",Vertices[[#Headers],[Vertex]:[Top Word Pairs in Comment by Salience]],0),FALSE)</f>
        <v>324</v>
      </c>
    </row>
    <row r="627" spans="1:3" ht="15">
      <c r="A627" s="81" t="s">
        <v>2688</v>
      </c>
      <c r="B627" s="83" t="s">
        <v>839</v>
      </c>
      <c r="C627" s="80">
        <f>VLOOKUP(GroupVertices[[#This Row],[Vertex]],Vertices[],MATCH("ID",Vertices[[#Headers],[Vertex]:[Top Word Pairs in Comment by Salience]],0),FALSE)</f>
        <v>508</v>
      </c>
    </row>
    <row r="628" spans="1:3" ht="15">
      <c r="A628" s="81" t="s">
        <v>2688</v>
      </c>
      <c r="B628" s="83" t="s">
        <v>706</v>
      </c>
      <c r="C628" s="80">
        <f>VLOOKUP(GroupVertices[[#This Row],[Vertex]],Vertices[],MATCH("ID",Vertices[[#Headers],[Vertex]:[Top Word Pairs in Comment by Salience]],0),FALSE)</f>
        <v>507</v>
      </c>
    </row>
    <row r="629" spans="1:3" ht="15">
      <c r="A629" s="81" t="s">
        <v>2689</v>
      </c>
      <c r="B629" s="83" t="s">
        <v>833</v>
      </c>
      <c r="C629" s="80">
        <f>VLOOKUP(GroupVertices[[#This Row],[Vertex]],Vertices[],MATCH("ID",Vertices[[#Headers],[Vertex]:[Top Word Pairs in Comment by Salience]],0),FALSE)</f>
        <v>282</v>
      </c>
    </row>
    <row r="630" spans="1:3" ht="15">
      <c r="A630" s="81" t="s">
        <v>2689</v>
      </c>
      <c r="B630" s="83" t="s">
        <v>484</v>
      </c>
      <c r="C630" s="80">
        <f>VLOOKUP(GroupVertices[[#This Row],[Vertex]],Vertices[],MATCH("ID",Vertices[[#Headers],[Vertex]:[Top Word Pairs in Comment by Salience]],0),FALSE)</f>
        <v>281</v>
      </c>
    </row>
    <row r="631" spans="1:3" ht="15">
      <c r="A631" s="81" t="s">
        <v>2690</v>
      </c>
      <c r="B631" s="83" t="s">
        <v>825</v>
      </c>
      <c r="C631" s="80">
        <f>VLOOKUP(GroupVertices[[#This Row],[Vertex]],Vertices[],MATCH("ID",Vertices[[#Headers],[Vertex]:[Top Word Pairs in Comment by Salience]],0),FALSE)</f>
        <v>30</v>
      </c>
    </row>
    <row r="632" spans="1:3" ht="15">
      <c r="A632" s="81" t="s">
        <v>2690</v>
      </c>
      <c r="B632" s="83" t="s">
        <v>238</v>
      </c>
      <c r="C632" s="80">
        <f>VLOOKUP(GroupVertices[[#This Row],[Vertex]],Vertices[],MATCH("ID",Vertices[[#Headers],[Vertex]:[Top Word Pairs in Comment by Salience]],0),FALSE)</f>
        <v>29</v>
      </c>
    </row>
  </sheetData>
  <dataValidations count="3" xWindow="58" yWindow="226">
    <dataValidation allowBlank="1" showInputMessage="1" showErrorMessage="1" promptTitle="Group Name" prompt="Enter the name of the group.  The group name must also be entered on the Groups worksheet." sqref="A2:A632"/>
    <dataValidation allowBlank="1" showInputMessage="1" showErrorMessage="1" promptTitle="Vertex Name" prompt="Enter the name of a vertex to include in the group." sqref="B2:B632"/>
    <dataValidation allowBlank="1" showInputMessage="1" promptTitle="Vertex ID" prompt="This is the value of the hidden ID cell in the Vertices worksheet.  It gets filled in by the items on the NodeXL, Analysis, Groups menu." sqref="C2:C63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3389</v>
      </c>
      <c r="B2" s="35" t="s">
        <v>2665</v>
      </c>
      <c r="D2" s="32">
        <f>MIN(Vertices[Degree])</f>
        <v>0</v>
      </c>
      <c r="E2" s="3">
        <f>COUNTIF(Vertices[Degree],"&gt;= "&amp;D2)-COUNTIF(Vertices[Degree],"&gt;="&amp;D3)</f>
        <v>0</v>
      </c>
      <c r="F2" s="38">
        <f>MIN(Vertices[In-Degree])</f>
        <v>0</v>
      </c>
      <c r="G2" s="39">
        <f>COUNTIF(Vertices[In-Degree],"&gt;= "&amp;F2)-COUNTIF(Vertices[In-Degree],"&gt;="&amp;F3)</f>
        <v>613</v>
      </c>
      <c r="H2" s="38">
        <f>MIN(Vertices[Out-Degree])</f>
        <v>1</v>
      </c>
      <c r="I2" s="39">
        <f>COUNTIF(Vertices[Out-Degree],"&gt;= "&amp;H2)-COUNTIF(Vertices[Out-Degree],"&gt;="&amp;H3)</f>
        <v>568</v>
      </c>
      <c r="J2" s="38">
        <f>MIN(Vertices[Betweenness Centrality])</f>
        <v>0</v>
      </c>
      <c r="K2" s="39">
        <f>COUNTIF(Vertices[Betweenness Centrality],"&gt;= "&amp;J2)-COUNTIF(Vertices[Betweenness Centrality],"&gt;="&amp;J3)</f>
        <v>613</v>
      </c>
      <c r="L2" s="38">
        <f>MIN(Vertices[Closeness Centrality])</f>
        <v>0</v>
      </c>
      <c r="M2" s="39">
        <f>COUNTIF(Vertices[Closeness Centrality],"&gt;= "&amp;L2)-COUNTIF(Vertices[Closeness Centrality],"&gt;="&amp;L3)</f>
        <v>599</v>
      </c>
      <c r="N2" s="38">
        <f>MIN(Vertices[Eigenvector Centrality])</f>
        <v>0</v>
      </c>
      <c r="O2" s="39">
        <f>COUNTIF(Vertices[Eigenvector Centrality],"&gt;= "&amp;N2)-COUNTIF(Vertices[Eigenvector Centrality],"&gt;="&amp;N3)</f>
        <v>526</v>
      </c>
      <c r="P2" s="38">
        <f>MIN(Vertices[PageRank])</f>
        <v>0.445664</v>
      </c>
      <c r="Q2" s="39">
        <f>COUNTIF(Vertices[PageRank],"&gt;= "&amp;P2)-COUNTIF(Vertices[PageRank],"&gt;="&amp;P3)</f>
        <v>608</v>
      </c>
      <c r="R2" s="38">
        <f>MIN(Vertices[Clustering Coefficient])</f>
        <v>0</v>
      </c>
      <c r="S2" s="44">
        <f>COUNTIF(Vertices[Clustering Coefficient],"&gt;= "&amp;R2)-COUNTIF(Vertices[Clustering Coefficient],"&gt;="&amp;R3)</f>
        <v>592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3.088235294117647</v>
      </c>
      <c r="G3" s="41">
        <f>COUNTIF(Vertices[In-Degree],"&gt;= "&amp;F3)-COUNTIF(Vertices[In-Degree],"&gt;="&amp;F4)</f>
        <v>4</v>
      </c>
      <c r="H3" s="40">
        <f aca="true" t="shared" si="3" ref="H3:H35">H2+($H$36-$H$2)/BinDivisor</f>
        <v>1.2647058823529411</v>
      </c>
      <c r="I3" s="41">
        <f>COUNTIF(Vertices[Out-Degree],"&gt;= "&amp;H3)-COUNTIF(Vertices[Out-Degree],"&gt;="&amp;H4)</f>
        <v>0</v>
      </c>
      <c r="J3" s="40">
        <f aca="true" t="shared" si="4" ref="J3:J35">J2+($J$36-$J$2)/BinDivisor</f>
        <v>1419.45</v>
      </c>
      <c r="K3" s="41">
        <f>COUNTIF(Vertices[Betweenness Centrality],"&gt;= "&amp;J3)-COUNTIF(Vertices[Betweenness Centrality],"&gt;="&amp;J4)</f>
        <v>4</v>
      </c>
      <c r="L3" s="40">
        <f aca="true" t="shared" si="5" ref="L3:L35">L2+($L$36-$L$2)/BinDivisor</f>
        <v>0.029411764705882353</v>
      </c>
      <c r="M3" s="41">
        <f>COUNTIF(Vertices[Closeness Centrality],"&gt;= "&amp;L3)-COUNTIF(Vertices[Closeness Centrality],"&gt;="&amp;L4)</f>
        <v>7</v>
      </c>
      <c r="N3" s="40">
        <f aca="true" t="shared" si="6" ref="N3:N35">N2+($N$36-$N$2)/BinDivisor</f>
        <v>0.0026120294117647058</v>
      </c>
      <c r="O3" s="41">
        <f>COUNTIF(Vertices[Eigenvector Centrality],"&gt;= "&amp;N3)-COUNTIF(Vertices[Eigenvector Centrality],"&gt;="&amp;N4)</f>
        <v>0</v>
      </c>
      <c r="P3" s="40">
        <f aca="true" t="shared" si="7" ref="P3:P35">P2+($P$36-$P$2)/BinDivisor</f>
        <v>1.7495785588235295</v>
      </c>
      <c r="Q3" s="41">
        <f>COUNTIF(Vertices[PageRank],"&gt;= "&amp;P3)-COUNTIF(Vertices[PageRank],"&gt;="&amp;P4)</f>
        <v>8</v>
      </c>
      <c r="R3" s="40">
        <f aca="true" t="shared" si="8" ref="R3:R35">R2+($R$36-$R$2)/BinDivisor</f>
        <v>0.014705882352941176</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631</v>
      </c>
      <c r="D4" s="33">
        <f t="shared" si="1"/>
        <v>0</v>
      </c>
      <c r="E4" s="3">
        <f>COUNTIF(Vertices[Degree],"&gt;= "&amp;D4)-COUNTIF(Vertices[Degree],"&gt;="&amp;D5)</f>
        <v>0</v>
      </c>
      <c r="F4" s="38">
        <f t="shared" si="2"/>
        <v>6.176470588235294</v>
      </c>
      <c r="G4" s="39">
        <f>COUNTIF(Vertices[In-Degree],"&gt;= "&amp;F4)-COUNTIF(Vertices[In-Degree],"&gt;="&amp;F5)</f>
        <v>2</v>
      </c>
      <c r="H4" s="38">
        <f t="shared" si="3"/>
        <v>1.5294117647058822</v>
      </c>
      <c r="I4" s="39">
        <f>COUNTIF(Vertices[Out-Degree],"&gt;= "&amp;H4)-COUNTIF(Vertices[Out-Degree],"&gt;="&amp;H5)</f>
        <v>0</v>
      </c>
      <c r="J4" s="38">
        <f t="shared" si="4"/>
        <v>2838.9</v>
      </c>
      <c r="K4" s="39">
        <f>COUNTIF(Vertices[Betweenness Centrality],"&gt;= "&amp;J4)-COUNTIF(Vertices[Betweenness Centrality],"&gt;="&amp;J5)</f>
        <v>2</v>
      </c>
      <c r="L4" s="38">
        <f t="shared" si="5"/>
        <v>0.058823529411764705</v>
      </c>
      <c r="M4" s="39">
        <f>COUNTIF(Vertices[Closeness Centrality],"&gt;= "&amp;L4)-COUNTIF(Vertices[Closeness Centrality],"&gt;="&amp;L5)</f>
        <v>0</v>
      </c>
      <c r="N4" s="38">
        <f t="shared" si="6"/>
        <v>0.0052240588235294115</v>
      </c>
      <c r="O4" s="39">
        <f>COUNTIF(Vertices[Eigenvector Centrality],"&gt;= "&amp;N4)-COUNTIF(Vertices[Eigenvector Centrality],"&gt;="&amp;N5)</f>
        <v>0</v>
      </c>
      <c r="P4" s="38">
        <f t="shared" si="7"/>
        <v>3.0534931176470588</v>
      </c>
      <c r="Q4" s="39">
        <f>COUNTIF(Vertices[PageRank],"&gt;= "&amp;P4)-COUNTIF(Vertices[PageRank],"&gt;="&amp;P5)</f>
        <v>2</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9.264705882352942</v>
      </c>
      <c r="G5" s="41">
        <f>COUNTIF(Vertices[In-Degree],"&gt;= "&amp;F5)-COUNTIF(Vertices[In-Degree],"&gt;="&amp;F6)</f>
        <v>0</v>
      </c>
      <c r="H5" s="40">
        <f t="shared" si="3"/>
        <v>1.7941176470588234</v>
      </c>
      <c r="I5" s="41">
        <f>COUNTIF(Vertices[Out-Degree],"&gt;= "&amp;H5)-COUNTIF(Vertices[Out-Degree],"&gt;="&amp;H6)</f>
        <v>46</v>
      </c>
      <c r="J5" s="40">
        <f t="shared" si="4"/>
        <v>4258.35</v>
      </c>
      <c r="K5" s="41">
        <f>COUNTIF(Vertices[Betweenness Centrality],"&gt;= "&amp;J5)-COUNTIF(Vertices[Betweenness Centrality],"&gt;="&amp;J6)</f>
        <v>1</v>
      </c>
      <c r="L5" s="40">
        <f t="shared" si="5"/>
        <v>0.08823529411764705</v>
      </c>
      <c r="M5" s="41">
        <f>COUNTIF(Vertices[Closeness Centrality],"&gt;= "&amp;L5)-COUNTIF(Vertices[Closeness Centrality],"&gt;="&amp;L6)</f>
        <v>10</v>
      </c>
      <c r="N5" s="40">
        <f t="shared" si="6"/>
        <v>0.007836088235294117</v>
      </c>
      <c r="O5" s="41">
        <f>COUNTIF(Vertices[Eigenvector Centrality],"&gt;= "&amp;N5)-COUNTIF(Vertices[Eigenvector Centrality],"&gt;="&amp;N6)</f>
        <v>104</v>
      </c>
      <c r="P5" s="40">
        <f t="shared" si="7"/>
        <v>4.357407676470588</v>
      </c>
      <c r="Q5" s="41">
        <f>COUNTIF(Vertices[PageRank],"&gt;= "&amp;P5)-COUNTIF(Vertices[PageRank],"&gt;="&amp;P6)</f>
        <v>1</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682</v>
      </c>
      <c r="D6" s="33">
        <f t="shared" si="1"/>
        <v>0</v>
      </c>
      <c r="E6" s="3">
        <f>COUNTIF(Vertices[Degree],"&gt;= "&amp;D6)-COUNTIF(Vertices[Degree],"&gt;="&amp;D7)</f>
        <v>0</v>
      </c>
      <c r="F6" s="38">
        <f t="shared" si="2"/>
        <v>12.352941176470589</v>
      </c>
      <c r="G6" s="39">
        <f>COUNTIF(Vertices[In-Degree],"&gt;= "&amp;F6)-COUNTIF(Vertices[In-Degree],"&gt;="&amp;F7)</f>
        <v>0</v>
      </c>
      <c r="H6" s="38">
        <f t="shared" si="3"/>
        <v>2.0588235294117645</v>
      </c>
      <c r="I6" s="39">
        <f>COUNTIF(Vertices[Out-Degree],"&gt;= "&amp;H6)-COUNTIF(Vertices[Out-Degree],"&gt;="&amp;H7)</f>
        <v>0</v>
      </c>
      <c r="J6" s="38">
        <f t="shared" si="4"/>
        <v>5677.8</v>
      </c>
      <c r="K6" s="39">
        <f>COUNTIF(Vertices[Betweenness Centrality],"&gt;= "&amp;J6)-COUNTIF(Vertices[Betweenness Centrality],"&gt;="&amp;J7)</f>
        <v>2</v>
      </c>
      <c r="L6" s="38">
        <f t="shared" si="5"/>
        <v>0.11764705882352941</v>
      </c>
      <c r="M6" s="39">
        <f>COUNTIF(Vertices[Closeness Centrality],"&gt;= "&amp;L6)-COUNTIF(Vertices[Closeness Centrality],"&gt;="&amp;L7)</f>
        <v>0</v>
      </c>
      <c r="N6" s="38">
        <f t="shared" si="6"/>
        <v>0.010448117647058823</v>
      </c>
      <c r="O6" s="39">
        <f>COUNTIF(Vertices[Eigenvector Centrality],"&gt;= "&amp;N6)-COUNTIF(Vertices[Eigenvector Centrality],"&gt;="&amp;N7)</f>
        <v>0</v>
      </c>
      <c r="P6" s="38">
        <f t="shared" si="7"/>
        <v>5.661322235294118</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129</v>
      </c>
      <c r="D7" s="33">
        <f t="shared" si="1"/>
        <v>0</v>
      </c>
      <c r="E7" s="3">
        <f>COUNTIF(Vertices[Degree],"&gt;= "&amp;D7)-COUNTIF(Vertices[Degree],"&gt;="&amp;D8)</f>
        <v>0</v>
      </c>
      <c r="F7" s="40">
        <f t="shared" si="2"/>
        <v>15.441176470588236</v>
      </c>
      <c r="G7" s="41">
        <f>COUNTIF(Vertices[In-Degree],"&gt;= "&amp;F7)-COUNTIF(Vertices[In-Degree],"&gt;="&amp;F8)</f>
        <v>1</v>
      </c>
      <c r="H7" s="40">
        <f t="shared" si="3"/>
        <v>2.3235294117647056</v>
      </c>
      <c r="I7" s="41">
        <f>COUNTIF(Vertices[Out-Degree],"&gt;= "&amp;H7)-COUNTIF(Vertices[Out-Degree],"&gt;="&amp;H8)</f>
        <v>0</v>
      </c>
      <c r="J7" s="40">
        <f t="shared" si="4"/>
        <v>7097.25</v>
      </c>
      <c r="K7" s="41">
        <f>COUNTIF(Vertices[Betweenness Centrality],"&gt;= "&amp;J7)-COUNTIF(Vertices[Betweenness Centrality],"&gt;="&amp;J8)</f>
        <v>0</v>
      </c>
      <c r="L7" s="40">
        <f t="shared" si="5"/>
        <v>0.14705882352941177</v>
      </c>
      <c r="M7" s="41">
        <f>COUNTIF(Vertices[Closeness Centrality],"&gt;= "&amp;L7)-COUNTIF(Vertices[Closeness Centrality],"&gt;="&amp;L8)</f>
        <v>2</v>
      </c>
      <c r="N7" s="40">
        <f t="shared" si="6"/>
        <v>0.013060147058823529</v>
      </c>
      <c r="O7" s="41">
        <f>COUNTIF(Vertices[Eigenvector Centrality],"&gt;= "&amp;N7)-COUNTIF(Vertices[Eigenvector Centrality],"&gt;="&amp;N8)</f>
        <v>0</v>
      </c>
      <c r="P7" s="40">
        <f t="shared" si="7"/>
        <v>6.965236794117647</v>
      </c>
      <c r="Q7" s="41">
        <f>COUNTIF(Vertices[PageRank],"&gt;= "&amp;P7)-COUNTIF(Vertices[PageRank],"&gt;="&amp;P8)</f>
        <v>1</v>
      </c>
      <c r="R7" s="40">
        <f t="shared" si="8"/>
        <v>0.07352941176470588</v>
      </c>
      <c r="S7" s="45">
        <f>COUNTIF(Vertices[Clustering Coefficient],"&gt;= "&amp;R7)-COUNTIF(Vertices[Clustering Coefficient],"&gt;="&amp;R8)</f>
        <v>2</v>
      </c>
      <c r="T7" s="40" t="e">
        <f ca="1" t="shared" si="9"/>
        <v>#REF!</v>
      </c>
      <c r="U7" s="41" t="e">
        <f ca="1" t="shared" si="0"/>
        <v>#REF!</v>
      </c>
    </row>
    <row r="8" spans="1:21" ht="15">
      <c r="A8" s="35" t="s">
        <v>150</v>
      </c>
      <c r="B8" s="35">
        <v>811</v>
      </c>
      <c r="D8" s="33">
        <f t="shared" si="1"/>
        <v>0</v>
      </c>
      <c r="E8" s="3">
        <f>COUNTIF(Vertices[Degree],"&gt;= "&amp;D8)-COUNTIF(Vertices[Degree],"&gt;="&amp;D9)</f>
        <v>0</v>
      </c>
      <c r="F8" s="38">
        <f t="shared" si="2"/>
        <v>18.529411764705884</v>
      </c>
      <c r="G8" s="39">
        <f>COUNTIF(Vertices[In-Degree],"&gt;= "&amp;F8)-COUNTIF(Vertices[In-Degree],"&gt;="&amp;F9)</f>
        <v>1</v>
      </c>
      <c r="H8" s="38">
        <f t="shared" si="3"/>
        <v>2.5882352941176467</v>
      </c>
      <c r="I8" s="39">
        <f>COUNTIF(Vertices[Out-Degree],"&gt;= "&amp;H8)-COUNTIF(Vertices[Out-Degree],"&gt;="&amp;H9)</f>
        <v>0</v>
      </c>
      <c r="J8" s="38">
        <f t="shared" si="4"/>
        <v>8516.7</v>
      </c>
      <c r="K8" s="39">
        <f>COUNTIF(Vertices[Betweenness Centrality],"&gt;= "&amp;J8)-COUNTIF(Vertices[Betweenness Centrality],"&gt;="&amp;J9)</f>
        <v>0</v>
      </c>
      <c r="L8" s="38">
        <f t="shared" si="5"/>
        <v>0.17647058823529413</v>
      </c>
      <c r="M8" s="39">
        <f>COUNTIF(Vertices[Closeness Centrality],"&gt;= "&amp;L8)-COUNTIF(Vertices[Closeness Centrality],"&gt;="&amp;L9)</f>
        <v>2</v>
      </c>
      <c r="N8" s="38">
        <f t="shared" si="6"/>
        <v>0.015672176470588235</v>
      </c>
      <c r="O8" s="39">
        <f>COUNTIF(Vertices[Eigenvector Centrality],"&gt;= "&amp;N8)-COUNTIF(Vertices[Eigenvector Centrality],"&gt;="&amp;N9)</f>
        <v>0</v>
      </c>
      <c r="P8" s="38">
        <f t="shared" si="7"/>
        <v>8.269151352941176</v>
      </c>
      <c r="Q8" s="39">
        <f>COUNTIF(Vertices[PageRank],"&gt;= "&amp;P8)-COUNTIF(Vertices[PageRank],"&gt;="&amp;P9)</f>
        <v>2</v>
      </c>
      <c r="R8" s="38">
        <f t="shared" si="8"/>
        <v>0.08823529411764706</v>
      </c>
      <c r="S8" s="44">
        <f>COUNTIF(Vertices[Clustering Coefficient],"&gt;= "&amp;R8)-COUNTIF(Vertices[Clustering Coefficient],"&gt;="&amp;R9)</f>
        <v>1</v>
      </c>
      <c r="T8" s="38" t="e">
        <f ca="1" t="shared" si="9"/>
        <v>#REF!</v>
      </c>
      <c r="U8" s="39" t="e">
        <f ca="1" t="shared" si="0"/>
        <v>#REF!</v>
      </c>
    </row>
    <row r="9" spans="1:21" ht="15">
      <c r="A9" s="116"/>
      <c r="B9" s="116"/>
      <c r="D9" s="33">
        <f t="shared" si="1"/>
        <v>0</v>
      </c>
      <c r="E9" s="3">
        <f>COUNTIF(Vertices[Degree],"&gt;= "&amp;D9)-COUNTIF(Vertices[Degree],"&gt;="&amp;D10)</f>
        <v>0</v>
      </c>
      <c r="F9" s="40">
        <f t="shared" si="2"/>
        <v>21.617647058823533</v>
      </c>
      <c r="G9" s="41">
        <f>COUNTIF(Vertices[In-Degree],"&gt;= "&amp;F9)-COUNTIF(Vertices[In-Degree],"&gt;="&amp;F10)</f>
        <v>1</v>
      </c>
      <c r="H9" s="40">
        <f t="shared" si="3"/>
        <v>2.852941176470588</v>
      </c>
      <c r="I9" s="41">
        <f>COUNTIF(Vertices[Out-Degree],"&gt;= "&amp;H9)-COUNTIF(Vertices[Out-Degree],"&gt;="&amp;H10)</f>
        <v>10</v>
      </c>
      <c r="J9" s="40">
        <f t="shared" si="4"/>
        <v>9936.150000000001</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0.01828420588235294</v>
      </c>
      <c r="O9" s="41">
        <f>COUNTIF(Vertices[Eigenvector Centrality],"&gt;= "&amp;N9)-COUNTIF(Vertices[Eigenvector Centrality],"&gt;="&amp;N10)</f>
        <v>0</v>
      </c>
      <c r="P9" s="40">
        <f t="shared" si="7"/>
        <v>9.573065911764704</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151</v>
      </c>
      <c r="B10" s="35">
        <v>81</v>
      </c>
      <c r="D10" s="33">
        <f t="shared" si="1"/>
        <v>0</v>
      </c>
      <c r="E10" s="3">
        <f>COUNTIF(Vertices[Degree],"&gt;= "&amp;D10)-COUNTIF(Vertices[Degree],"&gt;="&amp;D11)</f>
        <v>0</v>
      </c>
      <c r="F10" s="38">
        <f t="shared" si="2"/>
        <v>24.70588235294118</v>
      </c>
      <c r="G10" s="39">
        <f>COUNTIF(Vertices[In-Degree],"&gt;= "&amp;F10)-COUNTIF(Vertices[In-Degree],"&gt;="&amp;F11)</f>
        <v>2</v>
      </c>
      <c r="H10" s="38">
        <f t="shared" si="3"/>
        <v>3.117647058823529</v>
      </c>
      <c r="I10" s="39">
        <f>COUNTIF(Vertices[Out-Degree],"&gt;= "&amp;H10)-COUNTIF(Vertices[Out-Degree],"&gt;="&amp;H11)</f>
        <v>0</v>
      </c>
      <c r="J10" s="38">
        <f t="shared" si="4"/>
        <v>11355.600000000002</v>
      </c>
      <c r="K10" s="39">
        <f>COUNTIF(Vertices[Betweenness Centrality],"&gt;= "&amp;J10)-COUNTIF(Vertices[Betweenness Centrality],"&gt;="&amp;J11)</f>
        <v>1</v>
      </c>
      <c r="L10" s="38">
        <f t="shared" si="5"/>
        <v>0.23529411764705885</v>
      </c>
      <c r="M10" s="39">
        <f>COUNTIF(Vertices[Closeness Centrality],"&gt;= "&amp;L10)-COUNTIF(Vertices[Closeness Centrality],"&gt;="&amp;L11)</f>
        <v>2</v>
      </c>
      <c r="N10" s="38">
        <f t="shared" si="6"/>
        <v>0.020896235294117646</v>
      </c>
      <c r="O10" s="39">
        <f>COUNTIF(Vertices[Eigenvector Centrality],"&gt;= "&amp;N10)-COUNTIF(Vertices[Eigenvector Centrality],"&gt;="&amp;N11)</f>
        <v>0</v>
      </c>
      <c r="P10" s="38">
        <f t="shared" si="7"/>
        <v>10.876980470588233</v>
      </c>
      <c r="Q10" s="39">
        <f>COUNTIF(Vertices[PageRank],"&gt;= "&amp;P10)-COUNTIF(Vertices[PageRank],"&gt;="&amp;P11)</f>
        <v>2</v>
      </c>
      <c r="R10" s="38">
        <f t="shared" si="8"/>
        <v>0.11764705882352942</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27.79411764705883</v>
      </c>
      <c r="G11" s="41">
        <f>COUNTIF(Vertices[In-Degree],"&gt;= "&amp;F11)-COUNTIF(Vertices[In-Degree],"&gt;="&amp;F12)</f>
        <v>1</v>
      </c>
      <c r="H11" s="40">
        <f t="shared" si="3"/>
        <v>3.38235294117647</v>
      </c>
      <c r="I11" s="41">
        <f>COUNTIF(Vertices[Out-Degree],"&gt;= "&amp;H11)-COUNTIF(Vertices[Out-Degree],"&gt;="&amp;H12)</f>
        <v>0</v>
      </c>
      <c r="J11" s="40">
        <f t="shared" si="4"/>
        <v>12775.050000000003</v>
      </c>
      <c r="K11" s="41">
        <f>COUNTIF(Vertices[Betweenness Centrality],"&gt;= "&amp;J11)-COUNTIF(Vertices[Betweenness Centrality],"&gt;="&amp;J12)</f>
        <v>2</v>
      </c>
      <c r="L11" s="40">
        <f t="shared" si="5"/>
        <v>0.2647058823529412</v>
      </c>
      <c r="M11" s="41">
        <f>COUNTIF(Vertices[Closeness Centrality],"&gt;= "&amp;L11)-COUNTIF(Vertices[Closeness Centrality],"&gt;="&amp;L12)</f>
        <v>0</v>
      </c>
      <c r="N11" s="40">
        <f t="shared" si="6"/>
        <v>0.023508264705882354</v>
      </c>
      <c r="O11" s="41">
        <f>COUNTIF(Vertices[Eigenvector Centrality],"&gt;= "&amp;N11)-COUNTIF(Vertices[Eigenvector Centrality],"&gt;="&amp;N12)</f>
        <v>0</v>
      </c>
      <c r="P11" s="40">
        <f t="shared" si="7"/>
        <v>12.180895029411761</v>
      </c>
      <c r="Q11" s="41">
        <f>COUNTIF(Vertices[PageRank],"&gt;= "&amp;P11)-COUNTIF(Vertices[PageRank],"&gt;="&amp;P12)</f>
        <v>1</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170</v>
      </c>
      <c r="B12" s="35">
        <v>0.05214723926380368</v>
      </c>
      <c r="D12" s="33">
        <f t="shared" si="1"/>
        <v>0</v>
      </c>
      <c r="E12" s="3">
        <f>COUNTIF(Vertices[Degree],"&gt;= "&amp;D12)-COUNTIF(Vertices[Degree],"&gt;="&amp;D13)</f>
        <v>0</v>
      </c>
      <c r="F12" s="38">
        <f t="shared" si="2"/>
        <v>30.882352941176478</v>
      </c>
      <c r="G12" s="39">
        <f>COUNTIF(Vertices[In-Degree],"&gt;= "&amp;F12)-COUNTIF(Vertices[In-Degree],"&gt;="&amp;F13)</f>
        <v>1</v>
      </c>
      <c r="H12" s="38">
        <f t="shared" si="3"/>
        <v>3.6470588235294112</v>
      </c>
      <c r="I12" s="39">
        <f>COUNTIF(Vertices[Out-Degree],"&gt;= "&amp;H12)-COUNTIF(Vertices[Out-Degree],"&gt;="&amp;H13)</f>
        <v>0</v>
      </c>
      <c r="J12" s="38">
        <f t="shared" si="4"/>
        <v>14194.500000000004</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0.02612029411764706</v>
      </c>
      <c r="O12" s="39">
        <f>COUNTIF(Vertices[Eigenvector Centrality],"&gt;= "&amp;N12)-COUNTIF(Vertices[Eigenvector Centrality],"&gt;="&amp;N13)</f>
        <v>0</v>
      </c>
      <c r="P12" s="38">
        <f t="shared" si="7"/>
        <v>13.48480958823529</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171</v>
      </c>
      <c r="B13" s="35">
        <v>0.09912536443148688</v>
      </c>
      <c r="D13" s="33">
        <f t="shared" si="1"/>
        <v>0</v>
      </c>
      <c r="E13" s="3">
        <f>COUNTIF(Vertices[Degree],"&gt;= "&amp;D13)-COUNTIF(Vertices[Degree],"&gt;="&amp;D14)</f>
        <v>0</v>
      </c>
      <c r="F13" s="40">
        <f t="shared" si="2"/>
        <v>33.97058823529412</v>
      </c>
      <c r="G13" s="41">
        <f>COUNTIF(Vertices[In-Degree],"&gt;= "&amp;F13)-COUNTIF(Vertices[In-Degree],"&gt;="&amp;F14)</f>
        <v>1</v>
      </c>
      <c r="H13" s="40">
        <f t="shared" si="3"/>
        <v>3.9117647058823524</v>
      </c>
      <c r="I13" s="41">
        <f>COUNTIF(Vertices[Out-Degree],"&gt;= "&amp;H13)-COUNTIF(Vertices[Out-Degree],"&gt;="&amp;H14)</f>
        <v>2</v>
      </c>
      <c r="J13" s="40">
        <f t="shared" si="4"/>
        <v>15613.950000000004</v>
      </c>
      <c r="K13" s="41">
        <f>COUNTIF(Vertices[Betweenness Centrality],"&gt;= "&amp;J13)-COUNTIF(Vertices[Betweenness Centrality],"&gt;="&amp;J14)</f>
        <v>0</v>
      </c>
      <c r="L13" s="40">
        <f t="shared" si="5"/>
        <v>0.3235294117647059</v>
      </c>
      <c r="M13" s="41">
        <f>COUNTIF(Vertices[Closeness Centrality],"&gt;= "&amp;L13)-COUNTIF(Vertices[Closeness Centrality],"&gt;="&amp;L14)</f>
        <v>2</v>
      </c>
      <c r="N13" s="40">
        <f t="shared" si="6"/>
        <v>0.02873232352941177</v>
      </c>
      <c r="O13" s="41">
        <f>COUNTIF(Vertices[Eigenvector Centrality],"&gt;= "&amp;N13)-COUNTIF(Vertices[Eigenvector Centrality],"&gt;="&amp;N14)</f>
        <v>0</v>
      </c>
      <c r="P13" s="40">
        <f t="shared" si="7"/>
        <v>14.788724147058819</v>
      </c>
      <c r="Q13" s="41">
        <f>COUNTIF(Vertices[PageRank],"&gt;= "&amp;P13)-COUNTIF(Vertices[PageRank],"&gt;="&amp;P14)</f>
        <v>2</v>
      </c>
      <c r="R13" s="40">
        <f t="shared" si="8"/>
        <v>0.16176470588235295</v>
      </c>
      <c r="S13" s="45">
        <f>COUNTIF(Vertices[Clustering Coefficient],"&gt;= "&amp;R13)-COUNTIF(Vertices[Clustering Coefficient],"&gt;="&amp;R14)</f>
        <v>7</v>
      </c>
      <c r="T13" s="40" t="e">
        <f ca="1" t="shared" si="9"/>
        <v>#REF!</v>
      </c>
      <c r="U13" s="41" t="e">
        <f ca="1" t="shared" si="0"/>
        <v>#REF!</v>
      </c>
    </row>
    <row r="14" spans="1:21" ht="15">
      <c r="A14" s="116"/>
      <c r="B14" s="116"/>
      <c r="D14" s="33">
        <f t="shared" si="1"/>
        <v>0</v>
      </c>
      <c r="E14" s="3">
        <f>COUNTIF(Vertices[Degree],"&gt;= "&amp;D14)-COUNTIF(Vertices[Degree],"&gt;="&amp;D15)</f>
        <v>0</v>
      </c>
      <c r="F14" s="38">
        <f t="shared" si="2"/>
        <v>37.05882352941177</v>
      </c>
      <c r="G14" s="39">
        <f>COUNTIF(Vertices[In-Degree],"&gt;= "&amp;F14)-COUNTIF(Vertices[In-Degree],"&gt;="&amp;F15)</f>
        <v>0</v>
      </c>
      <c r="H14" s="38">
        <f t="shared" si="3"/>
        <v>4.1764705882352935</v>
      </c>
      <c r="I14" s="39">
        <f>COUNTIF(Vertices[Out-Degree],"&gt;= "&amp;H14)-COUNTIF(Vertices[Out-Degree],"&gt;="&amp;H15)</f>
        <v>0</v>
      </c>
      <c r="J14" s="38">
        <f t="shared" si="4"/>
        <v>17033.400000000005</v>
      </c>
      <c r="K14" s="39">
        <f>COUNTIF(Vertices[Betweenness Centrality],"&gt;= "&amp;J14)-COUNTIF(Vertices[Betweenness Centrality],"&gt;="&amp;J15)</f>
        <v>1</v>
      </c>
      <c r="L14" s="38">
        <f t="shared" si="5"/>
        <v>0.35294117647058826</v>
      </c>
      <c r="M14" s="39">
        <f>COUNTIF(Vertices[Closeness Centrality],"&gt;= "&amp;L14)-COUNTIF(Vertices[Closeness Centrality],"&gt;="&amp;L15)</f>
        <v>0</v>
      </c>
      <c r="N14" s="38">
        <f t="shared" si="6"/>
        <v>0.031344352941176476</v>
      </c>
      <c r="O14" s="39">
        <f>COUNTIF(Vertices[Eigenvector Centrality],"&gt;= "&amp;N14)-COUNTIF(Vertices[Eigenvector Centrality],"&gt;="&amp;N15)</f>
        <v>0</v>
      </c>
      <c r="P14" s="38">
        <f t="shared" si="7"/>
        <v>16.092638705882347</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152</v>
      </c>
      <c r="B15" s="35">
        <v>23</v>
      </c>
      <c r="D15" s="33">
        <f t="shared" si="1"/>
        <v>0</v>
      </c>
      <c r="E15" s="3">
        <f>COUNTIF(Vertices[Degree],"&gt;= "&amp;D15)-COUNTIF(Vertices[Degree],"&gt;="&amp;D16)</f>
        <v>0</v>
      </c>
      <c r="F15" s="40">
        <f t="shared" si="2"/>
        <v>40.14705882352941</v>
      </c>
      <c r="G15" s="41">
        <f>COUNTIF(Vertices[In-Degree],"&gt;= "&amp;F15)-COUNTIF(Vertices[In-Degree],"&gt;="&amp;F16)</f>
        <v>0</v>
      </c>
      <c r="H15" s="40">
        <f t="shared" si="3"/>
        <v>4.441176470588235</v>
      </c>
      <c r="I15" s="41">
        <f>COUNTIF(Vertices[Out-Degree],"&gt;= "&amp;H15)-COUNTIF(Vertices[Out-Degree],"&gt;="&amp;H16)</f>
        <v>0</v>
      </c>
      <c r="J15" s="40">
        <f t="shared" si="4"/>
        <v>18452.850000000006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0.03395638235294118</v>
      </c>
      <c r="O15" s="41">
        <f>COUNTIF(Vertices[Eigenvector Centrality],"&gt;= "&amp;N15)-COUNTIF(Vertices[Eigenvector Centrality],"&gt;="&amp;N16)</f>
        <v>0</v>
      </c>
      <c r="P15" s="40">
        <f t="shared" si="7"/>
        <v>17.396553264705876</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153</v>
      </c>
      <c r="B16" s="35">
        <v>8</v>
      </c>
      <c r="D16" s="33">
        <f t="shared" si="1"/>
        <v>0</v>
      </c>
      <c r="E16" s="3">
        <f>COUNTIF(Vertices[Degree],"&gt;= "&amp;D16)-COUNTIF(Vertices[Degree],"&gt;="&amp;D17)</f>
        <v>0</v>
      </c>
      <c r="F16" s="38">
        <f t="shared" si="2"/>
        <v>43.23529411764706</v>
      </c>
      <c r="G16" s="39">
        <f>COUNTIF(Vertices[In-Degree],"&gt;= "&amp;F16)-COUNTIF(Vertices[In-Degree],"&gt;="&amp;F17)</f>
        <v>0</v>
      </c>
      <c r="H16" s="38">
        <f t="shared" si="3"/>
        <v>4.705882352941176</v>
      </c>
      <c r="I16" s="39">
        <f>COUNTIF(Vertices[Out-Degree],"&gt;= "&amp;H16)-COUNTIF(Vertices[Out-Degree],"&gt;="&amp;H17)</f>
        <v>0</v>
      </c>
      <c r="J16" s="38">
        <f t="shared" si="4"/>
        <v>19872.300000000007</v>
      </c>
      <c r="K16" s="39">
        <f>COUNTIF(Vertices[Betweenness Centrality],"&gt;= "&amp;J16)-COUNTIF(Vertices[Betweenness Centrality],"&gt;="&amp;J17)</f>
        <v>1</v>
      </c>
      <c r="L16" s="38">
        <f t="shared" si="5"/>
        <v>0.411764705882353</v>
      </c>
      <c r="M16" s="39">
        <f>COUNTIF(Vertices[Closeness Centrality],"&gt;= "&amp;L16)-COUNTIF(Vertices[Closeness Centrality],"&gt;="&amp;L17)</f>
        <v>0</v>
      </c>
      <c r="N16" s="38">
        <f t="shared" si="6"/>
        <v>0.03656841176470589</v>
      </c>
      <c r="O16" s="39">
        <f>COUNTIF(Vertices[Eigenvector Centrality],"&gt;= "&amp;N16)-COUNTIF(Vertices[Eigenvector Centrality],"&gt;="&amp;N17)</f>
        <v>0</v>
      </c>
      <c r="P16" s="38">
        <f t="shared" si="7"/>
        <v>18.700467823529404</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35" t="s">
        <v>154</v>
      </c>
      <c r="B17" s="35">
        <v>267</v>
      </c>
      <c r="D17" s="33">
        <f t="shared" si="1"/>
        <v>0</v>
      </c>
      <c r="E17" s="3">
        <f>COUNTIF(Vertices[Degree],"&gt;= "&amp;D17)-COUNTIF(Vertices[Degree],"&gt;="&amp;D18)</f>
        <v>0</v>
      </c>
      <c r="F17" s="40">
        <f t="shared" si="2"/>
        <v>46.3235294117647</v>
      </c>
      <c r="G17" s="41">
        <f>COUNTIF(Vertices[In-Degree],"&gt;= "&amp;F17)-COUNTIF(Vertices[In-Degree],"&gt;="&amp;F18)</f>
        <v>0</v>
      </c>
      <c r="H17" s="40">
        <f t="shared" si="3"/>
        <v>4.970588235294117</v>
      </c>
      <c r="I17" s="41">
        <f>COUNTIF(Vertices[Out-Degree],"&gt;= "&amp;H17)-COUNTIF(Vertices[Out-Degree],"&gt;="&amp;H18)</f>
        <v>2</v>
      </c>
      <c r="J17" s="40">
        <f t="shared" si="4"/>
        <v>21291.750000000007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0.0391804411764706</v>
      </c>
      <c r="O17" s="41">
        <f>COUNTIF(Vertices[Eigenvector Centrality],"&gt;= "&amp;N17)-COUNTIF(Vertices[Eigenvector Centrality],"&gt;="&amp;N18)</f>
        <v>0</v>
      </c>
      <c r="P17" s="40">
        <f t="shared" si="7"/>
        <v>20.004382382352933</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155</v>
      </c>
      <c r="B18" s="35">
        <v>352</v>
      </c>
      <c r="D18" s="33">
        <f t="shared" si="1"/>
        <v>0</v>
      </c>
      <c r="E18" s="3">
        <f>COUNTIF(Vertices[Degree],"&gt;= "&amp;D18)-COUNTIF(Vertices[Degree],"&gt;="&amp;D19)</f>
        <v>0</v>
      </c>
      <c r="F18" s="38">
        <f t="shared" si="2"/>
        <v>49.41176470588235</v>
      </c>
      <c r="G18" s="39">
        <f>COUNTIF(Vertices[In-Degree],"&gt;= "&amp;F18)-COUNTIF(Vertices[In-Degree],"&gt;="&amp;F19)</f>
        <v>0</v>
      </c>
      <c r="H18" s="38">
        <f t="shared" si="3"/>
        <v>5.235294117647058</v>
      </c>
      <c r="I18" s="39">
        <f>COUNTIF(Vertices[Out-Degree],"&gt;= "&amp;H18)-COUNTIF(Vertices[Out-Degree],"&gt;="&amp;H19)</f>
        <v>0</v>
      </c>
      <c r="J18" s="38">
        <f t="shared" si="4"/>
        <v>22711.200000000008</v>
      </c>
      <c r="K18" s="39">
        <f>COUNTIF(Vertices[Betweenness Centrality],"&gt;= "&amp;J18)-COUNTIF(Vertices[Betweenness Centrality],"&gt;="&amp;J19)</f>
        <v>1</v>
      </c>
      <c r="L18" s="38">
        <f t="shared" si="5"/>
        <v>0.4705882352941177</v>
      </c>
      <c r="M18" s="39">
        <f>COUNTIF(Vertices[Closeness Centrality],"&gt;= "&amp;L18)-COUNTIF(Vertices[Closeness Centrality],"&gt;="&amp;L19)</f>
        <v>0</v>
      </c>
      <c r="N18" s="38">
        <f t="shared" si="6"/>
        <v>0.041792470588235306</v>
      </c>
      <c r="O18" s="39">
        <f>COUNTIF(Vertices[Eigenvector Centrality],"&gt;= "&amp;N18)-COUNTIF(Vertices[Eigenvector Centrality],"&gt;="&amp;N19)</f>
        <v>0</v>
      </c>
      <c r="P18" s="38">
        <f t="shared" si="7"/>
        <v>21.30829694117646</v>
      </c>
      <c r="Q18" s="39">
        <f>COUNTIF(Vertices[PageRank],"&gt;= "&amp;P18)-COUNTIF(Vertices[PageRank],"&gt;="&amp;P19)</f>
        <v>1</v>
      </c>
      <c r="R18" s="38">
        <f t="shared" si="8"/>
        <v>0.23529411764705885</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52.49999999999999</v>
      </c>
      <c r="G19" s="41">
        <f>COUNTIF(Vertices[In-Degree],"&gt;= "&amp;F19)-COUNTIF(Vertices[In-Degree],"&gt;="&amp;F20)</f>
        <v>0</v>
      </c>
      <c r="H19" s="40">
        <f t="shared" si="3"/>
        <v>5.499999999999999</v>
      </c>
      <c r="I19" s="41">
        <f>COUNTIF(Vertices[Out-Degree],"&gt;= "&amp;H19)-COUNTIF(Vertices[Out-Degree],"&gt;="&amp;H20)</f>
        <v>0</v>
      </c>
      <c r="J19" s="40">
        <f t="shared" si="4"/>
        <v>24130.65000000001</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0.04440450000000001</v>
      </c>
      <c r="O19" s="41">
        <f>COUNTIF(Vertices[Eigenvector Centrality],"&gt;= "&amp;N19)-COUNTIF(Vertices[Eigenvector Centrality],"&gt;="&amp;N20)</f>
        <v>0</v>
      </c>
      <c r="P19" s="40">
        <f t="shared" si="7"/>
        <v>22.61221149999999</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156</v>
      </c>
      <c r="B20" s="35">
        <v>8</v>
      </c>
      <c r="D20" s="33">
        <f t="shared" si="1"/>
        <v>0</v>
      </c>
      <c r="E20" s="3">
        <f>COUNTIF(Vertices[Degree],"&gt;= "&amp;D20)-COUNTIF(Vertices[Degree],"&gt;="&amp;D21)</f>
        <v>0</v>
      </c>
      <c r="F20" s="38">
        <f t="shared" si="2"/>
        <v>55.58823529411764</v>
      </c>
      <c r="G20" s="39">
        <f>COUNTIF(Vertices[In-Degree],"&gt;= "&amp;F20)-COUNTIF(Vertices[In-Degree],"&gt;="&amp;F21)</f>
        <v>0</v>
      </c>
      <c r="H20" s="38">
        <f t="shared" si="3"/>
        <v>5.76470588235294</v>
      </c>
      <c r="I20" s="39">
        <f>COUNTIF(Vertices[Out-Degree],"&gt;= "&amp;H20)-COUNTIF(Vertices[Out-Degree],"&gt;="&amp;H21)</f>
        <v>1</v>
      </c>
      <c r="J20" s="38">
        <f t="shared" si="4"/>
        <v>25550.10000000001</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0.04701652941176472</v>
      </c>
      <c r="O20" s="39">
        <f>COUNTIF(Vertices[Eigenvector Centrality],"&gt;= "&amp;N20)-COUNTIF(Vertices[Eigenvector Centrality],"&gt;="&amp;N21)</f>
        <v>0</v>
      </c>
      <c r="P20" s="38">
        <f t="shared" si="7"/>
        <v>23.91612605882352</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157</v>
      </c>
      <c r="B21" s="35">
        <v>3.766233</v>
      </c>
      <c r="D21" s="33">
        <f t="shared" si="1"/>
        <v>0</v>
      </c>
      <c r="E21" s="3">
        <f>COUNTIF(Vertices[Degree],"&gt;= "&amp;D21)-COUNTIF(Vertices[Degree],"&gt;="&amp;D22)</f>
        <v>0</v>
      </c>
      <c r="F21" s="40">
        <f t="shared" si="2"/>
        <v>58.67647058823528</v>
      </c>
      <c r="G21" s="41">
        <f>COUNTIF(Vertices[In-Degree],"&gt;= "&amp;F21)-COUNTIF(Vertices[In-Degree],"&gt;="&amp;F22)</f>
        <v>2</v>
      </c>
      <c r="H21" s="40">
        <f t="shared" si="3"/>
        <v>6.029411764705881</v>
      </c>
      <c r="I21" s="41">
        <f>COUNTIF(Vertices[Out-Degree],"&gt;= "&amp;H21)-COUNTIF(Vertices[Out-Degree],"&gt;="&amp;H22)</f>
        <v>0</v>
      </c>
      <c r="J21" s="40">
        <f t="shared" si="4"/>
        <v>26969.55000000001</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0.04962855882352943</v>
      </c>
      <c r="O21" s="41">
        <f>COUNTIF(Vertices[Eigenvector Centrality],"&gt;= "&amp;N21)-COUNTIF(Vertices[Eigenvector Centrality],"&gt;="&amp;N22)</f>
        <v>0</v>
      </c>
      <c r="P21" s="40">
        <f t="shared" si="7"/>
        <v>25.220040617647047</v>
      </c>
      <c r="Q21" s="41">
        <f>COUNTIF(Vertices[PageRank],"&gt;= "&amp;P21)-COUNTIF(Vertices[PageRank],"&gt;="&amp;P22)</f>
        <v>1</v>
      </c>
      <c r="R21" s="40">
        <f t="shared" si="8"/>
        <v>0.27941176470588236</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61.76470588235293</v>
      </c>
      <c r="G22" s="39">
        <f>COUNTIF(Vertices[In-Degree],"&gt;= "&amp;F22)-COUNTIF(Vertices[In-Degree],"&gt;="&amp;F23)</f>
        <v>0</v>
      </c>
      <c r="H22" s="38">
        <f t="shared" si="3"/>
        <v>6.2941176470588225</v>
      </c>
      <c r="I22" s="39">
        <f>COUNTIF(Vertices[Out-Degree],"&gt;= "&amp;H22)-COUNTIF(Vertices[Out-Degree],"&gt;="&amp;H23)</f>
        <v>0</v>
      </c>
      <c r="J22" s="38">
        <f t="shared" si="4"/>
        <v>28389.00000000001</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0.052240588235294136</v>
      </c>
      <c r="O22" s="39">
        <f>COUNTIF(Vertices[Eigenvector Centrality],"&gt;= "&amp;N22)-COUNTIF(Vertices[Eigenvector Centrality],"&gt;="&amp;N23)</f>
        <v>0</v>
      </c>
      <c r="P22" s="38">
        <f t="shared" si="7"/>
        <v>26.523955176470576</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158</v>
      </c>
      <c r="B23" s="35">
        <v>0.0017256559253389682</v>
      </c>
      <c r="D23" s="33">
        <f t="shared" si="1"/>
        <v>0</v>
      </c>
      <c r="E23" s="3">
        <f>COUNTIF(Vertices[Degree],"&gt;= "&amp;D23)-COUNTIF(Vertices[Degree],"&gt;="&amp;D24)</f>
        <v>0</v>
      </c>
      <c r="F23" s="40">
        <f t="shared" si="2"/>
        <v>64.85294117647058</v>
      </c>
      <c r="G23" s="41">
        <f>COUNTIF(Vertices[In-Degree],"&gt;= "&amp;F23)-COUNTIF(Vertices[In-Degree],"&gt;="&amp;F24)</f>
        <v>1</v>
      </c>
      <c r="H23" s="40">
        <f t="shared" si="3"/>
        <v>6.558823529411764</v>
      </c>
      <c r="I23" s="41">
        <f>COUNTIF(Vertices[Out-Degree],"&gt;= "&amp;H23)-COUNTIF(Vertices[Out-Degree],"&gt;="&amp;H24)</f>
        <v>0</v>
      </c>
      <c r="J23" s="40">
        <f t="shared" si="4"/>
        <v>29808.45000000001</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0.05485261764705884</v>
      </c>
      <c r="O23" s="41">
        <f>COUNTIF(Vertices[Eigenvector Centrality],"&gt;= "&amp;N23)-COUNTIF(Vertices[Eigenvector Centrality],"&gt;="&amp;N24)</f>
        <v>0</v>
      </c>
      <c r="P23" s="40">
        <f t="shared" si="7"/>
        <v>27.827869735294104</v>
      </c>
      <c r="Q23" s="41">
        <f>COUNTIF(Vertices[PageRank],"&gt;= "&amp;P23)-COUNTIF(Vertices[PageRank],"&gt;="&amp;P24)</f>
        <v>1</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3390</v>
      </c>
      <c r="B24" s="35">
        <v>0.744354</v>
      </c>
      <c r="D24" s="33">
        <f t="shared" si="1"/>
        <v>0</v>
      </c>
      <c r="E24" s="3">
        <f>COUNTIF(Vertices[Degree],"&gt;= "&amp;D24)-COUNTIF(Vertices[Degree],"&gt;="&amp;D25)</f>
        <v>0</v>
      </c>
      <c r="F24" s="38">
        <f t="shared" si="2"/>
        <v>67.94117647058823</v>
      </c>
      <c r="G24" s="39">
        <f>COUNTIF(Vertices[In-Degree],"&gt;= "&amp;F24)-COUNTIF(Vertices[In-Degree],"&gt;="&amp;F25)</f>
        <v>0</v>
      </c>
      <c r="H24" s="38">
        <f t="shared" si="3"/>
        <v>6.823529411764705</v>
      </c>
      <c r="I24" s="39">
        <f>COUNTIF(Vertices[Out-Degree],"&gt;= "&amp;H24)-COUNTIF(Vertices[Out-Degree],"&gt;="&amp;H25)</f>
        <v>0</v>
      </c>
      <c r="J24" s="38">
        <f t="shared" si="4"/>
        <v>31227.900000000012</v>
      </c>
      <c r="K24" s="39">
        <f>COUNTIF(Vertices[Betweenness Centrality],"&gt;= "&amp;J24)-COUNTIF(Vertices[Betweenness Centrality],"&gt;="&amp;J25)</f>
        <v>2</v>
      </c>
      <c r="L24" s="38">
        <f t="shared" si="5"/>
        <v>0.6470588235294118</v>
      </c>
      <c r="M24" s="39">
        <f>COUNTIF(Vertices[Closeness Centrality],"&gt;= "&amp;L24)-COUNTIF(Vertices[Closeness Centrality],"&gt;="&amp;L25)</f>
        <v>0</v>
      </c>
      <c r="N24" s="38">
        <f t="shared" si="6"/>
        <v>0.05746464705882355</v>
      </c>
      <c r="O24" s="39">
        <f>COUNTIF(Vertices[Eigenvector Centrality],"&gt;= "&amp;N24)-COUNTIF(Vertices[Eigenvector Centrality],"&gt;="&amp;N25)</f>
        <v>0</v>
      </c>
      <c r="P24" s="38">
        <f t="shared" si="7"/>
        <v>29.131784294117633</v>
      </c>
      <c r="Q24" s="39">
        <f>COUNTIF(Vertices[PageRank],"&gt;= "&amp;P24)-COUNTIF(Vertices[PageRank],"&gt;="&amp;P25)</f>
        <v>0</v>
      </c>
      <c r="R24" s="38">
        <f t="shared" si="8"/>
        <v>0.3235294117647059</v>
      </c>
      <c r="S24" s="44">
        <f>COUNTIF(Vertices[Clustering Coefficient],"&gt;= "&amp;R24)-COUNTIF(Vertices[Clustering Coefficient],"&gt;="&amp;R25)</f>
        <v>6</v>
      </c>
      <c r="T24" s="38" t="e">
        <f ca="1" t="shared" si="9"/>
        <v>#REF!</v>
      </c>
      <c r="U24" s="39" t="e">
        <f ca="1" t="shared" si="0"/>
        <v>#REF!</v>
      </c>
    </row>
    <row r="25" spans="1:21" ht="15">
      <c r="A25" s="116"/>
      <c r="B25" s="116"/>
      <c r="D25" s="33">
        <f t="shared" si="1"/>
        <v>0</v>
      </c>
      <c r="E25" s="3">
        <f>COUNTIF(Vertices[Degree],"&gt;= "&amp;D25)-COUNTIF(Vertices[Degree],"&gt;="&amp;D26)</f>
        <v>0</v>
      </c>
      <c r="F25" s="40">
        <f t="shared" si="2"/>
        <v>71.02941176470588</v>
      </c>
      <c r="G25" s="41">
        <f>COUNTIF(Vertices[In-Degree],"&gt;= "&amp;F25)-COUNTIF(Vertices[In-Degree],"&gt;="&amp;F26)</f>
        <v>0</v>
      </c>
      <c r="H25" s="40">
        <f t="shared" si="3"/>
        <v>7.088235294117646</v>
      </c>
      <c r="I25" s="41">
        <f>COUNTIF(Vertices[Out-Degree],"&gt;= "&amp;H25)-COUNTIF(Vertices[Out-Degree],"&gt;="&amp;H26)</f>
        <v>0</v>
      </c>
      <c r="J25" s="40">
        <f t="shared" si="4"/>
        <v>32647.350000000013</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0.06007667647058826</v>
      </c>
      <c r="O25" s="41">
        <f>COUNTIF(Vertices[Eigenvector Centrality],"&gt;= "&amp;N25)-COUNTIF(Vertices[Eigenvector Centrality],"&gt;="&amp;N26)</f>
        <v>0</v>
      </c>
      <c r="P25" s="40">
        <f t="shared" si="7"/>
        <v>30.43569885294116</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3391</v>
      </c>
      <c r="B26" s="35" t="s">
        <v>3406</v>
      </c>
      <c r="D26" s="33">
        <f t="shared" si="1"/>
        <v>0</v>
      </c>
      <c r="E26" s="3">
        <f>COUNTIF(Vertices[Degree],"&gt;= "&amp;D26)-COUNTIF(Vertices[Degree],"&gt;="&amp;D27)</f>
        <v>0</v>
      </c>
      <c r="F26" s="38">
        <f t="shared" si="2"/>
        <v>74.11764705882354</v>
      </c>
      <c r="G26" s="39">
        <f>COUNTIF(Vertices[In-Degree],"&gt;= "&amp;F26)-COUNTIF(Vertices[In-Degree],"&gt;="&amp;F27)</f>
        <v>0</v>
      </c>
      <c r="H26" s="38">
        <f t="shared" si="3"/>
        <v>7.352941176470587</v>
      </c>
      <c r="I26" s="39">
        <f>COUNTIF(Vertices[Out-Degree],"&gt;= "&amp;H26)-COUNTIF(Vertices[Out-Degree],"&gt;="&amp;H27)</f>
        <v>0</v>
      </c>
      <c r="J26" s="38">
        <f t="shared" si="4"/>
        <v>34066.80000000001</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0.06268870588235297</v>
      </c>
      <c r="O26" s="39">
        <f>COUNTIF(Vertices[Eigenvector Centrality],"&gt;= "&amp;N26)-COUNTIF(Vertices[Eigenvector Centrality],"&gt;="&amp;N27)</f>
        <v>0</v>
      </c>
      <c r="P26" s="38">
        <f t="shared" si="7"/>
        <v>31.73961341176469</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77.20588235294119</v>
      </c>
      <c r="G27" s="41">
        <f>COUNTIF(Vertices[In-Degree],"&gt;= "&amp;F27)-COUNTIF(Vertices[In-Degree],"&gt;="&amp;F28)</f>
        <v>0</v>
      </c>
      <c r="H27" s="40">
        <f t="shared" si="3"/>
        <v>7.617647058823528</v>
      </c>
      <c r="I27" s="41">
        <f>COUNTIF(Vertices[Out-Degree],"&gt;= "&amp;H27)-COUNTIF(Vertices[Out-Degree],"&gt;="&amp;H28)</f>
        <v>0</v>
      </c>
      <c r="J27" s="40">
        <f t="shared" si="4"/>
        <v>35486.25000000001</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0.06530073529411767</v>
      </c>
      <c r="O27" s="41">
        <f>COUNTIF(Vertices[Eigenvector Centrality],"&gt;= "&amp;N27)-COUNTIF(Vertices[Eigenvector Centrality],"&gt;="&amp;N28)</f>
        <v>0</v>
      </c>
      <c r="P27" s="40">
        <f t="shared" si="7"/>
        <v>33.04352797058822</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3392</v>
      </c>
      <c r="B28" s="35" t="s">
        <v>4655</v>
      </c>
      <c r="D28" s="33">
        <f t="shared" si="1"/>
        <v>0</v>
      </c>
      <c r="E28" s="3">
        <f>COUNTIF(Vertices[Degree],"&gt;= "&amp;D28)-COUNTIF(Vertices[Degree],"&gt;="&amp;D29)</f>
        <v>0</v>
      </c>
      <c r="F28" s="38">
        <f t="shared" si="2"/>
        <v>80.29411764705884</v>
      </c>
      <c r="G28" s="39">
        <f>COUNTIF(Vertices[In-Degree],"&gt;= "&amp;F28)-COUNTIF(Vertices[In-Degree],"&gt;="&amp;F29)</f>
        <v>0</v>
      </c>
      <c r="H28" s="38">
        <f t="shared" si="3"/>
        <v>7.882352941176469</v>
      </c>
      <c r="I28" s="39">
        <f>COUNTIF(Vertices[Out-Degree],"&gt;= "&amp;H28)-COUNTIF(Vertices[Out-Degree],"&gt;="&amp;H29)</f>
        <v>0</v>
      </c>
      <c r="J28" s="38">
        <f t="shared" si="4"/>
        <v>36905.700000000004</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0.06791276470588238</v>
      </c>
      <c r="O28" s="39">
        <f>COUNTIF(Vertices[Eigenvector Centrality],"&gt;= "&amp;N28)-COUNTIF(Vertices[Eigenvector Centrality],"&gt;="&amp;N29)</f>
        <v>0</v>
      </c>
      <c r="P28" s="38">
        <f t="shared" si="7"/>
        <v>34.34744252941175</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3393</v>
      </c>
      <c r="B29" s="35" t="s">
        <v>4656</v>
      </c>
      <c r="D29" s="33">
        <f t="shared" si="1"/>
        <v>0</v>
      </c>
      <c r="E29" s="3">
        <f>COUNTIF(Vertices[Degree],"&gt;= "&amp;D29)-COUNTIF(Vertices[Degree],"&gt;="&amp;D30)</f>
        <v>0</v>
      </c>
      <c r="F29" s="40">
        <f t="shared" si="2"/>
        <v>83.38235294117649</v>
      </c>
      <c r="G29" s="41">
        <f>COUNTIF(Vertices[In-Degree],"&gt;= "&amp;F29)-COUNTIF(Vertices[In-Degree],"&gt;="&amp;F30)</f>
        <v>0</v>
      </c>
      <c r="H29" s="40">
        <f t="shared" si="3"/>
        <v>8.147058823529411</v>
      </c>
      <c r="I29" s="41">
        <f>COUNTIF(Vertices[Out-Degree],"&gt;= "&amp;H29)-COUNTIF(Vertices[Out-Degree],"&gt;="&amp;H30)</f>
        <v>0</v>
      </c>
      <c r="J29" s="40">
        <f t="shared" si="4"/>
        <v>38325.15</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0.07052479411764709</v>
      </c>
      <c r="O29" s="41">
        <f>COUNTIF(Vertices[Eigenvector Centrality],"&gt;= "&amp;N29)-COUNTIF(Vertices[Eigenvector Centrality],"&gt;="&amp;N30)</f>
        <v>0</v>
      </c>
      <c r="P29" s="40">
        <f t="shared" si="7"/>
        <v>35.65135708823528</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86.47058823529414</v>
      </c>
      <c r="G30" s="39">
        <f>COUNTIF(Vertices[In-Degree],"&gt;= "&amp;F30)-COUNTIF(Vertices[In-Degree],"&gt;="&amp;F31)</f>
        <v>0</v>
      </c>
      <c r="H30" s="38">
        <f t="shared" si="3"/>
        <v>8.411764705882353</v>
      </c>
      <c r="I30" s="39">
        <f>COUNTIF(Vertices[Out-Degree],"&gt;= "&amp;H30)-COUNTIF(Vertices[Out-Degree],"&gt;="&amp;H31)</f>
        <v>0</v>
      </c>
      <c r="J30" s="38">
        <f t="shared" si="4"/>
        <v>39744.6</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0.0731368235294118</v>
      </c>
      <c r="O30" s="39">
        <f>COUNTIF(Vertices[Eigenvector Centrality],"&gt;= "&amp;N30)-COUNTIF(Vertices[Eigenvector Centrality],"&gt;="&amp;N31)</f>
        <v>0</v>
      </c>
      <c r="P30" s="38">
        <f t="shared" si="7"/>
        <v>36.95527164705881</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3394</v>
      </c>
      <c r="B31" s="35" t="s">
        <v>4646</v>
      </c>
      <c r="D31" s="33">
        <f t="shared" si="1"/>
        <v>0</v>
      </c>
      <c r="E31" s="3">
        <f>COUNTIF(Vertices[Degree],"&gt;= "&amp;D31)-COUNTIF(Vertices[Degree],"&gt;="&amp;D32)</f>
        <v>0</v>
      </c>
      <c r="F31" s="40">
        <f t="shared" si="2"/>
        <v>89.5588235294118</v>
      </c>
      <c r="G31" s="41">
        <f>COUNTIF(Vertices[In-Degree],"&gt;= "&amp;F31)-COUNTIF(Vertices[In-Degree],"&gt;="&amp;F32)</f>
        <v>0</v>
      </c>
      <c r="H31" s="40">
        <f t="shared" si="3"/>
        <v>8.676470588235295</v>
      </c>
      <c r="I31" s="41">
        <f>COUNTIF(Vertices[Out-Degree],"&gt;= "&amp;H31)-COUNTIF(Vertices[Out-Degree],"&gt;="&amp;H32)</f>
        <v>0</v>
      </c>
      <c r="J31" s="40">
        <f t="shared" si="4"/>
        <v>41164.049999999996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0.0757488529411765</v>
      </c>
      <c r="O31" s="41">
        <f>COUNTIF(Vertices[Eigenvector Centrality],"&gt;= "&amp;N31)-COUNTIF(Vertices[Eigenvector Centrality],"&gt;="&amp;N32)</f>
        <v>0</v>
      </c>
      <c r="P31" s="40">
        <f t="shared" si="7"/>
        <v>38.25918620588234</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3395</v>
      </c>
      <c r="B32" s="35" t="s">
        <v>4647</v>
      </c>
      <c r="D32" s="33">
        <f t="shared" si="1"/>
        <v>0</v>
      </c>
      <c r="E32" s="3">
        <f>COUNTIF(Vertices[Degree],"&gt;= "&amp;D32)-COUNTIF(Vertices[Degree],"&gt;="&amp;D33)</f>
        <v>0</v>
      </c>
      <c r="F32" s="38">
        <f t="shared" si="2"/>
        <v>92.64705882352945</v>
      </c>
      <c r="G32" s="39">
        <f>COUNTIF(Vertices[In-Degree],"&gt;= "&amp;F32)-COUNTIF(Vertices[In-Degree],"&gt;="&amp;F33)</f>
        <v>0</v>
      </c>
      <c r="H32" s="38">
        <f t="shared" si="3"/>
        <v>8.941176470588237</v>
      </c>
      <c r="I32" s="39">
        <f>COUNTIF(Vertices[Out-Degree],"&gt;= "&amp;H32)-COUNTIF(Vertices[Out-Degree],"&gt;="&amp;H33)</f>
        <v>0</v>
      </c>
      <c r="J32" s="38">
        <f t="shared" si="4"/>
        <v>42583.49999999999</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0.07836088235294121</v>
      </c>
      <c r="O32" s="39">
        <f>COUNTIF(Vertices[Eigenvector Centrality],"&gt;= "&amp;N32)-COUNTIF(Vertices[Eigenvector Centrality],"&gt;="&amp;N33)</f>
        <v>0</v>
      </c>
      <c r="P32" s="38">
        <f t="shared" si="7"/>
        <v>39.563100764705865</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409.5">
      <c r="A33" s="35" t="s">
        <v>3396</v>
      </c>
      <c r="B33" s="54" t="s">
        <v>4648</v>
      </c>
      <c r="D33" s="33">
        <f t="shared" si="1"/>
        <v>0</v>
      </c>
      <c r="E33" s="3">
        <f>COUNTIF(Vertices[Degree],"&gt;= "&amp;D33)-COUNTIF(Vertices[Degree],"&gt;="&amp;D34)</f>
        <v>0</v>
      </c>
      <c r="F33" s="40">
        <f t="shared" si="2"/>
        <v>95.7352941176471</v>
      </c>
      <c r="G33" s="41">
        <f>COUNTIF(Vertices[In-Degree],"&gt;= "&amp;F33)-COUNTIF(Vertices[In-Degree],"&gt;="&amp;F34)</f>
        <v>0</v>
      </c>
      <c r="H33" s="40">
        <f t="shared" si="3"/>
        <v>9.20588235294118</v>
      </c>
      <c r="I33" s="41">
        <f>COUNTIF(Vertices[Out-Degree],"&gt;= "&amp;H33)-COUNTIF(Vertices[Out-Degree],"&gt;="&amp;H34)</f>
        <v>0</v>
      </c>
      <c r="J33" s="40">
        <f t="shared" si="4"/>
        <v>44002.94999999999</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0.08097291176470592</v>
      </c>
      <c r="O33" s="41">
        <f>COUNTIF(Vertices[Eigenvector Centrality],"&gt;= "&amp;N33)-COUNTIF(Vertices[Eigenvector Centrality],"&gt;="&amp;N34)</f>
        <v>0</v>
      </c>
      <c r="P33" s="40">
        <f t="shared" si="7"/>
        <v>40.867015323529394</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3397</v>
      </c>
      <c r="B34" s="35" t="s">
        <v>4649</v>
      </c>
      <c r="D34" s="33">
        <f t="shared" si="1"/>
        <v>0</v>
      </c>
      <c r="E34" s="3">
        <f>COUNTIF(Vertices[Degree],"&gt;= "&amp;D34)-COUNTIF(Vertices[Degree],"&gt;="&amp;D35)</f>
        <v>0</v>
      </c>
      <c r="F34" s="38">
        <f t="shared" si="2"/>
        <v>98.82352941176475</v>
      </c>
      <c r="G34" s="39">
        <f>COUNTIF(Vertices[In-Degree],"&gt;= "&amp;F34)-COUNTIF(Vertices[In-Degree],"&gt;="&amp;F35)</f>
        <v>0</v>
      </c>
      <c r="H34" s="38">
        <f t="shared" si="3"/>
        <v>9.470588235294121</v>
      </c>
      <c r="I34" s="39">
        <f>COUNTIF(Vertices[Out-Degree],"&gt;= "&amp;H34)-COUNTIF(Vertices[Out-Degree],"&gt;="&amp;H35)</f>
        <v>0</v>
      </c>
      <c r="J34" s="38">
        <f t="shared" si="4"/>
        <v>45422.39999999999</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0.08358494117647063</v>
      </c>
      <c r="O34" s="39">
        <f>COUNTIF(Vertices[Eigenvector Centrality],"&gt;= "&amp;N34)-COUNTIF(Vertices[Eigenvector Centrality],"&gt;="&amp;N35)</f>
        <v>0</v>
      </c>
      <c r="P34" s="38">
        <f t="shared" si="7"/>
        <v>42.17092988235292</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35" t="s">
        <v>3398</v>
      </c>
      <c r="B35" s="35" t="s">
        <v>4650</v>
      </c>
      <c r="D35" s="33">
        <f t="shared" si="1"/>
        <v>0</v>
      </c>
      <c r="E35" s="3">
        <f>COUNTIF(Vertices[Degree],"&gt;= "&amp;D35)-COUNTIF(Vertices[Degree],"&gt;="&amp;D36)</f>
        <v>0</v>
      </c>
      <c r="F35" s="40">
        <f t="shared" si="2"/>
        <v>101.9117647058824</v>
      </c>
      <c r="G35" s="41">
        <f>COUNTIF(Vertices[In-Degree],"&gt;= "&amp;F35)-COUNTIF(Vertices[In-Degree],"&gt;="&amp;F36)</f>
        <v>0</v>
      </c>
      <c r="H35" s="40">
        <f t="shared" si="3"/>
        <v>9.735294117647063</v>
      </c>
      <c r="I35" s="41">
        <f>COUNTIF(Vertices[Out-Degree],"&gt;= "&amp;H35)-COUNTIF(Vertices[Out-Degree],"&gt;="&amp;H36)</f>
        <v>0</v>
      </c>
      <c r="J35" s="40">
        <f t="shared" si="4"/>
        <v>46841.849999999984</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0.08619697058823533</v>
      </c>
      <c r="O35" s="41">
        <f>COUNTIF(Vertices[Eigenvector Centrality],"&gt;= "&amp;N35)-COUNTIF(Vertices[Eigenvector Centrality],"&gt;="&amp;N36)</f>
        <v>0</v>
      </c>
      <c r="P35" s="40">
        <f t="shared" si="7"/>
        <v>43.47484444117645</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3399</v>
      </c>
      <c r="B36" s="35" t="s">
        <v>2666</v>
      </c>
      <c r="D36" s="33">
        <f>MAX(Vertices[Degree])</f>
        <v>0</v>
      </c>
      <c r="E36" s="3">
        <f>COUNTIF(Vertices[Degree],"&gt;= "&amp;D36)-COUNTIF(Vertices[Degree],"&gt;="&amp;#REF!)</f>
        <v>0</v>
      </c>
      <c r="F36" s="42">
        <f>MAX(Vertices[In-Degree])</f>
        <v>105</v>
      </c>
      <c r="G36" s="43">
        <f>COUNTIF(Vertices[In-Degree],"&gt;= "&amp;F36)-COUNTIF(Vertices[In-Degree],"&gt;="&amp;#REF!)</f>
        <v>1</v>
      </c>
      <c r="H36" s="42">
        <f>MAX(Vertices[Out-Degree])</f>
        <v>10</v>
      </c>
      <c r="I36" s="43">
        <f>COUNTIF(Vertices[Out-Degree],"&gt;= "&amp;H36)-COUNTIF(Vertices[Out-Degree],"&gt;="&amp;#REF!)</f>
        <v>2</v>
      </c>
      <c r="J36" s="42">
        <f>MAX(Vertices[Betweenness Centrality])</f>
        <v>48261.3</v>
      </c>
      <c r="K36" s="43">
        <f>COUNTIF(Vertices[Betweenness Centrality],"&gt;= "&amp;J36)-COUNTIF(Vertices[Betweenness Centrality],"&gt;="&amp;#REF!)</f>
        <v>1</v>
      </c>
      <c r="L36" s="42">
        <f>MAX(Vertices[Closeness Centrality])</f>
        <v>1</v>
      </c>
      <c r="M36" s="43">
        <f>COUNTIF(Vertices[Closeness Centrality],"&gt;= "&amp;L36)-COUNTIF(Vertices[Closeness Centrality],"&gt;="&amp;#REF!)</f>
        <v>6</v>
      </c>
      <c r="N36" s="42">
        <f>MAX(Vertices[Eigenvector Centrality])</f>
        <v>0.088809</v>
      </c>
      <c r="O36" s="43">
        <f>COUNTIF(Vertices[Eigenvector Centrality],"&gt;= "&amp;N36)-COUNTIF(Vertices[Eigenvector Centrality],"&gt;="&amp;#REF!)</f>
        <v>1</v>
      </c>
      <c r="P36" s="42">
        <f>MAX(Vertices[PageRank])</f>
        <v>44.778759</v>
      </c>
      <c r="Q36" s="43">
        <f>COUNTIF(Vertices[PageRank],"&gt;= "&amp;P36)-COUNTIF(Vertices[PageRank],"&gt;="&amp;#REF!)</f>
        <v>1</v>
      </c>
      <c r="R36" s="42">
        <f>MAX(Vertices[Clustering Coefficient])</f>
        <v>0.5</v>
      </c>
      <c r="S36" s="46">
        <f>COUNTIF(Vertices[Clustering Coefficient],"&gt;= "&amp;R36)-COUNTIF(Vertices[Clustering Coefficient],"&gt;="&amp;#REF!)</f>
        <v>22</v>
      </c>
      <c r="T36" s="42" t="e">
        <f ca="1">MAX(INDIRECT(DynamicFilterSourceColumnRange))</f>
        <v>#REF!</v>
      </c>
      <c r="U36" s="43" t="e">
        <f ca="1">COUNTIF(INDIRECT(DynamicFilterSourceColumnRange),"&gt;= "&amp;T36)-COUNTIF(INDIRECT(DynamicFilterSourceColumnRange),"&gt;="&amp;#REF!)</f>
        <v>#REF!</v>
      </c>
    </row>
    <row r="37" spans="1:2" ht="15">
      <c r="A37" s="35" t="s">
        <v>3400</v>
      </c>
      <c r="B37" s="35" t="s">
        <v>2666</v>
      </c>
    </row>
    <row r="38" spans="1:2" ht="15">
      <c r="A38" s="35" t="s">
        <v>3401</v>
      </c>
      <c r="B38" s="35" t="s">
        <v>2666</v>
      </c>
    </row>
    <row r="39" spans="1:2" ht="15">
      <c r="A39" s="35" t="s">
        <v>3402</v>
      </c>
      <c r="B39" s="35"/>
    </row>
    <row r="40" spans="1:2" ht="15">
      <c r="A40" s="35" t="s">
        <v>21</v>
      </c>
      <c r="B40" s="35"/>
    </row>
    <row r="41" spans="1:2" ht="15">
      <c r="A41" s="35" t="s">
        <v>3403</v>
      </c>
      <c r="B41" s="35" t="s">
        <v>32</v>
      </c>
    </row>
    <row r="42" spans="1:2" ht="15">
      <c r="A42" s="35" t="s">
        <v>3404</v>
      </c>
      <c r="B42" s="35"/>
    </row>
    <row r="43" spans="1:2" ht="15">
      <c r="A43" s="35" t="s">
        <v>3405</v>
      </c>
      <c r="B43"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105</v>
      </c>
    </row>
    <row r="83" spans="1:2" ht="15">
      <c r="A83" s="34" t="s">
        <v>90</v>
      </c>
      <c r="B83" s="48">
        <f>_xlfn.IFERROR(AVERAGE(Vertices[In-Degree]),NoMetricMessage)</f>
        <v>1.1632329635499208</v>
      </c>
    </row>
    <row r="84" spans="1:2" ht="15">
      <c r="A84" s="34" t="s">
        <v>91</v>
      </c>
      <c r="B84" s="48">
        <f>_xlfn.IFERROR(MEDIAN(Vertices[In-Degree]),NoMetricMessage)</f>
        <v>0</v>
      </c>
    </row>
    <row r="95" spans="1:2" ht="15">
      <c r="A95" s="34" t="s">
        <v>94</v>
      </c>
      <c r="B95" s="47">
        <f>IF(COUNT(Vertices[Out-Degree])&gt;0,H2,NoMetricMessage)</f>
        <v>1</v>
      </c>
    </row>
    <row r="96" spans="1:2" ht="15">
      <c r="A96" s="34" t="s">
        <v>95</v>
      </c>
      <c r="B96" s="47">
        <f>IF(COUNT(Vertices[Out-Degree])&gt;0,H36,NoMetricMessage)</f>
        <v>10</v>
      </c>
    </row>
    <row r="97" spans="1:2" ht="15">
      <c r="A97" s="34" t="s">
        <v>96</v>
      </c>
      <c r="B97" s="48">
        <f>_xlfn.IFERROR(AVERAGE(Vertices[Out-Degree]),NoMetricMessage)</f>
        <v>1.1632329635499208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48261.3</v>
      </c>
    </row>
    <row r="111" spans="1:2" ht="15">
      <c r="A111" s="34" t="s">
        <v>102</v>
      </c>
      <c r="B111" s="48">
        <f>_xlfn.IFERROR(AVERAGE(Vertices[Betweenness Centrality]),NoMetricMessage)</f>
        <v>443.6893819334388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0.021021608557844743</v>
      </c>
    </row>
    <row r="126" spans="1:2" ht="15">
      <c r="A126" s="34" t="s">
        <v>109</v>
      </c>
      <c r="B126" s="48">
        <f>_xlfn.IFERROR(MEDIAN(Vertices[Closeness Centrality]),NoMetricMessage)</f>
        <v>0.002008</v>
      </c>
    </row>
    <row r="137" spans="1:2" ht="15">
      <c r="A137" s="34" t="s">
        <v>112</v>
      </c>
      <c r="B137" s="48">
        <f>IF(COUNT(Vertices[Eigenvector Centrality])&gt;0,N2,NoMetricMessage)</f>
        <v>0</v>
      </c>
    </row>
    <row r="138" spans="1:2" ht="15">
      <c r="A138" s="34" t="s">
        <v>113</v>
      </c>
      <c r="B138" s="48">
        <f>IF(COUNT(Vertices[Eigenvector Centrality])&gt;0,N36,NoMetricMessage)</f>
        <v>0.088809</v>
      </c>
    </row>
    <row r="139" spans="1:2" ht="15">
      <c r="A139" s="34" t="s">
        <v>114</v>
      </c>
      <c r="B139" s="48">
        <f>_xlfn.IFERROR(AVERAGE(Vertices[Eigenvector Centrality]),NoMetricMessage)</f>
        <v>0.001584827258320128</v>
      </c>
    </row>
    <row r="140" spans="1:2" ht="15">
      <c r="A140" s="34" t="s">
        <v>115</v>
      </c>
      <c r="B140" s="48">
        <f>_xlfn.IFERROR(MEDIAN(Vertices[Eigenvector Centrality]),NoMetricMessage)</f>
        <v>0</v>
      </c>
    </row>
    <row r="151" spans="1:2" ht="15">
      <c r="A151" s="34" t="s">
        <v>140</v>
      </c>
      <c r="B151" s="48">
        <f>IF(COUNT(Vertices[PageRank])&gt;0,P2,NoMetricMessage)</f>
        <v>0.445664</v>
      </c>
    </row>
    <row r="152" spans="1:2" ht="15">
      <c r="A152" s="34" t="s">
        <v>141</v>
      </c>
      <c r="B152" s="48">
        <f>IF(COUNT(Vertices[PageRank])&gt;0,P36,NoMetricMessage)</f>
        <v>44.778759</v>
      </c>
    </row>
    <row r="153" spans="1:2" ht="15">
      <c r="A153" s="34" t="s">
        <v>142</v>
      </c>
      <c r="B153" s="48">
        <f>_xlfn.IFERROR(AVERAGE(Vertices[PageRank]),NoMetricMessage)</f>
        <v>0.9999991521394576</v>
      </c>
    </row>
    <row r="154" spans="1:2" ht="15">
      <c r="A154" s="34" t="s">
        <v>143</v>
      </c>
      <c r="B154" s="48">
        <f>_xlfn.IFERROR(MEDIAN(Vertices[PageRank]),NoMetricMessage)</f>
        <v>0.528105</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0.022962350639671895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2665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19</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4632</v>
      </c>
    </row>
    <row r="10" spans="1:11" ht="409.5">
      <c r="A10"/>
      <c r="B10">
        <v>4</v>
      </c>
      <c r="D10" t="s">
        <v>63</v>
      </c>
      <c r="E10" t="s">
        <v>63</v>
      </c>
      <c r="H10" t="s">
        <v>75</v>
      </c>
      <c r="J10" t="s">
        <v>180</v>
      </c>
      <c r="K10" s="13" t="s">
        <v>4633</v>
      </c>
    </row>
    <row r="11" spans="1:11" ht="15">
      <c r="A11"/>
      <c r="B11">
        <v>5</v>
      </c>
      <c r="D11" t="s">
        <v>46</v>
      </c>
      <c r="E11">
        <v>1</v>
      </c>
      <c r="H11" t="s">
        <v>76</v>
      </c>
      <c r="J11" t="s">
        <v>181</v>
      </c>
      <c r="K11" t="s">
        <v>4634</v>
      </c>
    </row>
    <row r="12" spans="1:11" ht="15">
      <c r="A12"/>
      <c r="B12"/>
      <c r="D12" t="s">
        <v>64</v>
      </c>
      <c r="E12">
        <v>2</v>
      </c>
      <c r="H12">
        <v>0</v>
      </c>
      <c r="J12" t="s">
        <v>182</v>
      </c>
      <c r="K12" t="s">
        <v>4635</v>
      </c>
    </row>
    <row r="13" spans="1:11" ht="15">
      <c r="A13"/>
      <c r="B13"/>
      <c r="D13">
        <v>1</v>
      </c>
      <c r="E13">
        <v>3</v>
      </c>
      <c r="H13">
        <v>1</v>
      </c>
      <c r="J13" t="s">
        <v>183</v>
      </c>
      <c r="K13" t="s">
        <v>4636</v>
      </c>
    </row>
    <row r="14" spans="4:11" ht="15">
      <c r="D14">
        <v>2</v>
      </c>
      <c r="E14">
        <v>4</v>
      </c>
      <c r="H14">
        <v>2</v>
      </c>
      <c r="J14" t="s">
        <v>184</v>
      </c>
      <c r="K14" t="s">
        <v>4637</v>
      </c>
    </row>
    <row r="15" spans="4:11" ht="15">
      <c r="D15">
        <v>3</v>
      </c>
      <c r="E15">
        <v>5</v>
      </c>
      <c r="H15">
        <v>3</v>
      </c>
      <c r="J15" t="s">
        <v>185</v>
      </c>
      <c r="K15" t="s">
        <v>4638</v>
      </c>
    </row>
    <row r="16" spans="4:11" ht="15">
      <c r="D16">
        <v>4</v>
      </c>
      <c r="E16">
        <v>6</v>
      </c>
      <c r="H16">
        <v>4</v>
      </c>
      <c r="J16" t="s">
        <v>186</v>
      </c>
      <c r="K16" t="s">
        <v>4639</v>
      </c>
    </row>
    <row r="17" spans="4:11" ht="15">
      <c r="D17">
        <v>5</v>
      </c>
      <c r="E17">
        <v>7</v>
      </c>
      <c r="H17">
        <v>5</v>
      </c>
      <c r="J17" t="s">
        <v>187</v>
      </c>
      <c r="K17" t="s">
        <v>4640</v>
      </c>
    </row>
    <row r="18" spans="4:11" ht="15">
      <c r="D18">
        <v>6</v>
      </c>
      <c r="E18">
        <v>8</v>
      </c>
      <c r="H18">
        <v>6</v>
      </c>
      <c r="J18" t="s">
        <v>188</v>
      </c>
      <c r="K18" t="s">
        <v>4641</v>
      </c>
    </row>
    <row r="19" spans="4:11" ht="15">
      <c r="D19">
        <v>7</v>
      </c>
      <c r="E19">
        <v>9</v>
      </c>
      <c r="H19">
        <v>7</v>
      </c>
      <c r="J19" t="s">
        <v>189</v>
      </c>
      <c r="K19" t="s">
        <v>4642</v>
      </c>
    </row>
    <row r="20" spans="4:11" ht="15">
      <c r="D20">
        <v>8</v>
      </c>
      <c r="H20">
        <v>8</v>
      </c>
      <c r="J20" t="s">
        <v>190</v>
      </c>
      <c r="K20" t="s">
        <v>4643</v>
      </c>
    </row>
    <row r="21" spans="4:11" ht="409.5">
      <c r="D21">
        <v>9</v>
      </c>
      <c r="H21">
        <v>9</v>
      </c>
      <c r="J21" t="s">
        <v>191</v>
      </c>
      <c r="K21" s="13" t="s">
        <v>4644</v>
      </c>
    </row>
    <row r="22" spans="4:11" ht="409.5">
      <c r="D22">
        <v>10</v>
      </c>
      <c r="J22" t="s">
        <v>192</v>
      </c>
      <c r="K22" s="13" t="s">
        <v>4645</v>
      </c>
    </row>
    <row r="23" spans="4:11" ht="409.5">
      <c r="D23">
        <v>11</v>
      </c>
      <c r="J23" t="s">
        <v>193</v>
      </c>
      <c r="K23" s="13" t="s">
        <v>4653</v>
      </c>
    </row>
    <row r="24" spans="10:11" ht="409.5">
      <c r="J24" t="s">
        <v>194</v>
      </c>
      <c r="K24" s="13" t="s">
        <v>4654</v>
      </c>
    </row>
    <row r="25" spans="10:11" ht="15">
      <c r="J25" t="s">
        <v>195</v>
      </c>
      <c r="K25" t="s">
        <v>4652</v>
      </c>
    </row>
    <row r="26" spans="10:11" ht="409.5">
      <c r="J26" t="s">
        <v>196</v>
      </c>
      <c r="K26" s="13" t="s">
        <v>4631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CCA5E-C99F-4219-88FC-8FC3CC815722}">
  <dimension ref="A1:G128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2707</v>
      </c>
      <c r="B1" s="13" t="s">
        <v>3357</v>
      </c>
      <c r="C1" s="13" t="s">
        <v>3361</v>
      </c>
      <c r="D1" s="13" t="s">
        <v>144</v>
      </c>
      <c r="E1" s="13" t="s">
        <v>3363</v>
      </c>
      <c r="F1" s="13" t="s">
        <v>3364</v>
      </c>
      <c r="G1" s="13" t="s">
        <v>3365</v>
      </c>
    </row>
    <row r="2" spans="1:7" ht="15">
      <c r="A2" s="80" t="s">
        <v>2708</v>
      </c>
      <c r="B2" s="80" t="s">
        <v>3358</v>
      </c>
      <c r="C2" s="109"/>
      <c r="D2" s="80"/>
      <c r="E2" s="80"/>
      <c r="F2" s="80"/>
      <c r="G2" s="80"/>
    </row>
    <row r="3" spans="1:7" ht="15">
      <c r="A3" s="81" t="s">
        <v>2709</v>
      </c>
      <c r="B3" s="80" t="s">
        <v>3359</v>
      </c>
      <c r="C3" s="109"/>
      <c r="D3" s="80"/>
      <c r="E3" s="80"/>
      <c r="F3" s="80"/>
      <c r="G3" s="80"/>
    </row>
    <row r="4" spans="1:7" ht="15">
      <c r="A4" s="81" t="s">
        <v>2710</v>
      </c>
      <c r="B4" s="80" t="s">
        <v>3360</v>
      </c>
      <c r="C4" s="109"/>
      <c r="D4" s="80"/>
      <c r="E4" s="80"/>
      <c r="F4" s="80"/>
      <c r="G4" s="80"/>
    </row>
    <row r="5" spans="1:7" ht="15">
      <c r="A5" s="81" t="s">
        <v>2711</v>
      </c>
      <c r="B5" s="80">
        <v>457</v>
      </c>
      <c r="C5" s="109">
        <v>0.0491767997417411</v>
      </c>
      <c r="D5" s="80"/>
      <c r="E5" s="80"/>
      <c r="F5" s="80"/>
      <c r="G5" s="80"/>
    </row>
    <row r="6" spans="1:7" ht="15">
      <c r="A6" s="81" t="s">
        <v>2712</v>
      </c>
      <c r="B6" s="80">
        <v>226</v>
      </c>
      <c r="C6" s="109">
        <v>0.02431938017862908</v>
      </c>
      <c r="D6" s="80"/>
      <c r="E6" s="80"/>
      <c r="F6" s="80"/>
      <c r="G6" s="80"/>
    </row>
    <row r="7" spans="1:7" ht="15">
      <c r="A7" s="81" t="s">
        <v>2713</v>
      </c>
      <c r="B7" s="80">
        <v>0</v>
      </c>
      <c r="C7" s="109">
        <v>0</v>
      </c>
      <c r="D7" s="80"/>
      <c r="E7" s="80"/>
      <c r="F7" s="80"/>
      <c r="G7" s="80"/>
    </row>
    <row r="8" spans="1:7" ht="15">
      <c r="A8" s="81" t="s">
        <v>2714</v>
      </c>
      <c r="B8" s="80">
        <v>8610</v>
      </c>
      <c r="C8" s="109">
        <v>0.9265038200796298</v>
      </c>
      <c r="D8" s="80"/>
      <c r="E8" s="80"/>
      <c r="F8" s="80"/>
      <c r="G8" s="80"/>
    </row>
    <row r="9" spans="1:7" ht="15">
      <c r="A9" s="81" t="s">
        <v>2715</v>
      </c>
      <c r="B9" s="80">
        <v>9293</v>
      </c>
      <c r="C9" s="109">
        <v>1</v>
      </c>
      <c r="D9" s="80"/>
      <c r="E9" s="80"/>
      <c r="F9" s="80"/>
      <c r="G9" s="80"/>
    </row>
    <row r="10" spans="1:7" ht="15">
      <c r="A10" s="84" t="s">
        <v>2716</v>
      </c>
      <c r="B10" s="83">
        <v>72</v>
      </c>
      <c r="C10" s="110">
        <v>0.019032451508743633</v>
      </c>
      <c r="D10" s="83" t="s">
        <v>3362</v>
      </c>
      <c r="E10" s="83" t="b">
        <v>0</v>
      </c>
      <c r="F10" s="83" t="b">
        <v>0</v>
      </c>
      <c r="G10" s="83" t="b">
        <v>0</v>
      </c>
    </row>
    <row r="11" spans="1:7" ht="15">
      <c r="A11" s="84" t="s">
        <v>1421</v>
      </c>
      <c r="B11" s="83">
        <v>42</v>
      </c>
      <c r="C11" s="110">
        <v>0.013146999267016785</v>
      </c>
      <c r="D11" s="83" t="s">
        <v>3362</v>
      </c>
      <c r="E11" s="83" t="b">
        <v>1</v>
      </c>
      <c r="F11" s="83" t="b">
        <v>0</v>
      </c>
      <c r="G11" s="83" t="b">
        <v>0</v>
      </c>
    </row>
    <row r="12" spans="1:7" ht="15">
      <c r="A12" s="84" t="s">
        <v>2717</v>
      </c>
      <c r="B12" s="83">
        <v>41</v>
      </c>
      <c r="C12" s="110">
        <v>0.014624585996096479</v>
      </c>
      <c r="D12" s="83" t="s">
        <v>3362</v>
      </c>
      <c r="E12" s="83" t="b">
        <v>0</v>
      </c>
      <c r="F12" s="83" t="b">
        <v>0</v>
      </c>
      <c r="G12" s="83" t="b">
        <v>0</v>
      </c>
    </row>
    <row r="13" spans="1:7" ht="15">
      <c r="A13" s="84" t="s">
        <v>2718</v>
      </c>
      <c r="B13" s="83">
        <v>33</v>
      </c>
      <c r="C13" s="110">
        <v>0.011525773525617818</v>
      </c>
      <c r="D13" s="83" t="s">
        <v>3362</v>
      </c>
      <c r="E13" s="83" t="b">
        <v>0</v>
      </c>
      <c r="F13" s="83" t="b">
        <v>0</v>
      </c>
      <c r="G13" s="83" t="b">
        <v>0</v>
      </c>
    </row>
    <row r="14" spans="1:7" ht="15">
      <c r="A14" s="84" t="s">
        <v>2719</v>
      </c>
      <c r="B14" s="83">
        <v>30</v>
      </c>
      <c r="C14" s="110">
        <v>0.010700916582509618</v>
      </c>
      <c r="D14" s="83" t="s">
        <v>3362</v>
      </c>
      <c r="E14" s="83" t="b">
        <v>1</v>
      </c>
      <c r="F14" s="83" t="b">
        <v>0</v>
      </c>
      <c r="G14" s="83" t="b">
        <v>0</v>
      </c>
    </row>
    <row r="15" spans="1:7" ht="15">
      <c r="A15" s="84" t="s">
        <v>2720</v>
      </c>
      <c r="B15" s="83">
        <v>28</v>
      </c>
      <c r="C15" s="110">
        <v>0.011002300169218963</v>
      </c>
      <c r="D15" s="83" t="s">
        <v>3362</v>
      </c>
      <c r="E15" s="83" t="b">
        <v>0</v>
      </c>
      <c r="F15" s="83" t="b">
        <v>0</v>
      </c>
      <c r="G15" s="83" t="b">
        <v>0</v>
      </c>
    </row>
    <row r="16" spans="1:7" ht="15">
      <c r="A16" s="84" t="s">
        <v>2721</v>
      </c>
      <c r="B16" s="83">
        <v>27</v>
      </c>
      <c r="C16" s="110">
        <v>0.011646650788079959</v>
      </c>
      <c r="D16" s="83" t="s">
        <v>3362</v>
      </c>
      <c r="E16" s="83" t="b">
        <v>0</v>
      </c>
      <c r="F16" s="83" t="b">
        <v>0</v>
      </c>
      <c r="G16" s="83" t="b">
        <v>0</v>
      </c>
    </row>
    <row r="17" spans="1:7" ht="15">
      <c r="A17" s="84" t="s">
        <v>2722</v>
      </c>
      <c r="B17" s="83">
        <v>23</v>
      </c>
      <c r="C17" s="110">
        <v>0.009298621141703555</v>
      </c>
      <c r="D17" s="83" t="s">
        <v>3362</v>
      </c>
      <c r="E17" s="83" t="b">
        <v>0</v>
      </c>
      <c r="F17" s="83" t="b">
        <v>0</v>
      </c>
      <c r="G17" s="83" t="b">
        <v>0</v>
      </c>
    </row>
    <row r="18" spans="1:7" ht="15">
      <c r="A18" s="84" t="s">
        <v>2723</v>
      </c>
      <c r="B18" s="83">
        <v>21</v>
      </c>
      <c r="C18" s="110">
        <v>0.008367748016034807</v>
      </c>
      <c r="D18" s="83" t="s">
        <v>3362</v>
      </c>
      <c r="E18" s="83" t="b">
        <v>0</v>
      </c>
      <c r="F18" s="83" t="b">
        <v>0</v>
      </c>
      <c r="G18" s="83" t="b">
        <v>0</v>
      </c>
    </row>
    <row r="19" spans="1:7" ht="15">
      <c r="A19" s="84" t="s">
        <v>2724</v>
      </c>
      <c r="B19" s="83">
        <v>21</v>
      </c>
      <c r="C19" s="110">
        <v>0.008756464777997849</v>
      </c>
      <c r="D19" s="83" t="s">
        <v>3362</v>
      </c>
      <c r="E19" s="83" t="b">
        <v>0</v>
      </c>
      <c r="F19" s="83" t="b">
        <v>0</v>
      </c>
      <c r="G19" s="83" t="b">
        <v>0</v>
      </c>
    </row>
    <row r="20" spans="1:7" ht="15">
      <c r="A20" s="84" t="s">
        <v>2725</v>
      </c>
      <c r="B20" s="83">
        <v>18</v>
      </c>
      <c r="C20" s="110">
        <v>0.007277181763072347</v>
      </c>
      <c r="D20" s="83" t="s">
        <v>3362</v>
      </c>
      <c r="E20" s="83" t="b">
        <v>1</v>
      </c>
      <c r="F20" s="83" t="b">
        <v>0</v>
      </c>
      <c r="G20" s="83" t="b">
        <v>0</v>
      </c>
    </row>
    <row r="21" spans="1:7" ht="15">
      <c r="A21" s="84" t="s">
        <v>2726</v>
      </c>
      <c r="B21" s="83">
        <v>18</v>
      </c>
      <c r="C21" s="110">
        <v>0.007505541238283871</v>
      </c>
      <c r="D21" s="83" t="s">
        <v>3362</v>
      </c>
      <c r="E21" s="83" t="b">
        <v>1</v>
      </c>
      <c r="F21" s="83" t="b">
        <v>0</v>
      </c>
      <c r="G21" s="83" t="b">
        <v>0</v>
      </c>
    </row>
    <row r="22" spans="1:7" ht="15">
      <c r="A22" s="84" t="s">
        <v>2727</v>
      </c>
      <c r="B22" s="83">
        <v>17</v>
      </c>
      <c r="C22" s="110">
        <v>0.006977556814758196</v>
      </c>
      <c r="D22" s="83" t="s">
        <v>3362</v>
      </c>
      <c r="E22" s="83" t="b">
        <v>0</v>
      </c>
      <c r="F22" s="83" t="b">
        <v>0</v>
      </c>
      <c r="G22" s="83" t="b">
        <v>0</v>
      </c>
    </row>
    <row r="23" spans="1:7" ht="15">
      <c r="A23" s="84" t="s">
        <v>1110</v>
      </c>
      <c r="B23" s="83">
        <v>17</v>
      </c>
      <c r="C23" s="110">
        <v>0.006977556814758196</v>
      </c>
      <c r="D23" s="83" t="s">
        <v>3362</v>
      </c>
      <c r="E23" s="83" t="b">
        <v>1</v>
      </c>
      <c r="F23" s="83" t="b">
        <v>0</v>
      </c>
      <c r="G23" s="83" t="b">
        <v>0</v>
      </c>
    </row>
    <row r="24" spans="1:7" ht="15">
      <c r="A24" s="84" t="s">
        <v>2728</v>
      </c>
      <c r="B24" s="83">
        <v>16</v>
      </c>
      <c r="C24" s="110">
        <v>0.006671592211807885</v>
      </c>
      <c r="D24" s="83" t="s">
        <v>3362</v>
      </c>
      <c r="E24" s="83" t="b">
        <v>0</v>
      </c>
      <c r="F24" s="83" t="b">
        <v>0</v>
      </c>
      <c r="G24" s="83" t="b">
        <v>0</v>
      </c>
    </row>
    <row r="25" spans="1:7" ht="15">
      <c r="A25" s="84" t="s">
        <v>2729</v>
      </c>
      <c r="B25" s="83">
        <v>15</v>
      </c>
      <c r="C25" s="110">
        <v>0.006860001989855978</v>
      </c>
      <c r="D25" s="83" t="s">
        <v>3362</v>
      </c>
      <c r="E25" s="83" t="b">
        <v>1</v>
      </c>
      <c r="F25" s="83" t="b">
        <v>0</v>
      </c>
      <c r="G25" s="83" t="b">
        <v>0</v>
      </c>
    </row>
    <row r="26" spans="1:7" ht="15">
      <c r="A26" s="84" t="s">
        <v>2730</v>
      </c>
      <c r="B26" s="83">
        <v>15</v>
      </c>
      <c r="C26" s="110">
        <v>0.007013992634045803</v>
      </c>
      <c r="D26" s="83" t="s">
        <v>3362</v>
      </c>
      <c r="E26" s="83" t="b">
        <v>0</v>
      </c>
      <c r="F26" s="83" t="b">
        <v>1</v>
      </c>
      <c r="G26" s="83" t="b">
        <v>0</v>
      </c>
    </row>
    <row r="27" spans="1:7" ht="15">
      <c r="A27" s="84" t="s">
        <v>2731</v>
      </c>
      <c r="B27" s="83">
        <v>14</v>
      </c>
      <c r="C27" s="110">
        <v>0.006039004112337757</v>
      </c>
      <c r="D27" s="83" t="s">
        <v>3362</v>
      </c>
      <c r="E27" s="83" t="b">
        <v>0</v>
      </c>
      <c r="F27" s="83" t="b">
        <v>0</v>
      </c>
      <c r="G27" s="83" t="b">
        <v>0</v>
      </c>
    </row>
    <row r="28" spans="1:7" ht="15">
      <c r="A28" s="84" t="s">
        <v>2732</v>
      </c>
      <c r="B28" s="83">
        <v>14</v>
      </c>
      <c r="C28" s="110">
        <v>0.006039004112337757</v>
      </c>
      <c r="D28" s="83" t="s">
        <v>3362</v>
      </c>
      <c r="E28" s="83" t="b">
        <v>1</v>
      </c>
      <c r="F28" s="83" t="b">
        <v>0</v>
      </c>
      <c r="G28" s="83" t="b">
        <v>0</v>
      </c>
    </row>
    <row r="29" spans="1:7" ht="15">
      <c r="A29" s="84" t="s">
        <v>2733</v>
      </c>
      <c r="B29" s="83">
        <v>14</v>
      </c>
      <c r="C29" s="110">
        <v>0.006039004112337757</v>
      </c>
      <c r="D29" s="83" t="s">
        <v>3362</v>
      </c>
      <c r="E29" s="83" t="b">
        <v>0</v>
      </c>
      <c r="F29" s="83" t="b">
        <v>0</v>
      </c>
      <c r="G29" s="83" t="b">
        <v>0</v>
      </c>
    </row>
    <row r="30" spans="1:7" ht="15">
      <c r="A30" s="84" t="s">
        <v>2734</v>
      </c>
      <c r="B30" s="83">
        <v>14</v>
      </c>
      <c r="C30" s="110">
        <v>0.007084247152837691</v>
      </c>
      <c r="D30" s="83" t="s">
        <v>3362</v>
      </c>
      <c r="E30" s="83" t="b">
        <v>0</v>
      </c>
      <c r="F30" s="83" t="b">
        <v>0</v>
      </c>
      <c r="G30" s="83" t="b">
        <v>0</v>
      </c>
    </row>
    <row r="31" spans="1:7" ht="15">
      <c r="A31" s="84" t="s">
        <v>2735</v>
      </c>
      <c r="B31" s="83">
        <v>13</v>
      </c>
      <c r="C31" s="110">
        <v>0.006226325207762508</v>
      </c>
      <c r="D31" s="83" t="s">
        <v>3362</v>
      </c>
      <c r="E31" s="83" t="b">
        <v>0</v>
      </c>
      <c r="F31" s="83" t="b">
        <v>0</v>
      </c>
      <c r="G31" s="83" t="b">
        <v>0</v>
      </c>
    </row>
    <row r="32" spans="1:7" ht="15">
      <c r="A32" s="84" t="s">
        <v>2736</v>
      </c>
      <c r="B32" s="83">
        <v>13</v>
      </c>
      <c r="C32" s="110">
        <v>0.00571141673621547</v>
      </c>
      <c r="D32" s="83" t="s">
        <v>3362</v>
      </c>
      <c r="E32" s="83" t="b">
        <v>0</v>
      </c>
      <c r="F32" s="83" t="b">
        <v>0</v>
      </c>
      <c r="G32" s="83" t="b">
        <v>0</v>
      </c>
    </row>
    <row r="33" spans="1:7" ht="15">
      <c r="A33" s="84" t="s">
        <v>2737</v>
      </c>
      <c r="B33" s="83">
        <v>12</v>
      </c>
      <c r="C33" s="110">
        <v>0.0057473771148576994</v>
      </c>
      <c r="D33" s="83" t="s">
        <v>3362</v>
      </c>
      <c r="E33" s="83" t="b">
        <v>0</v>
      </c>
      <c r="F33" s="83" t="b">
        <v>0</v>
      </c>
      <c r="G33" s="83" t="b">
        <v>0</v>
      </c>
    </row>
    <row r="34" spans="1:7" ht="15">
      <c r="A34" s="84" t="s">
        <v>2738</v>
      </c>
      <c r="B34" s="83">
        <v>12</v>
      </c>
      <c r="C34" s="110">
        <v>0.00607221184528945</v>
      </c>
      <c r="D34" s="83" t="s">
        <v>3362</v>
      </c>
      <c r="E34" s="83" t="b">
        <v>0</v>
      </c>
      <c r="F34" s="83" t="b">
        <v>0</v>
      </c>
      <c r="G34" s="83" t="b">
        <v>0</v>
      </c>
    </row>
    <row r="35" spans="1:7" ht="15">
      <c r="A35" s="84" t="s">
        <v>2739</v>
      </c>
      <c r="B35" s="83">
        <v>12</v>
      </c>
      <c r="C35" s="110">
        <v>0.005375535636856807</v>
      </c>
      <c r="D35" s="83" t="s">
        <v>3362</v>
      </c>
      <c r="E35" s="83" t="b">
        <v>1</v>
      </c>
      <c r="F35" s="83" t="b">
        <v>0</v>
      </c>
      <c r="G35" s="83" t="b">
        <v>0</v>
      </c>
    </row>
    <row r="36" spans="1:7" ht="15">
      <c r="A36" s="84" t="s">
        <v>2740</v>
      </c>
      <c r="B36" s="83">
        <v>12</v>
      </c>
      <c r="C36" s="110">
        <v>0.00607221184528945</v>
      </c>
      <c r="D36" s="83" t="s">
        <v>3362</v>
      </c>
      <c r="E36" s="83" t="b">
        <v>0</v>
      </c>
      <c r="F36" s="83" t="b">
        <v>0</v>
      </c>
      <c r="G36" s="83" t="b">
        <v>0</v>
      </c>
    </row>
    <row r="37" spans="1:7" ht="15">
      <c r="A37" s="84" t="s">
        <v>2741</v>
      </c>
      <c r="B37" s="83">
        <v>11</v>
      </c>
      <c r="C37" s="110">
        <v>0.005566194191515329</v>
      </c>
      <c r="D37" s="83" t="s">
        <v>3362</v>
      </c>
      <c r="E37" s="83" t="b">
        <v>0</v>
      </c>
      <c r="F37" s="83" t="b">
        <v>0</v>
      </c>
      <c r="G37" s="83" t="b">
        <v>0</v>
      </c>
    </row>
    <row r="38" spans="1:7" ht="15">
      <c r="A38" s="84" t="s">
        <v>2742</v>
      </c>
      <c r="B38" s="83">
        <v>11</v>
      </c>
      <c r="C38" s="110">
        <v>0.005143594598300255</v>
      </c>
      <c r="D38" s="83" t="s">
        <v>3362</v>
      </c>
      <c r="E38" s="83" t="b">
        <v>0</v>
      </c>
      <c r="F38" s="83" t="b">
        <v>0</v>
      </c>
      <c r="G38" s="83" t="b">
        <v>0</v>
      </c>
    </row>
    <row r="39" spans="1:7" ht="15">
      <c r="A39" s="84" t="s">
        <v>2743</v>
      </c>
      <c r="B39" s="83">
        <v>11</v>
      </c>
      <c r="C39" s="110">
        <v>0.005030668125894384</v>
      </c>
      <c r="D39" s="83" t="s">
        <v>3362</v>
      </c>
      <c r="E39" s="83" t="b">
        <v>0</v>
      </c>
      <c r="F39" s="83" t="b">
        <v>0</v>
      </c>
      <c r="G39" s="83" t="b">
        <v>0</v>
      </c>
    </row>
    <row r="40" spans="1:7" ht="15">
      <c r="A40" s="84" t="s">
        <v>2744</v>
      </c>
      <c r="B40" s="83">
        <v>11</v>
      </c>
      <c r="C40" s="110">
        <v>0.005143594598300255</v>
      </c>
      <c r="D40" s="83" t="s">
        <v>3362</v>
      </c>
      <c r="E40" s="83" t="b">
        <v>0</v>
      </c>
      <c r="F40" s="83" t="b">
        <v>0</v>
      </c>
      <c r="G40" s="83" t="b">
        <v>0</v>
      </c>
    </row>
    <row r="41" spans="1:7" ht="15">
      <c r="A41" s="84" t="s">
        <v>2745</v>
      </c>
      <c r="B41" s="83">
        <v>11</v>
      </c>
      <c r="C41" s="110">
        <v>0.005030668125894384</v>
      </c>
      <c r="D41" s="83" t="s">
        <v>3362</v>
      </c>
      <c r="E41" s="83" t="b">
        <v>0</v>
      </c>
      <c r="F41" s="83" t="b">
        <v>0</v>
      </c>
      <c r="G41" s="83" t="b">
        <v>0</v>
      </c>
    </row>
    <row r="42" spans="1:7" ht="15">
      <c r="A42" s="84" t="s">
        <v>2746</v>
      </c>
      <c r="B42" s="83">
        <v>11</v>
      </c>
      <c r="C42" s="110">
        <v>0.005030668125894384</v>
      </c>
      <c r="D42" s="83" t="s">
        <v>3362</v>
      </c>
      <c r="E42" s="83" t="b">
        <v>1</v>
      </c>
      <c r="F42" s="83" t="b">
        <v>0</v>
      </c>
      <c r="G42" s="83" t="b">
        <v>0</v>
      </c>
    </row>
    <row r="43" spans="1:7" ht="15">
      <c r="A43" s="84" t="s">
        <v>2747</v>
      </c>
      <c r="B43" s="83">
        <v>11</v>
      </c>
      <c r="C43" s="110">
        <v>0.005143594598300255</v>
      </c>
      <c r="D43" s="83" t="s">
        <v>3362</v>
      </c>
      <c r="E43" s="83" t="b">
        <v>0</v>
      </c>
      <c r="F43" s="83" t="b">
        <v>0</v>
      </c>
      <c r="G43" s="83" t="b">
        <v>0</v>
      </c>
    </row>
    <row r="44" spans="1:7" ht="15">
      <c r="A44" s="84" t="s">
        <v>2748</v>
      </c>
      <c r="B44" s="83">
        <v>11</v>
      </c>
      <c r="C44" s="110">
        <v>0.005143594598300255</v>
      </c>
      <c r="D44" s="83" t="s">
        <v>3362</v>
      </c>
      <c r="E44" s="83" t="b">
        <v>0</v>
      </c>
      <c r="F44" s="83" t="b">
        <v>0</v>
      </c>
      <c r="G44" s="83" t="b">
        <v>0</v>
      </c>
    </row>
    <row r="45" spans="1:7" ht="15">
      <c r="A45" s="84" t="s">
        <v>2749</v>
      </c>
      <c r="B45" s="83">
        <v>11</v>
      </c>
      <c r="C45" s="110">
        <v>0.005407982034582155</v>
      </c>
      <c r="D45" s="83" t="s">
        <v>3362</v>
      </c>
      <c r="E45" s="83" t="b">
        <v>0</v>
      </c>
      <c r="F45" s="83" t="b">
        <v>0</v>
      </c>
      <c r="G45" s="83" t="b">
        <v>0</v>
      </c>
    </row>
    <row r="46" spans="1:7" ht="15">
      <c r="A46" s="84" t="s">
        <v>2750</v>
      </c>
      <c r="B46" s="83">
        <v>10</v>
      </c>
      <c r="C46" s="110">
        <v>0.004789480929048083</v>
      </c>
      <c r="D46" s="83" t="s">
        <v>3362</v>
      </c>
      <c r="E46" s="83" t="b">
        <v>0</v>
      </c>
      <c r="F46" s="83" t="b">
        <v>0</v>
      </c>
      <c r="G46" s="83" t="b">
        <v>0</v>
      </c>
    </row>
    <row r="47" spans="1:7" ht="15">
      <c r="A47" s="84" t="s">
        <v>2751</v>
      </c>
      <c r="B47" s="83">
        <v>10</v>
      </c>
      <c r="C47" s="110">
        <v>0.004675995089363868</v>
      </c>
      <c r="D47" s="83" t="s">
        <v>3362</v>
      </c>
      <c r="E47" s="83" t="b">
        <v>0</v>
      </c>
      <c r="F47" s="83" t="b">
        <v>0</v>
      </c>
      <c r="G47" s="83" t="b">
        <v>0</v>
      </c>
    </row>
    <row r="48" spans="1:7" ht="15">
      <c r="A48" s="84" t="s">
        <v>2752</v>
      </c>
      <c r="B48" s="83">
        <v>10</v>
      </c>
      <c r="C48" s="110">
        <v>0.004789480929048083</v>
      </c>
      <c r="D48" s="83" t="s">
        <v>3362</v>
      </c>
      <c r="E48" s="83" t="b">
        <v>1</v>
      </c>
      <c r="F48" s="83" t="b">
        <v>0</v>
      </c>
      <c r="G48" s="83" t="b">
        <v>0</v>
      </c>
    </row>
    <row r="49" spans="1:7" ht="15">
      <c r="A49" s="84" t="s">
        <v>2753</v>
      </c>
      <c r="B49" s="83">
        <v>10</v>
      </c>
      <c r="C49" s="110">
        <v>0.0054225972611495355</v>
      </c>
      <c r="D49" s="83" t="s">
        <v>3362</v>
      </c>
      <c r="E49" s="83" t="b">
        <v>0</v>
      </c>
      <c r="F49" s="83" t="b">
        <v>0</v>
      </c>
      <c r="G49" s="83" t="b">
        <v>0</v>
      </c>
    </row>
    <row r="50" spans="1:7" ht="15">
      <c r="A50" s="84" t="s">
        <v>2754</v>
      </c>
      <c r="B50" s="83">
        <v>10</v>
      </c>
      <c r="C50" s="110">
        <v>0.004789480929048083</v>
      </c>
      <c r="D50" s="83" t="s">
        <v>3362</v>
      </c>
      <c r="E50" s="83" t="b">
        <v>1</v>
      </c>
      <c r="F50" s="83" t="b">
        <v>0</v>
      </c>
      <c r="G50" s="83" t="b">
        <v>0</v>
      </c>
    </row>
    <row r="51" spans="1:7" ht="15">
      <c r="A51" s="84" t="s">
        <v>2755</v>
      </c>
      <c r="B51" s="83">
        <v>10</v>
      </c>
      <c r="C51" s="110">
        <v>0.005662949475951264</v>
      </c>
      <c r="D51" s="83" t="s">
        <v>3362</v>
      </c>
      <c r="E51" s="83" t="b">
        <v>0</v>
      </c>
      <c r="F51" s="83" t="b">
        <v>0</v>
      </c>
      <c r="G51" s="83" t="b">
        <v>0</v>
      </c>
    </row>
    <row r="52" spans="1:7" ht="15">
      <c r="A52" s="84" t="s">
        <v>2756</v>
      </c>
      <c r="B52" s="83">
        <v>10</v>
      </c>
      <c r="C52" s="110">
        <v>0.004675995089363868</v>
      </c>
      <c r="D52" s="83" t="s">
        <v>3362</v>
      </c>
      <c r="E52" s="83" t="b">
        <v>0</v>
      </c>
      <c r="F52" s="83" t="b">
        <v>0</v>
      </c>
      <c r="G52" s="83" t="b">
        <v>0</v>
      </c>
    </row>
    <row r="53" spans="1:7" ht="15">
      <c r="A53" s="84" t="s">
        <v>2757</v>
      </c>
      <c r="B53" s="83">
        <v>10</v>
      </c>
      <c r="C53" s="110">
        <v>0.004675995089363868</v>
      </c>
      <c r="D53" s="83" t="s">
        <v>3362</v>
      </c>
      <c r="E53" s="83" t="b">
        <v>0</v>
      </c>
      <c r="F53" s="83" t="b">
        <v>0</v>
      </c>
      <c r="G53" s="83" t="b">
        <v>0</v>
      </c>
    </row>
    <row r="54" spans="1:7" ht="15">
      <c r="A54" s="84" t="s">
        <v>2758</v>
      </c>
      <c r="B54" s="83">
        <v>10</v>
      </c>
      <c r="C54" s="110">
        <v>0.004916347304165596</v>
      </c>
      <c r="D54" s="83" t="s">
        <v>3362</v>
      </c>
      <c r="E54" s="83" t="b">
        <v>0</v>
      </c>
      <c r="F54" s="83" t="b">
        <v>0</v>
      </c>
      <c r="G54" s="83" t="b">
        <v>0</v>
      </c>
    </row>
    <row r="55" spans="1:7" ht="15">
      <c r="A55" s="84" t="s">
        <v>2759</v>
      </c>
      <c r="B55" s="83">
        <v>9</v>
      </c>
      <c r="C55" s="110">
        <v>0.004554158883967087</v>
      </c>
      <c r="D55" s="83" t="s">
        <v>3362</v>
      </c>
      <c r="E55" s="83" t="b">
        <v>0</v>
      </c>
      <c r="F55" s="83" t="b">
        <v>0</v>
      </c>
      <c r="G55" s="83" t="b">
        <v>0</v>
      </c>
    </row>
    <row r="56" spans="1:7" ht="15">
      <c r="A56" s="84" t="s">
        <v>2760</v>
      </c>
      <c r="B56" s="83">
        <v>9</v>
      </c>
      <c r="C56" s="110">
        <v>0.004424712573749036</v>
      </c>
      <c r="D56" s="83" t="s">
        <v>3362</v>
      </c>
      <c r="E56" s="83" t="b">
        <v>0</v>
      </c>
      <c r="F56" s="83" t="b">
        <v>0</v>
      </c>
      <c r="G56" s="83" t="b">
        <v>0</v>
      </c>
    </row>
    <row r="57" spans="1:7" ht="15">
      <c r="A57" s="84" t="s">
        <v>2761</v>
      </c>
      <c r="B57" s="83">
        <v>9</v>
      </c>
      <c r="C57" s="110">
        <v>0.004310532836143275</v>
      </c>
      <c r="D57" s="83" t="s">
        <v>3362</v>
      </c>
      <c r="E57" s="83" t="b">
        <v>0</v>
      </c>
      <c r="F57" s="83" t="b">
        <v>1</v>
      </c>
      <c r="G57" s="83" t="b">
        <v>0</v>
      </c>
    </row>
    <row r="58" spans="1:7" ht="15">
      <c r="A58" s="84" t="s">
        <v>2762</v>
      </c>
      <c r="B58" s="83">
        <v>9</v>
      </c>
      <c r="C58" s="110">
        <v>0.004310532836143275</v>
      </c>
      <c r="D58" s="83" t="s">
        <v>3362</v>
      </c>
      <c r="E58" s="83" t="b">
        <v>0</v>
      </c>
      <c r="F58" s="83" t="b">
        <v>0</v>
      </c>
      <c r="G58" s="83" t="b">
        <v>0</v>
      </c>
    </row>
    <row r="59" spans="1:7" ht="15">
      <c r="A59" s="84" t="s">
        <v>2763</v>
      </c>
      <c r="B59" s="83">
        <v>9</v>
      </c>
      <c r="C59" s="110">
        <v>0.004424712573749036</v>
      </c>
      <c r="D59" s="83" t="s">
        <v>3362</v>
      </c>
      <c r="E59" s="83" t="b">
        <v>0</v>
      </c>
      <c r="F59" s="83" t="b">
        <v>0</v>
      </c>
      <c r="G59" s="83" t="b">
        <v>0</v>
      </c>
    </row>
    <row r="60" spans="1:7" ht="15">
      <c r="A60" s="84" t="s">
        <v>2764</v>
      </c>
      <c r="B60" s="83">
        <v>9</v>
      </c>
      <c r="C60" s="110">
        <v>0.004310532836143275</v>
      </c>
      <c r="D60" s="83" t="s">
        <v>3362</v>
      </c>
      <c r="E60" s="83" t="b">
        <v>0</v>
      </c>
      <c r="F60" s="83" t="b">
        <v>0</v>
      </c>
      <c r="G60" s="83" t="b">
        <v>0</v>
      </c>
    </row>
    <row r="61" spans="1:7" ht="15">
      <c r="A61" s="84" t="s">
        <v>2765</v>
      </c>
      <c r="B61" s="83">
        <v>9</v>
      </c>
      <c r="C61" s="110">
        <v>0.004310532836143275</v>
      </c>
      <c r="D61" s="83" t="s">
        <v>3362</v>
      </c>
      <c r="E61" s="83" t="b">
        <v>0</v>
      </c>
      <c r="F61" s="83" t="b">
        <v>0</v>
      </c>
      <c r="G61" s="83" t="b">
        <v>0</v>
      </c>
    </row>
    <row r="62" spans="1:7" ht="15">
      <c r="A62" s="84" t="s">
        <v>2766</v>
      </c>
      <c r="B62" s="83">
        <v>9</v>
      </c>
      <c r="C62" s="110">
        <v>0.004424712573749036</v>
      </c>
      <c r="D62" s="83" t="s">
        <v>3362</v>
      </c>
      <c r="E62" s="83" t="b">
        <v>0</v>
      </c>
      <c r="F62" s="83" t="b">
        <v>0</v>
      </c>
      <c r="G62" s="83" t="b">
        <v>0</v>
      </c>
    </row>
    <row r="63" spans="1:7" ht="15">
      <c r="A63" s="84" t="s">
        <v>2767</v>
      </c>
      <c r="B63" s="83">
        <v>9</v>
      </c>
      <c r="C63" s="110">
        <v>0.004310532836143275</v>
      </c>
      <c r="D63" s="83" t="s">
        <v>3362</v>
      </c>
      <c r="E63" s="83" t="b">
        <v>0</v>
      </c>
      <c r="F63" s="83" t="b">
        <v>0</v>
      </c>
      <c r="G63" s="83" t="b">
        <v>0</v>
      </c>
    </row>
    <row r="64" spans="1:7" ht="15">
      <c r="A64" s="84" t="s">
        <v>2768</v>
      </c>
      <c r="B64" s="83">
        <v>9</v>
      </c>
      <c r="C64" s="110">
        <v>0.004310532836143275</v>
      </c>
      <c r="D64" s="83" t="s">
        <v>3362</v>
      </c>
      <c r="E64" s="83" t="b">
        <v>0</v>
      </c>
      <c r="F64" s="83" t="b">
        <v>0</v>
      </c>
      <c r="G64" s="83" t="b">
        <v>0</v>
      </c>
    </row>
    <row r="65" spans="1:7" ht="15">
      <c r="A65" s="84" t="s">
        <v>2769</v>
      </c>
      <c r="B65" s="83">
        <v>9</v>
      </c>
      <c r="C65" s="110">
        <v>0.004554158883967087</v>
      </c>
      <c r="D65" s="83" t="s">
        <v>3362</v>
      </c>
      <c r="E65" s="83" t="b">
        <v>0</v>
      </c>
      <c r="F65" s="83" t="b">
        <v>0</v>
      </c>
      <c r="G65" s="83" t="b">
        <v>0</v>
      </c>
    </row>
    <row r="66" spans="1:7" ht="15">
      <c r="A66" s="84" t="s">
        <v>2770</v>
      </c>
      <c r="B66" s="83">
        <v>9</v>
      </c>
      <c r="C66" s="110">
        <v>0.004703593682249706</v>
      </c>
      <c r="D66" s="83" t="s">
        <v>3362</v>
      </c>
      <c r="E66" s="83" t="b">
        <v>0</v>
      </c>
      <c r="F66" s="83" t="b">
        <v>0</v>
      </c>
      <c r="G66" s="83" t="b">
        <v>0</v>
      </c>
    </row>
    <row r="67" spans="1:7" ht="15">
      <c r="A67" s="84" t="s">
        <v>2771</v>
      </c>
      <c r="B67" s="83">
        <v>8</v>
      </c>
      <c r="C67" s="110">
        <v>0.003933077843332477</v>
      </c>
      <c r="D67" s="83" t="s">
        <v>3362</v>
      </c>
      <c r="E67" s="83" t="b">
        <v>0</v>
      </c>
      <c r="F67" s="83" t="b">
        <v>0</v>
      </c>
      <c r="G67" s="83" t="b">
        <v>0</v>
      </c>
    </row>
    <row r="68" spans="1:7" ht="15">
      <c r="A68" s="84" t="s">
        <v>2772</v>
      </c>
      <c r="B68" s="83">
        <v>8</v>
      </c>
      <c r="C68" s="110">
        <v>0.004048141230192966</v>
      </c>
      <c r="D68" s="83" t="s">
        <v>3362</v>
      </c>
      <c r="E68" s="83" t="b">
        <v>0</v>
      </c>
      <c r="F68" s="83" t="b">
        <v>0</v>
      </c>
      <c r="G68" s="83" t="b">
        <v>0</v>
      </c>
    </row>
    <row r="69" spans="1:7" ht="15">
      <c r="A69" s="84" t="s">
        <v>2773</v>
      </c>
      <c r="B69" s="83">
        <v>8</v>
      </c>
      <c r="C69" s="110">
        <v>0.004180972161999738</v>
      </c>
      <c r="D69" s="83" t="s">
        <v>3362</v>
      </c>
      <c r="E69" s="83" t="b">
        <v>0</v>
      </c>
      <c r="F69" s="83" t="b">
        <v>0</v>
      </c>
      <c r="G69" s="83" t="b">
        <v>0</v>
      </c>
    </row>
    <row r="70" spans="1:7" ht="15">
      <c r="A70" s="84" t="s">
        <v>2774</v>
      </c>
      <c r="B70" s="83">
        <v>8</v>
      </c>
      <c r="C70" s="110">
        <v>0.004048141230192966</v>
      </c>
      <c r="D70" s="83" t="s">
        <v>3362</v>
      </c>
      <c r="E70" s="83" t="b">
        <v>0</v>
      </c>
      <c r="F70" s="83" t="b">
        <v>0</v>
      </c>
      <c r="G70" s="83" t="b">
        <v>0</v>
      </c>
    </row>
    <row r="71" spans="1:7" ht="15">
      <c r="A71" s="84" t="s">
        <v>2775</v>
      </c>
      <c r="B71" s="83">
        <v>8</v>
      </c>
      <c r="C71" s="110">
        <v>0.003933077843332477</v>
      </c>
      <c r="D71" s="83" t="s">
        <v>3362</v>
      </c>
      <c r="E71" s="83" t="b">
        <v>0</v>
      </c>
      <c r="F71" s="83" t="b">
        <v>0</v>
      </c>
      <c r="G71" s="83" t="b">
        <v>0</v>
      </c>
    </row>
    <row r="72" spans="1:7" ht="15">
      <c r="A72" s="84" t="s">
        <v>2776</v>
      </c>
      <c r="B72" s="83">
        <v>8</v>
      </c>
      <c r="C72" s="110">
        <v>0.004338077808919628</v>
      </c>
      <c r="D72" s="83" t="s">
        <v>3362</v>
      </c>
      <c r="E72" s="83" t="b">
        <v>0</v>
      </c>
      <c r="F72" s="83" t="b">
        <v>0</v>
      </c>
      <c r="G72" s="83" t="b">
        <v>0</v>
      </c>
    </row>
    <row r="73" spans="1:7" ht="15">
      <c r="A73" s="84" t="s">
        <v>2777</v>
      </c>
      <c r="B73" s="83">
        <v>8</v>
      </c>
      <c r="C73" s="110">
        <v>0.004530359580761011</v>
      </c>
      <c r="D73" s="83" t="s">
        <v>3362</v>
      </c>
      <c r="E73" s="83" t="b">
        <v>0</v>
      </c>
      <c r="F73" s="83" t="b">
        <v>0</v>
      </c>
      <c r="G73" s="83" t="b">
        <v>0</v>
      </c>
    </row>
    <row r="74" spans="1:7" ht="15">
      <c r="A74" s="84" t="s">
        <v>2778</v>
      </c>
      <c r="B74" s="83">
        <v>8</v>
      </c>
      <c r="C74" s="110">
        <v>0.003933077843332477</v>
      </c>
      <c r="D74" s="83" t="s">
        <v>3362</v>
      </c>
      <c r="E74" s="83" t="b">
        <v>0</v>
      </c>
      <c r="F74" s="83" t="b">
        <v>0</v>
      </c>
      <c r="G74" s="83" t="b">
        <v>0</v>
      </c>
    </row>
    <row r="75" spans="1:7" ht="15">
      <c r="A75" s="84" t="s">
        <v>2779</v>
      </c>
      <c r="B75" s="83">
        <v>8</v>
      </c>
      <c r="C75" s="110">
        <v>0.004048141230192966</v>
      </c>
      <c r="D75" s="83" t="s">
        <v>3362</v>
      </c>
      <c r="E75" s="83" t="b">
        <v>0</v>
      </c>
      <c r="F75" s="83" t="b">
        <v>0</v>
      </c>
      <c r="G75" s="83" t="b">
        <v>0</v>
      </c>
    </row>
    <row r="76" spans="1:7" ht="15">
      <c r="A76" s="84" t="s">
        <v>2780</v>
      </c>
      <c r="B76" s="83">
        <v>8</v>
      </c>
      <c r="C76" s="110">
        <v>0.004530359580761011</v>
      </c>
      <c r="D76" s="83" t="s">
        <v>3362</v>
      </c>
      <c r="E76" s="83" t="b">
        <v>0</v>
      </c>
      <c r="F76" s="83" t="b">
        <v>0</v>
      </c>
      <c r="G76" s="83" t="b">
        <v>0</v>
      </c>
    </row>
    <row r="77" spans="1:7" ht="15">
      <c r="A77" s="84" t="s">
        <v>2781</v>
      </c>
      <c r="B77" s="83">
        <v>8</v>
      </c>
      <c r="C77" s="110">
        <v>0.004180972161999738</v>
      </c>
      <c r="D77" s="83" t="s">
        <v>3362</v>
      </c>
      <c r="E77" s="83" t="b">
        <v>0</v>
      </c>
      <c r="F77" s="83" t="b">
        <v>0</v>
      </c>
      <c r="G77" s="83" t="b">
        <v>0</v>
      </c>
    </row>
    <row r="78" spans="1:7" ht="15">
      <c r="A78" s="84" t="s">
        <v>2782</v>
      </c>
      <c r="B78" s="83">
        <v>8</v>
      </c>
      <c r="C78" s="110">
        <v>0.004530359580761011</v>
      </c>
      <c r="D78" s="83" t="s">
        <v>3362</v>
      </c>
      <c r="E78" s="83" t="b">
        <v>0</v>
      </c>
      <c r="F78" s="83" t="b">
        <v>0</v>
      </c>
      <c r="G78" s="83" t="b">
        <v>0</v>
      </c>
    </row>
    <row r="79" spans="1:7" ht="15">
      <c r="A79" s="84" t="s">
        <v>2783</v>
      </c>
      <c r="B79" s="83">
        <v>7</v>
      </c>
      <c r="C79" s="110">
        <v>0.0037958180828046753</v>
      </c>
      <c r="D79" s="83" t="s">
        <v>3362</v>
      </c>
      <c r="E79" s="83" t="b">
        <v>0</v>
      </c>
      <c r="F79" s="83" t="b">
        <v>0</v>
      </c>
      <c r="G79" s="83" t="b">
        <v>0</v>
      </c>
    </row>
    <row r="80" spans="1:7" ht="15">
      <c r="A80" s="84" t="s">
        <v>2784</v>
      </c>
      <c r="B80" s="83">
        <v>7</v>
      </c>
      <c r="C80" s="110">
        <v>0.0036583506417497713</v>
      </c>
      <c r="D80" s="83" t="s">
        <v>3362</v>
      </c>
      <c r="E80" s="83" t="b">
        <v>0</v>
      </c>
      <c r="F80" s="83" t="b">
        <v>0</v>
      </c>
      <c r="G80" s="83" t="b">
        <v>0</v>
      </c>
    </row>
    <row r="81" spans="1:7" ht="15">
      <c r="A81" s="84" t="s">
        <v>2785</v>
      </c>
      <c r="B81" s="83">
        <v>7</v>
      </c>
      <c r="C81" s="110">
        <v>0.0036583506417497713</v>
      </c>
      <c r="D81" s="83" t="s">
        <v>3362</v>
      </c>
      <c r="E81" s="83" t="b">
        <v>0</v>
      </c>
      <c r="F81" s="83" t="b">
        <v>0</v>
      </c>
      <c r="G81" s="83" t="b">
        <v>0</v>
      </c>
    </row>
    <row r="82" spans="1:7" ht="15">
      <c r="A82" s="84" t="s">
        <v>2786</v>
      </c>
      <c r="B82" s="83">
        <v>7</v>
      </c>
      <c r="C82" s="110">
        <v>0.0037958180828046753</v>
      </c>
      <c r="D82" s="83" t="s">
        <v>3362</v>
      </c>
      <c r="E82" s="83" t="b">
        <v>0</v>
      </c>
      <c r="F82" s="83" t="b">
        <v>0</v>
      </c>
      <c r="G82" s="83" t="b">
        <v>0</v>
      </c>
    </row>
    <row r="83" spans="1:7" ht="15">
      <c r="A83" s="84" t="s">
        <v>2787</v>
      </c>
      <c r="B83" s="83">
        <v>7</v>
      </c>
      <c r="C83" s="110">
        <v>0.0036583506417497713</v>
      </c>
      <c r="D83" s="83" t="s">
        <v>3362</v>
      </c>
      <c r="E83" s="83" t="b">
        <v>0</v>
      </c>
      <c r="F83" s="83" t="b">
        <v>0</v>
      </c>
      <c r="G83" s="83" t="b">
        <v>0</v>
      </c>
    </row>
    <row r="84" spans="1:7" ht="15">
      <c r="A84" s="84" t="s">
        <v>2788</v>
      </c>
      <c r="B84" s="83">
        <v>7</v>
      </c>
      <c r="C84" s="110">
        <v>0.0037958180828046753</v>
      </c>
      <c r="D84" s="83" t="s">
        <v>3362</v>
      </c>
      <c r="E84" s="83" t="b">
        <v>0</v>
      </c>
      <c r="F84" s="83" t="b">
        <v>1</v>
      </c>
      <c r="G84" s="83" t="b">
        <v>0</v>
      </c>
    </row>
    <row r="85" spans="1:7" ht="15">
      <c r="A85" s="84" t="s">
        <v>2789</v>
      </c>
      <c r="B85" s="83">
        <v>7</v>
      </c>
      <c r="C85" s="110">
        <v>0.0035421235764188457</v>
      </c>
      <c r="D85" s="83" t="s">
        <v>3362</v>
      </c>
      <c r="E85" s="83" t="b">
        <v>0</v>
      </c>
      <c r="F85" s="83" t="b">
        <v>0</v>
      </c>
      <c r="G85" s="83" t="b">
        <v>0</v>
      </c>
    </row>
    <row r="86" spans="1:7" ht="15">
      <c r="A86" s="84" t="s">
        <v>2790</v>
      </c>
      <c r="B86" s="83">
        <v>7</v>
      </c>
      <c r="C86" s="110">
        <v>0.003964064633165885</v>
      </c>
      <c r="D86" s="83" t="s">
        <v>3362</v>
      </c>
      <c r="E86" s="83" t="b">
        <v>0</v>
      </c>
      <c r="F86" s="83" t="b">
        <v>0</v>
      </c>
      <c r="G86" s="83" t="b">
        <v>0</v>
      </c>
    </row>
    <row r="87" spans="1:7" ht="15">
      <c r="A87" s="84" t="s">
        <v>2791</v>
      </c>
      <c r="B87" s="83">
        <v>7</v>
      </c>
      <c r="C87" s="110">
        <v>0.0035421235764188457</v>
      </c>
      <c r="D87" s="83" t="s">
        <v>3362</v>
      </c>
      <c r="E87" s="83" t="b">
        <v>0</v>
      </c>
      <c r="F87" s="83" t="b">
        <v>0</v>
      </c>
      <c r="G87" s="83" t="b">
        <v>0</v>
      </c>
    </row>
    <row r="88" spans="1:7" ht="15">
      <c r="A88" s="84" t="s">
        <v>2792</v>
      </c>
      <c r="B88" s="83">
        <v>7</v>
      </c>
      <c r="C88" s="110">
        <v>0.0035421235764188457</v>
      </c>
      <c r="D88" s="83" t="s">
        <v>3362</v>
      </c>
      <c r="E88" s="83" t="b">
        <v>1</v>
      </c>
      <c r="F88" s="83" t="b">
        <v>0</v>
      </c>
      <c r="G88" s="83" t="b">
        <v>0</v>
      </c>
    </row>
    <row r="89" spans="1:7" ht="15">
      <c r="A89" s="84" t="s">
        <v>2793</v>
      </c>
      <c r="B89" s="83">
        <v>7</v>
      </c>
      <c r="C89" s="110">
        <v>0.0035421235764188457</v>
      </c>
      <c r="D89" s="83" t="s">
        <v>3362</v>
      </c>
      <c r="E89" s="83" t="b">
        <v>0</v>
      </c>
      <c r="F89" s="83" t="b">
        <v>0</v>
      </c>
      <c r="G89" s="83" t="b">
        <v>0</v>
      </c>
    </row>
    <row r="90" spans="1:7" ht="15">
      <c r="A90" s="84" t="s">
        <v>2794</v>
      </c>
      <c r="B90" s="83">
        <v>7</v>
      </c>
      <c r="C90" s="110">
        <v>0.0035421235764188457</v>
      </c>
      <c r="D90" s="83" t="s">
        <v>3362</v>
      </c>
      <c r="E90" s="83" t="b">
        <v>1</v>
      </c>
      <c r="F90" s="83" t="b">
        <v>0</v>
      </c>
      <c r="G90" s="83" t="b">
        <v>0</v>
      </c>
    </row>
    <row r="91" spans="1:7" ht="15">
      <c r="A91" s="84" t="s">
        <v>2795</v>
      </c>
      <c r="B91" s="83">
        <v>7</v>
      </c>
      <c r="C91" s="110">
        <v>0.0035421235764188457</v>
      </c>
      <c r="D91" s="83" t="s">
        <v>3362</v>
      </c>
      <c r="E91" s="83" t="b">
        <v>0</v>
      </c>
      <c r="F91" s="83" t="b">
        <v>0</v>
      </c>
      <c r="G91" s="83" t="b">
        <v>0</v>
      </c>
    </row>
    <row r="92" spans="1:7" ht="15">
      <c r="A92" s="84" t="s">
        <v>2796</v>
      </c>
      <c r="B92" s="83">
        <v>7</v>
      </c>
      <c r="C92" s="110">
        <v>0.0035421235764188457</v>
      </c>
      <c r="D92" s="83" t="s">
        <v>3362</v>
      </c>
      <c r="E92" s="83" t="b">
        <v>0</v>
      </c>
      <c r="F92" s="83" t="b">
        <v>0</v>
      </c>
      <c r="G92" s="83" t="b">
        <v>0</v>
      </c>
    </row>
    <row r="93" spans="1:7" ht="15">
      <c r="A93" s="84" t="s">
        <v>2797</v>
      </c>
      <c r="B93" s="83">
        <v>7</v>
      </c>
      <c r="C93" s="110">
        <v>0.0036583506417497713</v>
      </c>
      <c r="D93" s="83" t="s">
        <v>3362</v>
      </c>
      <c r="E93" s="83" t="b">
        <v>0</v>
      </c>
      <c r="F93" s="83" t="b">
        <v>0</v>
      </c>
      <c r="G93" s="83" t="b">
        <v>0</v>
      </c>
    </row>
    <row r="94" spans="1:7" ht="15">
      <c r="A94" s="84" t="s">
        <v>2798</v>
      </c>
      <c r="B94" s="83">
        <v>7</v>
      </c>
      <c r="C94" s="110">
        <v>0.0035421235764188457</v>
      </c>
      <c r="D94" s="83" t="s">
        <v>3362</v>
      </c>
      <c r="E94" s="83" t="b">
        <v>0</v>
      </c>
      <c r="F94" s="83" t="b">
        <v>0</v>
      </c>
      <c r="G94" s="83" t="b">
        <v>0</v>
      </c>
    </row>
    <row r="95" spans="1:7" ht="15">
      <c r="A95" s="84" t="s">
        <v>2799</v>
      </c>
      <c r="B95" s="83">
        <v>7</v>
      </c>
      <c r="C95" s="110">
        <v>0.0035421235764188457</v>
      </c>
      <c r="D95" s="83" t="s">
        <v>3362</v>
      </c>
      <c r="E95" s="83" t="b">
        <v>0</v>
      </c>
      <c r="F95" s="83" t="b">
        <v>0</v>
      </c>
      <c r="G95" s="83" t="b">
        <v>0</v>
      </c>
    </row>
    <row r="96" spans="1:7" ht="15">
      <c r="A96" s="84" t="s">
        <v>2644</v>
      </c>
      <c r="B96" s="83">
        <v>7</v>
      </c>
      <c r="C96" s="110">
        <v>0.0035421235764188457</v>
      </c>
      <c r="D96" s="83" t="s">
        <v>3362</v>
      </c>
      <c r="E96" s="83" t="b">
        <v>0</v>
      </c>
      <c r="F96" s="83" t="b">
        <v>0</v>
      </c>
      <c r="G96" s="83" t="b">
        <v>0</v>
      </c>
    </row>
    <row r="97" spans="1:7" ht="15">
      <c r="A97" s="84" t="s">
        <v>2800</v>
      </c>
      <c r="B97" s="83">
        <v>7</v>
      </c>
      <c r="C97" s="110">
        <v>0.0036583506417497713</v>
      </c>
      <c r="D97" s="83" t="s">
        <v>3362</v>
      </c>
      <c r="E97" s="83" t="b">
        <v>0</v>
      </c>
      <c r="F97" s="83" t="b">
        <v>0</v>
      </c>
      <c r="G97" s="83" t="b">
        <v>0</v>
      </c>
    </row>
    <row r="98" spans="1:7" ht="15">
      <c r="A98" s="84" t="s">
        <v>2801</v>
      </c>
      <c r="B98" s="83">
        <v>7</v>
      </c>
      <c r="C98" s="110">
        <v>0.003964064633165885</v>
      </c>
      <c r="D98" s="83" t="s">
        <v>3362</v>
      </c>
      <c r="E98" s="83" t="b">
        <v>0</v>
      </c>
      <c r="F98" s="83" t="b">
        <v>0</v>
      </c>
      <c r="G98" s="83" t="b">
        <v>0</v>
      </c>
    </row>
    <row r="99" spans="1:7" ht="15">
      <c r="A99" s="84" t="s">
        <v>2802</v>
      </c>
      <c r="B99" s="83">
        <v>6</v>
      </c>
      <c r="C99" s="110">
        <v>0.0032535583566897217</v>
      </c>
      <c r="D99" s="83" t="s">
        <v>3362</v>
      </c>
      <c r="E99" s="83" t="b">
        <v>0</v>
      </c>
      <c r="F99" s="83" t="b">
        <v>0</v>
      </c>
      <c r="G99" s="83" t="b">
        <v>0</v>
      </c>
    </row>
    <row r="100" spans="1:7" ht="15">
      <c r="A100" s="84" t="s">
        <v>2803</v>
      </c>
      <c r="B100" s="83">
        <v>6</v>
      </c>
      <c r="C100" s="110">
        <v>0.0032535583566897217</v>
      </c>
      <c r="D100" s="83" t="s">
        <v>3362</v>
      </c>
      <c r="E100" s="83" t="b">
        <v>0</v>
      </c>
      <c r="F100" s="83" t="b">
        <v>0</v>
      </c>
      <c r="G100" s="83" t="b">
        <v>0</v>
      </c>
    </row>
    <row r="101" spans="1:7" ht="15">
      <c r="A101" s="84" t="s">
        <v>2804</v>
      </c>
      <c r="B101" s="83">
        <v>6</v>
      </c>
      <c r="C101" s="110">
        <v>0.003135729121499804</v>
      </c>
      <c r="D101" s="83" t="s">
        <v>3362</v>
      </c>
      <c r="E101" s="83" t="b">
        <v>0</v>
      </c>
      <c r="F101" s="83" t="b">
        <v>0</v>
      </c>
      <c r="G101" s="83" t="b">
        <v>0</v>
      </c>
    </row>
    <row r="102" spans="1:7" ht="15">
      <c r="A102" s="84" t="s">
        <v>2805</v>
      </c>
      <c r="B102" s="83">
        <v>6</v>
      </c>
      <c r="C102" s="110">
        <v>0.003135729121499804</v>
      </c>
      <c r="D102" s="83" t="s">
        <v>3362</v>
      </c>
      <c r="E102" s="83" t="b">
        <v>1</v>
      </c>
      <c r="F102" s="83" t="b">
        <v>0</v>
      </c>
      <c r="G102" s="83" t="b">
        <v>0</v>
      </c>
    </row>
    <row r="103" spans="1:7" ht="15">
      <c r="A103" s="84" t="s">
        <v>2806</v>
      </c>
      <c r="B103" s="83">
        <v>6</v>
      </c>
      <c r="C103" s="110">
        <v>0.003135729121499804</v>
      </c>
      <c r="D103" s="83" t="s">
        <v>3362</v>
      </c>
      <c r="E103" s="83" t="b">
        <v>0</v>
      </c>
      <c r="F103" s="83" t="b">
        <v>0</v>
      </c>
      <c r="G103" s="83" t="b">
        <v>0</v>
      </c>
    </row>
    <row r="104" spans="1:7" ht="15">
      <c r="A104" s="84" t="s">
        <v>2807</v>
      </c>
      <c r="B104" s="83">
        <v>6</v>
      </c>
      <c r="C104" s="110">
        <v>0.003135729121499804</v>
      </c>
      <c r="D104" s="83" t="s">
        <v>3362</v>
      </c>
      <c r="E104" s="83" t="b">
        <v>0</v>
      </c>
      <c r="F104" s="83" t="b">
        <v>0</v>
      </c>
      <c r="G104" s="83" t="b">
        <v>0</v>
      </c>
    </row>
    <row r="105" spans="1:7" ht="15">
      <c r="A105" s="84" t="s">
        <v>2808</v>
      </c>
      <c r="B105" s="83">
        <v>6</v>
      </c>
      <c r="C105" s="110">
        <v>0.003135729121499804</v>
      </c>
      <c r="D105" s="83" t="s">
        <v>3362</v>
      </c>
      <c r="E105" s="83" t="b">
        <v>0</v>
      </c>
      <c r="F105" s="83" t="b">
        <v>0</v>
      </c>
      <c r="G105" s="83" t="b">
        <v>0</v>
      </c>
    </row>
    <row r="106" spans="1:7" ht="15">
      <c r="A106" s="84" t="s">
        <v>2809</v>
      </c>
      <c r="B106" s="83">
        <v>6</v>
      </c>
      <c r="C106" s="110">
        <v>0.0032535583566897217</v>
      </c>
      <c r="D106" s="83" t="s">
        <v>3362</v>
      </c>
      <c r="E106" s="83" t="b">
        <v>0</v>
      </c>
      <c r="F106" s="83" t="b">
        <v>0</v>
      </c>
      <c r="G106" s="83" t="b">
        <v>0</v>
      </c>
    </row>
    <row r="107" spans="1:7" ht="15">
      <c r="A107" s="84" t="s">
        <v>2810</v>
      </c>
      <c r="B107" s="83">
        <v>6</v>
      </c>
      <c r="C107" s="110">
        <v>0.003135729121499804</v>
      </c>
      <c r="D107" s="83" t="s">
        <v>3362</v>
      </c>
      <c r="E107" s="83" t="b">
        <v>1</v>
      </c>
      <c r="F107" s="83" t="b">
        <v>0</v>
      </c>
      <c r="G107" s="83" t="b">
        <v>0</v>
      </c>
    </row>
    <row r="108" spans="1:7" ht="15">
      <c r="A108" s="84" t="s">
        <v>2811</v>
      </c>
      <c r="B108" s="83">
        <v>6</v>
      </c>
      <c r="C108" s="110">
        <v>0.003135729121499804</v>
      </c>
      <c r="D108" s="83" t="s">
        <v>3362</v>
      </c>
      <c r="E108" s="83" t="b">
        <v>0</v>
      </c>
      <c r="F108" s="83" t="b">
        <v>0</v>
      </c>
      <c r="G108" s="83" t="b">
        <v>0</v>
      </c>
    </row>
    <row r="109" spans="1:7" ht="15">
      <c r="A109" s="84" t="s">
        <v>2812</v>
      </c>
      <c r="B109" s="83">
        <v>6</v>
      </c>
      <c r="C109" s="110">
        <v>0.003135729121499804</v>
      </c>
      <c r="D109" s="83" t="s">
        <v>3362</v>
      </c>
      <c r="E109" s="83" t="b">
        <v>0</v>
      </c>
      <c r="F109" s="83" t="b">
        <v>0</v>
      </c>
      <c r="G109" s="83" t="b">
        <v>0</v>
      </c>
    </row>
    <row r="110" spans="1:7" ht="15">
      <c r="A110" s="84" t="s">
        <v>2813</v>
      </c>
      <c r="B110" s="83">
        <v>6</v>
      </c>
      <c r="C110" s="110">
        <v>0.003135729121499804</v>
      </c>
      <c r="D110" s="83" t="s">
        <v>3362</v>
      </c>
      <c r="E110" s="83" t="b">
        <v>1</v>
      </c>
      <c r="F110" s="83" t="b">
        <v>0</v>
      </c>
      <c r="G110" s="83" t="b">
        <v>0</v>
      </c>
    </row>
    <row r="111" spans="1:7" ht="15">
      <c r="A111" s="84" t="s">
        <v>2814</v>
      </c>
      <c r="B111" s="83">
        <v>6</v>
      </c>
      <c r="C111" s="110">
        <v>0.003135729121499804</v>
      </c>
      <c r="D111" s="83" t="s">
        <v>3362</v>
      </c>
      <c r="E111" s="83" t="b">
        <v>0</v>
      </c>
      <c r="F111" s="83" t="b">
        <v>0</v>
      </c>
      <c r="G111" s="83" t="b">
        <v>0</v>
      </c>
    </row>
    <row r="112" spans="1:7" ht="15">
      <c r="A112" s="84" t="s">
        <v>2815</v>
      </c>
      <c r="B112" s="83">
        <v>6</v>
      </c>
      <c r="C112" s="110">
        <v>0.0032535583566897217</v>
      </c>
      <c r="D112" s="83" t="s">
        <v>3362</v>
      </c>
      <c r="E112" s="83" t="b">
        <v>0</v>
      </c>
      <c r="F112" s="83" t="b">
        <v>0</v>
      </c>
      <c r="G112" s="83" t="b">
        <v>0</v>
      </c>
    </row>
    <row r="113" spans="1:7" ht="15">
      <c r="A113" s="84" t="s">
        <v>2816</v>
      </c>
      <c r="B113" s="83">
        <v>6</v>
      </c>
      <c r="C113" s="110">
        <v>0.003135729121499804</v>
      </c>
      <c r="D113" s="83" t="s">
        <v>3362</v>
      </c>
      <c r="E113" s="83" t="b">
        <v>1</v>
      </c>
      <c r="F113" s="83" t="b">
        <v>0</v>
      </c>
      <c r="G113" s="83" t="b">
        <v>0</v>
      </c>
    </row>
    <row r="114" spans="1:7" ht="15">
      <c r="A114" s="84" t="s">
        <v>2817</v>
      </c>
      <c r="B114" s="83">
        <v>6</v>
      </c>
      <c r="C114" s="110">
        <v>0.0032535583566897217</v>
      </c>
      <c r="D114" s="83" t="s">
        <v>3362</v>
      </c>
      <c r="E114" s="83" t="b">
        <v>0</v>
      </c>
      <c r="F114" s="83" t="b">
        <v>0</v>
      </c>
      <c r="G114" s="83" t="b">
        <v>0</v>
      </c>
    </row>
    <row r="115" spans="1:7" ht="15">
      <c r="A115" s="84" t="s">
        <v>2818</v>
      </c>
      <c r="B115" s="83">
        <v>6</v>
      </c>
      <c r="C115" s="110">
        <v>0.003135729121499804</v>
      </c>
      <c r="D115" s="83" t="s">
        <v>3362</v>
      </c>
      <c r="E115" s="83" t="b">
        <v>0</v>
      </c>
      <c r="F115" s="83" t="b">
        <v>0</v>
      </c>
      <c r="G115" s="83" t="b">
        <v>0</v>
      </c>
    </row>
    <row r="116" spans="1:7" ht="15">
      <c r="A116" s="84" t="s">
        <v>2819</v>
      </c>
      <c r="B116" s="83">
        <v>6</v>
      </c>
      <c r="C116" s="110">
        <v>0.0033977696855707583</v>
      </c>
      <c r="D116" s="83" t="s">
        <v>3362</v>
      </c>
      <c r="E116" s="83" t="b">
        <v>0</v>
      </c>
      <c r="F116" s="83" t="b">
        <v>0</v>
      </c>
      <c r="G116" s="83" t="b">
        <v>0</v>
      </c>
    </row>
    <row r="117" spans="1:7" ht="15">
      <c r="A117" s="84" t="s">
        <v>2820</v>
      </c>
      <c r="B117" s="83">
        <v>6</v>
      </c>
      <c r="C117" s="110">
        <v>0.0032535583566897217</v>
      </c>
      <c r="D117" s="83" t="s">
        <v>3362</v>
      </c>
      <c r="E117" s="83" t="b">
        <v>0</v>
      </c>
      <c r="F117" s="83" t="b">
        <v>0</v>
      </c>
      <c r="G117" s="83" t="b">
        <v>0</v>
      </c>
    </row>
    <row r="118" spans="1:7" ht="15">
      <c r="A118" s="84" t="s">
        <v>2821</v>
      </c>
      <c r="B118" s="83">
        <v>6</v>
      </c>
      <c r="C118" s="110">
        <v>0.0033977696855707583</v>
      </c>
      <c r="D118" s="83" t="s">
        <v>3362</v>
      </c>
      <c r="E118" s="83" t="b">
        <v>0</v>
      </c>
      <c r="F118" s="83" t="b">
        <v>1</v>
      </c>
      <c r="G118" s="83" t="b">
        <v>0</v>
      </c>
    </row>
    <row r="119" spans="1:7" ht="15">
      <c r="A119" s="84" t="s">
        <v>2822</v>
      </c>
      <c r="B119" s="83">
        <v>6</v>
      </c>
      <c r="C119" s="110">
        <v>0.003135729121499804</v>
      </c>
      <c r="D119" s="83" t="s">
        <v>3362</v>
      </c>
      <c r="E119" s="83" t="b">
        <v>0</v>
      </c>
      <c r="F119" s="83" t="b">
        <v>0</v>
      </c>
      <c r="G119" s="83" t="b">
        <v>0</v>
      </c>
    </row>
    <row r="120" spans="1:7" ht="15">
      <c r="A120" s="84" t="s">
        <v>2823</v>
      </c>
      <c r="B120" s="83">
        <v>6</v>
      </c>
      <c r="C120" s="110">
        <v>0.003135729121499804</v>
      </c>
      <c r="D120" s="83" t="s">
        <v>3362</v>
      </c>
      <c r="E120" s="83" t="b">
        <v>0</v>
      </c>
      <c r="F120" s="83" t="b">
        <v>0</v>
      </c>
      <c r="G120" s="83" t="b">
        <v>0</v>
      </c>
    </row>
    <row r="121" spans="1:7" ht="15">
      <c r="A121" s="84" t="s">
        <v>2824</v>
      </c>
      <c r="B121" s="83">
        <v>6</v>
      </c>
      <c r="C121" s="110">
        <v>0.003135729121499804</v>
      </c>
      <c r="D121" s="83" t="s">
        <v>3362</v>
      </c>
      <c r="E121" s="83" t="b">
        <v>0</v>
      </c>
      <c r="F121" s="83" t="b">
        <v>0</v>
      </c>
      <c r="G121" s="83" t="b">
        <v>0</v>
      </c>
    </row>
    <row r="122" spans="1:7" ht="15">
      <c r="A122" s="84" t="s">
        <v>2825</v>
      </c>
      <c r="B122" s="83">
        <v>6</v>
      </c>
      <c r="C122" s="110">
        <v>0.003845730988642159</v>
      </c>
      <c r="D122" s="83" t="s">
        <v>3362</v>
      </c>
      <c r="E122" s="83" t="b">
        <v>0</v>
      </c>
      <c r="F122" s="83" t="b">
        <v>0</v>
      </c>
      <c r="G122" s="83" t="b">
        <v>0</v>
      </c>
    </row>
    <row r="123" spans="1:7" ht="15">
      <c r="A123" s="84" t="s">
        <v>2826</v>
      </c>
      <c r="B123" s="83">
        <v>6</v>
      </c>
      <c r="C123" s="110">
        <v>0.003135729121499804</v>
      </c>
      <c r="D123" s="83" t="s">
        <v>3362</v>
      </c>
      <c r="E123" s="83" t="b">
        <v>0</v>
      </c>
      <c r="F123" s="83" t="b">
        <v>0</v>
      </c>
      <c r="G123" s="83" t="b">
        <v>0</v>
      </c>
    </row>
    <row r="124" spans="1:7" ht="15">
      <c r="A124" s="84" t="s">
        <v>2827</v>
      </c>
      <c r="B124" s="83">
        <v>6</v>
      </c>
      <c r="C124" s="110">
        <v>0.003135729121499804</v>
      </c>
      <c r="D124" s="83" t="s">
        <v>3362</v>
      </c>
      <c r="E124" s="83" t="b">
        <v>0</v>
      </c>
      <c r="F124" s="83" t="b">
        <v>0</v>
      </c>
      <c r="G124" s="83" t="b">
        <v>0</v>
      </c>
    </row>
    <row r="125" spans="1:7" ht="15">
      <c r="A125" s="84" t="s">
        <v>2828</v>
      </c>
      <c r="B125" s="83">
        <v>6</v>
      </c>
      <c r="C125" s="110">
        <v>0.003135729121499804</v>
      </c>
      <c r="D125" s="83" t="s">
        <v>3362</v>
      </c>
      <c r="E125" s="83" t="b">
        <v>0</v>
      </c>
      <c r="F125" s="83" t="b">
        <v>0</v>
      </c>
      <c r="G125" s="83" t="b">
        <v>0</v>
      </c>
    </row>
    <row r="126" spans="1:7" ht="15">
      <c r="A126" s="84" t="s">
        <v>2829</v>
      </c>
      <c r="B126" s="83">
        <v>5</v>
      </c>
      <c r="C126" s="110">
        <v>0.002831474737975632</v>
      </c>
      <c r="D126" s="83" t="s">
        <v>3362</v>
      </c>
      <c r="E126" s="83" t="b">
        <v>0</v>
      </c>
      <c r="F126" s="83" t="b">
        <v>0</v>
      </c>
      <c r="G126" s="83" t="b">
        <v>0</v>
      </c>
    </row>
    <row r="127" spans="1:7" ht="15">
      <c r="A127" s="84" t="s">
        <v>2830</v>
      </c>
      <c r="B127" s="83">
        <v>5</v>
      </c>
      <c r="C127" s="110">
        <v>0.002831474737975632</v>
      </c>
      <c r="D127" s="83" t="s">
        <v>3362</v>
      </c>
      <c r="E127" s="83" t="b">
        <v>0</v>
      </c>
      <c r="F127" s="83" t="b">
        <v>0</v>
      </c>
      <c r="G127" s="83" t="b">
        <v>0</v>
      </c>
    </row>
    <row r="128" spans="1:7" ht="15">
      <c r="A128" s="84" t="s">
        <v>2831</v>
      </c>
      <c r="B128" s="83">
        <v>5</v>
      </c>
      <c r="C128" s="110">
        <v>0.0027112986305747678</v>
      </c>
      <c r="D128" s="83" t="s">
        <v>3362</v>
      </c>
      <c r="E128" s="83" t="b">
        <v>1</v>
      </c>
      <c r="F128" s="83" t="b">
        <v>0</v>
      </c>
      <c r="G128" s="83" t="b">
        <v>0</v>
      </c>
    </row>
    <row r="129" spans="1:7" ht="15">
      <c r="A129" s="84" t="s">
        <v>2832</v>
      </c>
      <c r="B129" s="83">
        <v>5</v>
      </c>
      <c r="C129" s="110">
        <v>0.002831474737975632</v>
      </c>
      <c r="D129" s="83" t="s">
        <v>3362</v>
      </c>
      <c r="E129" s="83" t="b">
        <v>0</v>
      </c>
      <c r="F129" s="83" t="b">
        <v>0</v>
      </c>
      <c r="G129" s="83" t="b">
        <v>0</v>
      </c>
    </row>
    <row r="130" spans="1:7" ht="15">
      <c r="A130" s="84" t="s">
        <v>2833</v>
      </c>
      <c r="B130" s="83">
        <v>5</v>
      </c>
      <c r="C130" s="110">
        <v>0.002831474737975632</v>
      </c>
      <c r="D130" s="83" t="s">
        <v>3362</v>
      </c>
      <c r="E130" s="83" t="b">
        <v>0</v>
      </c>
      <c r="F130" s="83" t="b">
        <v>0</v>
      </c>
      <c r="G130" s="83" t="b">
        <v>0</v>
      </c>
    </row>
    <row r="131" spans="1:7" ht="15">
      <c r="A131" s="84" t="s">
        <v>2834</v>
      </c>
      <c r="B131" s="83">
        <v>5</v>
      </c>
      <c r="C131" s="110">
        <v>0.002831474737975632</v>
      </c>
      <c r="D131" s="83" t="s">
        <v>3362</v>
      </c>
      <c r="E131" s="83" t="b">
        <v>0</v>
      </c>
      <c r="F131" s="83" t="b">
        <v>0</v>
      </c>
      <c r="G131" s="83" t="b">
        <v>0</v>
      </c>
    </row>
    <row r="132" spans="1:7" ht="15">
      <c r="A132" s="84" t="s">
        <v>2835</v>
      </c>
      <c r="B132" s="83">
        <v>5</v>
      </c>
      <c r="C132" s="110">
        <v>0.0027112986305747678</v>
      </c>
      <c r="D132" s="83" t="s">
        <v>3362</v>
      </c>
      <c r="E132" s="83" t="b">
        <v>0</v>
      </c>
      <c r="F132" s="83" t="b">
        <v>0</v>
      </c>
      <c r="G132" s="83" t="b">
        <v>0</v>
      </c>
    </row>
    <row r="133" spans="1:7" ht="15">
      <c r="A133" s="84" t="s">
        <v>2836</v>
      </c>
      <c r="B133" s="83">
        <v>5</v>
      </c>
      <c r="C133" s="110">
        <v>0.0027112986305747678</v>
      </c>
      <c r="D133" s="83" t="s">
        <v>3362</v>
      </c>
      <c r="E133" s="83" t="b">
        <v>0</v>
      </c>
      <c r="F133" s="83" t="b">
        <v>0</v>
      </c>
      <c r="G133" s="83" t="b">
        <v>0</v>
      </c>
    </row>
    <row r="134" spans="1:7" ht="15">
      <c r="A134" s="84" t="s">
        <v>2837</v>
      </c>
      <c r="B134" s="83">
        <v>5</v>
      </c>
      <c r="C134" s="110">
        <v>0.0027112986305747678</v>
      </c>
      <c r="D134" s="83" t="s">
        <v>3362</v>
      </c>
      <c r="E134" s="83" t="b">
        <v>0</v>
      </c>
      <c r="F134" s="83" t="b">
        <v>0</v>
      </c>
      <c r="G134" s="83" t="b">
        <v>0</v>
      </c>
    </row>
    <row r="135" spans="1:7" ht="15">
      <c r="A135" s="84" t="s">
        <v>2838</v>
      </c>
      <c r="B135" s="83">
        <v>5</v>
      </c>
      <c r="C135" s="110">
        <v>0.002831474737975632</v>
      </c>
      <c r="D135" s="83" t="s">
        <v>3362</v>
      </c>
      <c r="E135" s="83" t="b">
        <v>0</v>
      </c>
      <c r="F135" s="83" t="b">
        <v>0</v>
      </c>
      <c r="G135" s="83" t="b">
        <v>0</v>
      </c>
    </row>
    <row r="136" spans="1:7" ht="15">
      <c r="A136" s="84" t="s">
        <v>2839</v>
      </c>
      <c r="B136" s="83">
        <v>5</v>
      </c>
      <c r="C136" s="110">
        <v>0.002831474737975632</v>
      </c>
      <c r="D136" s="83" t="s">
        <v>3362</v>
      </c>
      <c r="E136" s="83" t="b">
        <v>0</v>
      </c>
      <c r="F136" s="83" t="b">
        <v>0</v>
      </c>
      <c r="G136" s="83" t="b">
        <v>0</v>
      </c>
    </row>
    <row r="137" spans="1:7" ht="15">
      <c r="A137" s="84" t="s">
        <v>2840</v>
      </c>
      <c r="B137" s="83">
        <v>5</v>
      </c>
      <c r="C137" s="110">
        <v>0.0027112986305747678</v>
      </c>
      <c r="D137" s="83" t="s">
        <v>3362</v>
      </c>
      <c r="E137" s="83" t="b">
        <v>0</v>
      </c>
      <c r="F137" s="83" t="b">
        <v>0</v>
      </c>
      <c r="G137" s="83" t="b">
        <v>0</v>
      </c>
    </row>
    <row r="138" spans="1:7" ht="15">
      <c r="A138" s="84" t="s">
        <v>2841</v>
      </c>
      <c r="B138" s="83">
        <v>5</v>
      </c>
      <c r="C138" s="110">
        <v>0.002831474737975632</v>
      </c>
      <c r="D138" s="83" t="s">
        <v>3362</v>
      </c>
      <c r="E138" s="83" t="b">
        <v>0</v>
      </c>
      <c r="F138" s="83" t="b">
        <v>0</v>
      </c>
      <c r="G138" s="83" t="b">
        <v>0</v>
      </c>
    </row>
    <row r="139" spans="1:7" ht="15">
      <c r="A139" s="84" t="s">
        <v>2842</v>
      </c>
      <c r="B139" s="83">
        <v>5</v>
      </c>
      <c r="C139" s="110">
        <v>0.0027112986305747678</v>
      </c>
      <c r="D139" s="83" t="s">
        <v>3362</v>
      </c>
      <c r="E139" s="83" t="b">
        <v>0</v>
      </c>
      <c r="F139" s="83" t="b">
        <v>0</v>
      </c>
      <c r="G139" s="83" t="b">
        <v>0</v>
      </c>
    </row>
    <row r="140" spans="1:7" ht="15">
      <c r="A140" s="84" t="s">
        <v>2843</v>
      </c>
      <c r="B140" s="83">
        <v>5</v>
      </c>
      <c r="C140" s="110">
        <v>0.002831474737975632</v>
      </c>
      <c r="D140" s="83" t="s">
        <v>3362</v>
      </c>
      <c r="E140" s="83" t="b">
        <v>0</v>
      </c>
      <c r="F140" s="83" t="b">
        <v>0</v>
      </c>
      <c r="G140" s="83" t="b">
        <v>0</v>
      </c>
    </row>
    <row r="141" spans="1:7" ht="15">
      <c r="A141" s="84" t="s">
        <v>2844</v>
      </c>
      <c r="B141" s="83">
        <v>5</v>
      </c>
      <c r="C141" s="110">
        <v>0.0027112986305747678</v>
      </c>
      <c r="D141" s="83" t="s">
        <v>3362</v>
      </c>
      <c r="E141" s="83" t="b">
        <v>1</v>
      </c>
      <c r="F141" s="83" t="b">
        <v>0</v>
      </c>
      <c r="G141" s="83" t="b">
        <v>0</v>
      </c>
    </row>
    <row r="142" spans="1:7" ht="15">
      <c r="A142" s="84" t="s">
        <v>2845</v>
      </c>
      <c r="B142" s="83">
        <v>5</v>
      </c>
      <c r="C142" s="110">
        <v>0.0027112986305747678</v>
      </c>
      <c r="D142" s="83" t="s">
        <v>3362</v>
      </c>
      <c r="E142" s="83" t="b">
        <v>0</v>
      </c>
      <c r="F142" s="83" t="b">
        <v>0</v>
      </c>
      <c r="G142" s="83" t="b">
        <v>0</v>
      </c>
    </row>
    <row r="143" spans="1:7" ht="15">
      <c r="A143" s="84" t="s">
        <v>2846</v>
      </c>
      <c r="B143" s="83">
        <v>5</v>
      </c>
      <c r="C143" s="110">
        <v>0.0027112986305747678</v>
      </c>
      <c r="D143" s="83" t="s">
        <v>3362</v>
      </c>
      <c r="E143" s="83" t="b">
        <v>0</v>
      </c>
      <c r="F143" s="83" t="b">
        <v>0</v>
      </c>
      <c r="G143" s="83" t="b">
        <v>0</v>
      </c>
    </row>
    <row r="144" spans="1:7" ht="15">
      <c r="A144" s="84" t="s">
        <v>2847</v>
      </c>
      <c r="B144" s="83">
        <v>5</v>
      </c>
      <c r="C144" s="110">
        <v>0.0035780769097612996</v>
      </c>
      <c r="D144" s="83" t="s">
        <v>3362</v>
      </c>
      <c r="E144" s="83" t="b">
        <v>0</v>
      </c>
      <c r="F144" s="83" t="b">
        <v>0</v>
      </c>
      <c r="G144" s="83" t="b">
        <v>0</v>
      </c>
    </row>
    <row r="145" spans="1:7" ht="15">
      <c r="A145" s="84" t="s">
        <v>2848</v>
      </c>
      <c r="B145" s="83">
        <v>5</v>
      </c>
      <c r="C145" s="110">
        <v>0.002831474737975632</v>
      </c>
      <c r="D145" s="83" t="s">
        <v>3362</v>
      </c>
      <c r="E145" s="83" t="b">
        <v>0</v>
      </c>
      <c r="F145" s="83" t="b">
        <v>0</v>
      </c>
      <c r="G145" s="83" t="b">
        <v>0</v>
      </c>
    </row>
    <row r="146" spans="1:7" ht="15">
      <c r="A146" s="84" t="s">
        <v>2849</v>
      </c>
      <c r="B146" s="83">
        <v>5</v>
      </c>
      <c r="C146" s="110">
        <v>0.0027112986305747678</v>
      </c>
      <c r="D146" s="83" t="s">
        <v>3362</v>
      </c>
      <c r="E146" s="83" t="b">
        <v>0</v>
      </c>
      <c r="F146" s="83" t="b">
        <v>0</v>
      </c>
      <c r="G146" s="83" t="b">
        <v>0</v>
      </c>
    </row>
    <row r="147" spans="1:7" ht="15">
      <c r="A147" s="84" t="s">
        <v>2850</v>
      </c>
      <c r="B147" s="83">
        <v>5</v>
      </c>
      <c r="C147" s="110">
        <v>0.0027112986305747678</v>
      </c>
      <c r="D147" s="83" t="s">
        <v>3362</v>
      </c>
      <c r="E147" s="83" t="b">
        <v>0</v>
      </c>
      <c r="F147" s="83" t="b">
        <v>0</v>
      </c>
      <c r="G147" s="83" t="b">
        <v>0</v>
      </c>
    </row>
    <row r="148" spans="1:7" ht="15">
      <c r="A148" s="84" t="s">
        <v>2851</v>
      </c>
      <c r="B148" s="83">
        <v>5</v>
      </c>
      <c r="C148" s="110">
        <v>0.0027112986305747678</v>
      </c>
      <c r="D148" s="83" t="s">
        <v>3362</v>
      </c>
      <c r="E148" s="83" t="b">
        <v>0</v>
      </c>
      <c r="F148" s="83" t="b">
        <v>0</v>
      </c>
      <c r="G148" s="83" t="b">
        <v>0</v>
      </c>
    </row>
    <row r="149" spans="1:7" ht="15">
      <c r="A149" s="84" t="s">
        <v>2852</v>
      </c>
      <c r="B149" s="83">
        <v>5</v>
      </c>
      <c r="C149" s="110">
        <v>0.0027112986305747678</v>
      </c>
      <c r="D149" s="83" t="s">
        <v>3362</v>
      </c>
      <c r="E149" s="83" t="b">
        <v>0</v>
      </c>
      <c r="F149" s="83" t="b">
        <v>0</v>
      </c>
      <c r="G149" s="83" t="b">
        <v>0</v>
      </c>
    </row>
    <row r="150" spans="1:7" ht="15">
      <c r="A150" s="84" t="s">
        <v>2853</v>
      </c>
      <c r="B150" s="83">
        <v>5</v>
      </c>
      <c r="C150" s="110">
        <v>0.0027112986305747678</v>
      </c>
      <c r="D150" s="83" t="s">
        <v>3362</v>
      </c>
      <c r="E150" s="83" t="b">
        <v>0</v>
      </c>
      <c r="F150" s="83" t="b">
        <v>0</v>
      </c>
      <c r="G150" s="83" t="b">
        <v>0</v>
      </c>
    </row>
    <row r="151" spans="1:7" ht="15">
      <c r="A151" s="84" t="s">
        <v>2854</v>
      </c>
      <c r="B151" s="83">
        <v>5</v>
      </c>
      <c r="C151" s="110">
        <v>0.0027112986305747678</v>
      </c>
      <c r="D151" s="83" t="s">
        <v>3362</v>
      </c>
      <c r="E151" s="83" t="b">
        <v>0</v>
      </c>
      <c r="F151" s="83" t="b">
        <v>0</v>
      </c>
      <c r="G151" s="83" t="b">
        <v>0</v>
      </c>
    </row>
    <row r="152" spans="1:7" ht="15">
      <c r="A152" s="84" t="s">
        <v>2855</v>
      </c>
      <c r="B152" s="83">
        <v>5</v>
      </c>
      <c r="C152" s="110">
        <v>0.0035780769097612996</v>
      </c>
      <c r="D152" s="83" t="s">
        <v>3362</v>
      </c>
      <c r="E152" s="83" t="b">
        <v>0</v>
      </c>
      <c r="F152" s="83" t="b">
        <v>0</v>
      </c>
      <c r="G152" s="83" t="b">
        <v>0</v>
      </c>
    </row>
    <row r="153" spans="1:7" ht="15">
      <c r="A153" s="84" t="s">
        <v>2856</v>
      </c>
      <c r="B153" s="83">
        <v>4</v>
      </c>
      <c r="C153" s="110">
        <v>0.0022651797903805054</v>
      </c>
      <c r="D153" s="83" t="s">
        <v>3362</v>
      </c>
      <c r="E153" s="83" t="b">
        <v>0</v>
      </c>
      <c r="F153" s="83" t="b">
        <v>0</v>
      </c>
      <c r="G153" s="83" t="b">
        <v>0</v>
      </c>
    </row>
    <row r="154" spans="1:7" ht="15">
      <c r="A154" s="84" t="s">
        <v>2857</v>
      </c>
      <c r="B154" s="83">
        <v>4</v>
      </c>
      <c r="C154" s="110">
        <v>0.0022651797903805054</v>
      </c>
      <c r="D154" s="83" t="s">
        <v>3362</v>
      </c>
      <c r="E154" s="83" t="b">
        <v>0</v>
      </c>
      <c r="F154" s="83" t="b">
        <v>0</v>
      </c>
      <c r="G154" s="83" t="b">
        <v>0</v>
      </c>
    </row>
    <row r="155" spans="1:7" ht="15">
      <c r="A155" s="84" t="s">
        <v>2858</v>
      </c>
      <c r="B155" s="83">
        <v>4</v>
      </c>
      <c r="C155" s="110">
        <v>0.0023891269497141364</v>
      </c>
      <c r="D155" s="83" t="s">
        <v>3362</v>
      </c>
      <c r="E155" s="83" t="b">
        <v>0</v>
      </c>
      <c r="F155" s="83" t="b">
        <v>0</v>
      </c>
      <c r="G155" s="83" t="b">
        <v>0</v>
      </c>
    </row>
    <row r="156" spans="1:7" ht="15">
      <c r="A156" s="84" t="s">
        <v>2859</v>
      </c>
      <c r="B156" s="83">
        <v>4</v>
      </c>
      <c r="C156" s="110">
        <v>0.0023891269497141364</v>
      </c>
      <c r="D156" s="83" t="s">
        <v>3362</v>
      </c>
      <c r="E156" s="83" t="b">
        <v>0</v>
      </c>
      <c r="F156" s="83" t="b">
        <v>0</v>
      </c>
      <c r="G156" s="83" t="b">
        <v>0</v>
      </c>
    </row>
    <row r="157" spans="1:7" ht="15">
      <c r="A157" s="84" t="s">
        <v>2860</v>
      </c>
      <c r="B157" s="83">
        <v>4</v>
      </c>
      <c r="C157" s="110">
        <v>0.0022651797903805054</v>
      </c>
      <c r="D157" s="83" t="s">
        <v>3362</v>
      </c>
      <c r="E157" s="83" t="b">
        <v>0</v>
      </c>
      <c r="F157" s="83" t="b">
        <v>0</v>
      </c>
      <c r="G157" s="83" t="b">
        <v>0</v>
      </c>
    </row>
    <row r="158" spans="1:7" ht="15">
      <c r="A158" s="84" t="s">
        <v>2861</v>
      </c>
      <c r="B158" s="83">
        <v>4</v>
      </c>
      <c r="C158" s="110">
        <v>0.0023891269497141364</v>
      </c>
      <c r="D158" s="83" t="s">
        <v>3362</v>
      </c>
      <c r="E158" s="83" t="b">
        <v>0</v>
      </c>
      <c r="F158" s="83" t="b">
        <v>1</v>
      </c>
      <c r="G158" s="83" t="b">
        <v>0</v>
      </c>
    </row>
    <row r="159" spans="1:7" ht="15">
      <c r="A159" s="84" t="s">
        <v>2862</v>
      </c>
      <c r="B159" s="83">
        <v>4</v>
      </c>
      <c r="C159" s="110">
        <v>0.0022651797903805054</v>
      </c>
      <c r="D159" s="83" t="s">
        <v>3362</v>
      </c>
      <c r="E159" s="83" t="b">
        <v>0</v>
      </c>
      <c r="F159" s="83" t="b">
        <v>1</v>
      </c>
      <c r="G159" s="83" t="b">
        <v>0</v>
      </c>
    </row>
    <row r="160" spans="1:7" ht="15">
      <c r="A160" s="84" t="s">
        <v>2863</v>
      </c>
      <c r="B160" s="83">
        <v>4</v>
      </c>
      <c r="C160" s="110">
        <v>0.0022651797903805054</v>
      </c>
      <c r="D160" s="83" t="s">
        <v>3362</v>
      </c>
      <c r="E160" s="83" t="b">
        <v>0</v>
      </c>
      <c r="F160" s="83" t="b">
        <v>1</v>
      </c>
      <c r="G160" s="83" t="b">
        <v>0</v>
      </c>
    </row>
    <row r="161" spans="1:7" ht="15">
      <c r="A161" s="84" t="s">
        <v>2864</v>
      </c>
      <c r="B161" s="83">
        <v>4</v>
      </c>
      <c r="C161" s="110">
        <v>0.0022651797903805054</v>
      </c>
      <c r="D161" s="83" t="s">
        <v>3362</v>
      </c>
      <c r="E161" s="83" t="b">
        <v>0</v>
      </c>
      <c r="F161" s="83" t="b">
        <v>0</v>
      </c>
      <c r="G161" s="83" t="b">
        <v>0</v>
      </c>
    </row>
    <row r="162" spans="1:7" ht="15">
      <c r="A162" s="84" t="s">
        <v>2865</v>
      </c>
      <c r="B162" s="83">
        <v>4</v>
      </c>
      <c r="C162" s="110">
        <v>0.0022651797903805054</v>
      </c>
      <c r="D162" s="83" t="s">
        <v>3362</v>
      </c>
      <c r="E162" s="83" t="b">
        <v>0</v>
      </c>
      <c r="F162" s="83" t="b">
        <v>1</v>
      </c>
      <c r="G162" s="83" t="b">
        <v>0</v>
      </c>
    </row>
    <row r="163" spans="1:7" ht="15">
      <c r="A163" s="84" t="s">
        <v>2866</v>
      </c>
      <c r="B163" s="83">
        <v>4</v>
      </c>
      <c r="C163" s="110">
        <v>0.0025638206590947728</v>
      </c>
      <c r="D163" s="83" t="s">
        <v>3362</v>
      </c>
      <c r="E163" s="83" t="b">
        <v>0</v>
      </c>
      <c r="F163" s="83" t="b">
        <v>0</v>
      </c>
      <c r="G163" s="83" t="b">
        <v>0</v>
      </c>
    </row>
    <row r="164" spans="1:7" ht="15">
      <c r="A164" s="84" t="s">
        <v>2867</v>
      </c>
      <c r="B164" s="83">
        <v>4</v>
      </c>
      <c r="C164" s="110">
        <v>0.0022651797903805054</v>
      </c>
      <c r="D164" s="83" t="s">
        <v>3362</v>
      </c>
      <c r="E164" s="83" t="b">
        <v>0</v>
      </c>
      <c r="F164" s="83" t="b">
        <v>1</v>
      </c>
      <c r="G164" s="83" t="b">
        <v>0</v>
      </c>
    </row>
    <row r="165" spans="1:7" ht="15">
      <c r="A165" s="84" t="s">
        <v>2868</v>
      </c>
      <c r="B165" s="83">
        <v>4</v>
      </c>
      <c r="C165" s="110">
        <v>0.0022651797903805054</v>
      </c>
      <c r="D165" s="83" t="s">
        <v>3362</v>
      </c>
      <c r="E165" s="83" t="b">
        <v>0</v>
      </c>
      <c r="F165" s="83" t="b">
        <v>0</v>
      </c>
      <c r="G165" s="83" t="b">
        <v>0</v>
      </c>
    </row>
    <row r="166" spans="1:7" ht="15">
      <c r="A166" s="84" t="s">
        <v>2869</v>
      </c>
      <c r="B166" s="83">
        <v>4</v>
      </c>
      <c r="C166" s="110">
        <v>0.0025638206590947728</v>
      </c>
      <c r="D166" s="83" t="s">
        <v>3362</v>
      </c>
      <c r="E166" s="83" t="b">
        <v>0</v>
      </c>
      <c r="F166" s="83" t="b">
        <v>0</v>
      </c>
      <c r="G166" s="83" t="b">
        <v>0</v>
      </c>
    </row>
    <row r="167" spans="1:7" ht="15">
      <c r="A167" s="84" t="s">
        <v>2870</v>
      </c>
      <c r="B167" s="83">
        <v>4</v>
      </c>
      <c r="C167" s="110">
        <v>0.0022651797903805054</v>
      </c>
      <c r="D167" s="83" t="s">
        <v>3362</v>
      </c>
      <c r="E167" s="83" t="b">
        <v>0</v>
      </c>
      <c r="F167" s="83" t="b">
        <v>1</v>
      </c>
      <c r="G167" s="83" t="b">
        <v>0</v>
      </c>
    </row>
    <row r="168" spans="1:7" ht="15">
      <c r="A168" s="84" t="s">
        <v>2871</v>
      </c>
      <c r="B168" s="83">
        <v>4</v>
      </c>
      <c r="C168" s="110">
        <v>0.0022651797903805054</v>
      </c>
      <c r="D168" s="83" t="s">
        <v>3362</v>
      </c>
      <c r="E168" s="83" t="b">
        <v>0</v>
      </c>
      <c r="F168" s="83" t="b">
        <v>0</v>
      </c>
      <c r="G168" s="83" t="b">
        <v>0</v>
      </c>
    </row>
    <row r="169" spans="1:7" ht="15">
      <c r="A169" s="84" t="s">
        <v>2872</v>
      </c>
      <c r="B169" s="83">
        <v>4</v>
      </c>
      <c r="C169" s="110">
        <v>0.0022651797903805054</v>
      </c>
      <c r="D169" s="83" t="s">
        <v>3362</v>
      </c>
      <c r="E169" s="83" t="b">
        <v>1</v>
      </c>
      <c r="F169" s="83" t="b">
        <v>0</v>
      </c>
      <c r="G169" s="83" t="b">
        <v>0</v>
      </c>
    </row>
    <row r="170" spans="1:7" ht="15">
      <c r="A170" s="84" t="s">
        <v>2873</v>
      </c>
      <c r="B170" s="83">
        <v>4</v>
      </c>
      <c r="C170" s="110">
        <v>0.0022651797903805054</v>
      </c>
      <c r="D170" s="83" t="s">
        <v>3362</v>
      </c>
      <c r="E170" s="83" t="b">
        <v>0</v>
      </c>
      <c r="F170" s="83" t="b">
        <v>0</v>
      </c>
      <c r="G170" s="83" t="b">
        <v>0</v>
      </c>
    </row>
    <row r="171" spans="1:7" ht="15">
      <c r="A171" s="84" t="s">
        <v>2874</v>
      </c>
      <c r="B171" s="83">
        <v>4</v>
      </c>
      <c r="C171" s="110">
        <v>0.0022651797903805054</v>
      </c>
      <c r="D171" s="83" t="s">
        <v>3362</v>
      </c>
      <c r="E171" s="83" t="b">
        <v>0</v>
      </c>
      <c r="F171" s="83" t="b">
        <v>0</v>
      </c>
      <c r="G171" s="83" t="b">
        <v>0</v>
      </c>
    </row>
    <row r="172" spans="1:7" ht="15">
      <c r="A172" s="84" t="s">
        <v>2875</v>
      </c>
      <c r="B172" s="83">
        <v>4</v>
      </c>
      <c r="C172" s="110">
        <v>0.0022651797903805054</v>
      </c>
      <c r="D172" s="83" t="s">
        <v>3362</v>
      </c>
      <c r="E172" s="83" t="b">
        <v>0</v>
      </c>
      <c r="F172" s="83" t="b">
        <v>0</v>
      </c>
      <c r="G172" s="83" t="b">
        <v>0</v>
      </c>
    </row>
    <row r="173" spans="1:7" ht="15">
      <c r="A173" s="84" t="s">
        <v>2876</v>
      </c>
      <c r="B173" s="83">
        <v>4</v>
      </c>
      <c r="C173" s="110">
        <v>0.0022651797903805054</v>
      </c>
      <c r="D173" s="83" t="s">
        <v>3362</v>
      </c>
      <c r="E173" s="83" t="b">
        <v>1</v>
      </c>
      <c r="F173" s="83" t="b">
        <v>0</v>
      </c>
      <c r="G173" s="83" t="b">
        <v>0</v>
      </c>
    </row>
    <row r="174" spans="1:7" ht="15">
      <c r="A174" s="84" t="s">
        <v>2877</v>
      </c>
      <c r="B174" s="83">
        <v>4</v>
      </c>
      <c r="C174" s="110">
        <v>0.0022651797903805054</v>
      </c>
      <c r="D174" s="83" t="s">
        <v>3362</v>
      </c>
      <c r="E174" s="83" t="b">
        <v>1</v>
      </c>
      <c r="F174" s="83" t="b">
        <v>0</v>
      </c>
      <c r="G174" s="83" t="b">
        <v>0</v>
      </c>
    </row>
    <row r="175" spans="1:7" ht="15">
      <c r="A175" s="84" t="s">
        <v>2878</v>
      </c>
      <c r="B175" s="83">
        <v>4</v>
      </c>
      <c r="C175" s="110">
        <v>0.0022651797903805054</v>
      </c>
      <c r="D175" s="83" t="s">
        <v>3362</v>
      </c>
      <c r="E175" s="83" t="b">
        <v>0</v>
      </c>
      <c r="F175" s="83" t="b">
        <v>0</v>
      </c>
      <c r="G175" s="83" t="b">
        <v>0</v>
      </c>
    </row>
    <row r="176" spans="1:7" ht="15">
      <c r="A176" s="84" t="s">
        <v>2879</v>
      </c>
      <c r="B176" s="83">
        <v>4</v>
      </c>
      <c r="C176" s="110">
        <v>0.0022651797903805054</v>
      </c>
      <c r="D176" s="83" t="s">
        <v>3362</v>
      </c>
      <c r="E176" s="83" t="b">
        <v>0</v>
      </c>
      <c r="F176" s="83" t="b">
        <v>1</v>
      </c>
      <c r="G176" s="83" t="b">
        <v>0</v>
      </c>
    </row>
    <row r="177" spans="1:7" ht="15">
      <c r="A177" s="84" t="s">
        <v>2880</v>
      </c>
      <c r="B177" s="83">
        <v>4</v>
      </c>
      <c r="C177" s="110">
        <v>0.0022651797903805054</v>
      </c>
      <c r="D177" s="83" t="s">
        <v>3362</v>
      </c>
      <c r="E177" s="83" t="b">
        <v>0</v>
      </c>
      <c r="F177" s="83" t="b">
        <v>0</v>
      </c>
      <c r="G177" s="83" t="b">
        <v>0</v>
      </c>
    </row>
    <row r="178" spans="1:7" ht="15">
      <c r="A178" s="84" t="s">
        <v>2881</v>
      </c>
      <c r="B178" s="83">
        <v>4</v>
      </c>
      <c r="C178" s="110">
        <v>0.0023891269497141364</v>
      </c>
      <c r="D178" s="83" t="s">
        <v>3362</v>
      </c>
      <c r="E178" s="83" t="b">
        <v>0</v>
      </c>
      <c r="F178" s="83" t="b">
        <v>0</v>
      </c>
      <c r="G178" s="83" t="b">
        <v>0</v>
      </c>
    </row>
    <row r="179" spans="1:7" ht="15">
      <c r="A179" s="84" t="s">
        <v>2882</v>
      </c>
      <c r="B179" s="83">
        <v>4</v>
      </c>
      <c r="C179" s="110">
        <v>0.0023891269497141364</v>
      </c>
      <c r="D179" s="83" t="s">
        <v>3362</v>
      </c>
      <c r="E179" s="83" t="b">
        <v>0</v>
      </c>
      <c r="F179" s="83" t="b">
        <v>0</v>
      </c>
      <c r="G179" s="83" t="b">
        <v>0</v>
      </c>
    </row>
    <row r="180" spans="1:7" ht="15">
      <c r="A180" s="84" t="s">
        <v>2883</v>
      </c>
      <c r="B180" s="83">
        <v>4</v>
      </c>
      <c r="C180" s="110">
        <v>0.0022651797903805054</v>
      </c>
      <c r="D180" s="83" t="s">
        <v>3362</v>
      </c>
      <c r="E180" s="83" t="b">
        <v>0</v>
      </c>
      <c r="F180" s="83" t="b">
        <v>0</v>
      </c>
      <c r="G180" s="83" t="b">
        <v>0</v>
      </c>
    </row>
    <row r="181" spans="1:7" ht="15">
      <c r="A181" s="84" t="s">
        <v>2884</v>
      </c>
      <c r="B181" s="83">
        <v>4</v>
      </c>
      <c r="C181" s="110">
        <v>0.0022651797903805054</v>
      </c>
      <c r="D181" s="83" t="s">
        <v>3362</v>
      </c>
      <c r="E181" s="83" t="b">
        <v>0</v>
      </c>
      <c r="F181" s="83" t="b">
        <v>0</v>
      </c>
      <c r="G181" s="83" t="b">
        <v>0</v>
      </c>
    </row>
    <row r="182" spans="1:7" ht="15">
      <c r="A182" s="84" t="s">
        <v>2885</v>
      </c>
      <c r="B182" s="83">
        <v>4</v>
      </c>
      <c r="C182" s="110">
        <v>0.0022651797903805054</v>
      </c>
      <c r="D182" s="83" t="s">
        <v>3362</v>
      </c>
      <c r="E182" s="83" t="b">
        <v>0</v>
      </c>
      <c r="F182" s="83" t="b">
        <v>0</v>
      </c>
      <c r="G182" s="83" t="b">
        <v>0</v>
      </c>
    </row>
    <row r="183" spans="1:7" ht="15">
      <c r="A183" s="84" t="s">
        <v>2886</v>
      </c>
      <c r="B183" s="83">
        <v>4</v>
      </c>
      <c r="C183" s="110">
        <v>0.0023891269497141364</v>
      </c>
      <c r="D183" s="83" t="s">
        <v>3362</v>
      </c>
      <c r="E183" s="83" t="b">
        <v>0</v>
      </c>
      <c r="F183" s="83" t="b">
        <v>0</v>
      </c>
      <c r="G183" s="83" t="b">
        <v>0</v>
      </c>
    </row>
    <row r="184" spans="1:7" ht="15">
      <c r="A184" s="84" t="s">
        <v>2887</v>
      </c>
      <c r="B184" s="83">
        <v>4</v>
      </c>
      <c r="C184" s="110">
        <v>0.0022651797903805054</v>
      </c>
      <c r="D184" s="83" t="s">
        <v>3362</v>
      </c>
      <c r="E184" s="83" t="b">
        <v>0</v>
      </c>
      <c r="F184" s="83" t="b">
        <v>0</v>
      </c>
      <c r="G184" s="83" t="b">
        <v>0</v>
      </c>
    </row>
    <row r="185" spans="1:7" ht="15">
      <c r="A185" s="84" t="s">
        <v>2888</v>
      </c>
      <c r="B185" s="83">
        <v>4</v>
      </c>
      <c r="C185" s="110">
        <v>0.0022651797903805054</v>
      </c>
      <c r="D185" s="83" t="s">
        <v>3362</v>
      </c>
      <c r="E185" s="83" t="b">
        <v>0</v>
      </c>
      <c r="F185" s="83" t="b">
        <v>0</v>
      </c>
      <c r="G185" s="83" t="b">
        <v>0</v>
      </c>
    </row>
    <row r="186" spans="1:7" ht="15">
      <c r="A186" s="84" t="s">
        <v>2889</v>
      </c>
      <c r="B186" s="83">
        <v>4</v>
      </c>
      <c r="C186" s="110">
        <v>0.0022651797903805054</v>
      </c>
      <c r="D186" s="83" t="s">
        <v>3362</v>
      </c>
      <c r="E186" s="83" t="b">
        <v>0</v>
      </c>
      <c r="F186" s="83" t="b">
        <v>0</v>
      </c>
      <c r="G186" s="83" t="b">
        <v>0</v>
      </c>
    </row>
    <row r="187" spans="1:7" ht="15">
      <c r="A187" s="84" t="s">
        <v>2890</v>
      </c>
      <c r="B187" s="83">
        <v>4</v>
      </c>
      <c r="C187" s="110">
        <v>0.0022651797903805054</v>
      </c>
      <c r="D187" s="83" t="s">
        <v>3362</v>
      </c>
      <c r="E187" s="83" t="b">
        <v>0</v>
      </c>
      <c r="F187" s="83" t="b">
        <v>0</v>
      </c>
      <c r="G187" s="83" t="b">
        <v>0</v>
      </c>
    </row>
    <row r="188" spans="1:7" ht="15">
      <c r="A188" s="84" t="s">
        <v>2891</v>
      </c>
      <c r="B188" s="83">
        <v>4</v>
      </c>
      <c r="C188" s="110">
        <v>0.0023891269497141364</v>
      </c>
      <c r="D188" s="83" t="s">
        <v>3362</v>
      </c>
      <c r="E188" s="83" t="b">
        <v>0</v>
      </c>
      <c r="F188" s="83" t="b">
        <v>1</v>
      </c>
      <c r="G188" s="83" t="b">
        <v>0</v>
      </c>
    </row>
    <row r="189" spans="1:7" ht="15">
      <c r="A189" s="84" t="s">
        <v>2892</v>
      </c>
      <c r="B189" s="83">
        <v>4</v>
      </c>
      <c r="C189" s="110">
        <v>0.0022651797903805054</v>
      </c>
      <c r="D189" s="83" t="s">
        <v>3362</v>
      </c>
      <c r="E189" s="83" t="b">
        <v>0</v>
      </c>
      <c r="F189" s="83" t="b">
        <v>0</v>
      </c>
      <c r="G189" s="83" t="b">
        <v>0</v>
      </c>
    </row>
    <row r="190" spans="1:7" ht="15">
      <c r="A190" s="84" t="s">
        <v>2893</v>
      </c>
      <c r="B190" s="83">
        <v>4</v>
      </c>
      <c r="C190" s="110">
        <v>0.0022651797903805054</v>
      </c>
      <c r="D190" s="83" t="s">
        <v>3362</v>
      </c>
      <c r="E190" s="83" t="b">
        <v>0</v>
      </c>
      <c r="F190" s="83" t="b">
        <v>0</v>
      </c>
      <c r="G190" s="83" t="b">
        <v>0</v>
      </c>
    </row>
    <row r="191" spans="1:7" ht="15">
      <c r="A191" s="84" t="s">
        <v>2894</v>
      </c>
      <c r="B191" s="83">
        <v>4</v>
      </c>
      <c r="C191" s="110">
        <v>0.0022651797903805054</v>
      </c>
      <c r="D191" s="83" t="s">
        <v>3362</v>
      </c>
      <c r="E191" s="83" t="b">
        <v>0</v>
      </c>
      <c r="F191" s="83" t="b">
        <v>0</v>
      </c>
      <c r="G191" s="83" t="b">
        <v>0</v>
      </c>
    </row>
    <row r="192" spans="1:7" ht="15">
      <c r="A192" s="84" t="s">
        <v>2895</v>
      </c>
      <c r="B192" s="83">
        <v>4</v>
      </c>
      <c r="C192" s="110">
        <v>0.0022651797903805054</v>
      </c>
      <c r="D192" s="83" t="s">
        <v>3362</v>
      </c>
      <c r="E192" s="83" t="b">
        <v>0</v>
      </c>
      <c r="F192" s="83" t="b">
        <v>1</v>
      </c>
      <c r="G192" s="83" t="b">
        <v>0</v>
      </c>
    </row>
    <row r="193" spans="1:7" ht="15">
      <c r="A193" s="84" t="s">
        <v>1295</v>
      </c>
      <c r="B193" s="83">
        <v>4</v>
      </c>
      <c r="C193" s="110">
        <v>0.0022651797903805054</v>
      </c>
      <c r="D193" s="83" t="s">
        <v>3362</v>
      </c>
      <c r="E193" s="83" t="b">
        <v>0</v>
      </c>
      <c r="F193" s="83" t="b">
        <v>0</v>
      </c>
      <c r="G193" s="83" t="b">
        <v>0</v>
      </c>
    </row>
    <row r="194" spans="1:7" ht="15">
      <c r="A194" s="84" t="s">
        <v>2896</v>
      </c>
      <c r="B194" s="83">
        <v>4</v>
      </c>
      <c r="C194" s="110">
        <v>0.0022651797903805054</v>
      </c>
      <c r="D194" s="83" t="s">
        <v>3362</v>
      </c>
      <c r="E194" s="83" t="b">
        <v>1</v>
      </c>
      <c r="F194" s="83" t="b">
        <v>0</v>
      </c>
      <c r="G194" s="83" t="b">
        <v>0</v>
      </c>
    </row>
    <row r="195" spans="1:7" ht="15">
      <c r="A195" s="84" t="s">
        <v>2897</v>
      </c>
      <c r="B195" s="83">
        <v>4</v>
      </c>
      <c r="C195" s="110">
        <v>0.0022651797903805054</v>
      </c>
      <c r="D195" s="83" t="s">
        <v>3362</v>
      </c>
      <c r="E195" s="83" t="b">
        <v>0</v>
      </c>
      <c r="F195" s="83" t="b">
        <v>0</v>
      </c>
      <c r="G195" s="83" t="b">
        <v>0</v>
      </c>
    </row>
    <row r="196" spans="1:7" ht="15">
      <c r="A196" s="84" t="s">
        <v>2898</v>
      </c>
      <c r="B196" s="83">
        <v>4</v>
      </c>
      <c r="C196" s="110">
        <v>0.0023891269497141364</v>
      </c>
      <c r="D196" s="83" t="s">
        <v>3362</v>
      </c>
      <c r="E196" s="83" t="b">
        <v>0</v>
      </c>
      <c r="F196" s="83" t="b">
        <v>0</v>
      </c>
      <c r="G196" s="83" t="b">
        <v>0</v>
      </c>
    </row>
    <row r="197" spans="1:7" ht="15">
      <c r="A197" s="84" t="s">
        <v>2899</v>
      </c>
      <c r="B197" s="83">
        <v>4</v>
      </c>
      <c r="C197" s="110">
        <v>0.0023891269497141364</v>
      </c>
      <c r="D197" s="83" t="s">
        <v>3362</v>
      </c>
      <c r="E197" s="83" t="b">
        <v>0</v>
      </c>
      <c r="F197" s="83" t="b">
        <v>1</v>
      </c>
      <c r="G197" s="83" t="b">
        <v>0</v>
      </c>
    </row>
    <row r="198" spans="1:7" ht="15">
      <c r="A198" s="84" t="s">
        <v>2900</v>
      </c>
      <c r="B198" s="83">
        <v>4</v>
      </c>
      <c r="C198" s="110">
        <v>0.0022651797903805054</v>
      </c>
      <c r="D198" s="83" t="s">
        <v>3362</v>
      </c>
      <c r="E198" s="83" t="b">
        <v>0</v>
      </c>
      <c r="F198" s="83" t="b">
        <v>0</v>
      </c>
      <c r="G198" s="83" t="b">
        <v>0</v>
      </c>
    </row>
    <row r="199" spans="1:7" ht="15">
      <c r="A199" s="84" t="s">
        <v>2901</v>
      </c>
      <c r="B199" s="83">
        <v>4</v>
      </c>
      <c r="C199" s="110">
        <v>0.0022651797903805054</v>
      </c>
      <c r="D199" s="83" t="s">
        <v>3362</v>
      </c>
      <c r="E199" s="83" t="b">
        <v>0</v>
      </c>
      <c r="F199" s="83" t="b">
        <v>0</v>
      </c>
      <c r="G199" s="83" t="b">
        <v>0</v>
      </c>
    </row>
    <row r="200" spans="1:7" ht="15">
      <c r="A200" s="84" t="s">
        <v>2902</v>
      </c>
      <c r="B200" s="83">
        <v>4</v>
      </c>
      <c r="C200" s="110">
        <v>0.0023891269497141364</v>
      </c>
      <c r="D200" s="83" t="s">
        <v>3362</v>
      </c>
      <c r="E200" s="83" t="b">
        <v>0</v>
      </c>
      <c r="F200" s="83" t="b">
        <v>0</v>
      </c>
      <c r="G200" s="83" t="b">
        <v>0</v>
      </c>
    </row>
    <row r="201" spans="1:7" ht="15">
      <c r="A201" s="84" t="s">
        <v>2903</v>
      </c>
      <c r="B201" s="83">
        <v>4</v>
      </c>
      <c r="C201" s="110">
        <v>0.0028624615278090397</v>
      </c>
      <c r="D201" s="83" t="s">
        <v>3362</v>
      </c>
      <c r="E201" s="83" t="b">
        <v>0</v>
      </c>
      <c r="F201" s="83" t="b">
        <v>0</v>
      </c>
      <c r="G201" s="83" t="b">
        <v>0</v>
      </c>
    </row>
    <row r="202" spans="1:7" ht="15">
      <c r="A202" s="84" t="s">
        <v>2904</v>
      </c>
      <c r="B202" s="83">
        <v>4</v>
      </c>
      <c r="C202" s="110">
        <v>0.0022651797903805054</v>
      </c>
      <c r="D202" s="83" t="s">
        <v>3362</v>
      </c>
      <c r="E202" s="83" t="b">
        <v>1</v>
      </c>
      <c r="F202" s="83" t="b">
        <v>0</v>
      </c>
      <c r="G202" s="83" t="b">
        <v>0</v>
      </c>
    </row>
    <row r="203" spans="1:7" ht="15">
      <c r="A203" s="84" t="s">
        <v>2905</v>
      </c>
      <c r="B203" s="83">
        <v>4</v>
      </c>
      <c r="C203" s="110">
        <v>0.0023891269497141364</v>
      </c>
      <c r="D203" s="83" t="s">
        <v>3362</v>
      </c>
      <c r="E203" s="83" t="b">
        <v>0</v>
      </c>
      <c r="F203" s="83" t="b">
        <v>0</v>
      </c>
      <c r="G203" s="83" t="b">
        <v>0</v>
      </c>
    </row>
    <row r="204" spans="1:7" ht="15">
      <c r="A204" s="84" t="s">
        <v>2906</v>
      </c>
      <c r="B204" s="83">
        <v>4</v>
      </c>
      <c r="C204" s="110">
        <v>0.0022651797903805054</v>
      </c>
      <c r="D204" s="83" t="s">
        <v>3362</v>
      </c>
      <c r="E204" s="83" t="b">
        <v>0</v>
      </c>
      <c r="F204" s="83" t="b">
        <v>0</v>
      </c>
      <c r="G204" s="83" t="b">
        <v>0</v>
      </c>
    </row>
    <row r="205" spans="1:7" ht="15">
      <c r="A205" s="84" t="s">
        <v>2907</v>
      </c>
      <c r="B205" s="83">
        <v>4</v>
      </c>
      <c r="C205" s="110">
        <v>0.0025638206590947728</v>
      </c>
      <c r="D205" s="83" t="s">
        <v>3362</v>
      </c>
      <c r="E205" s="83" t="b">
        <v>0</v>
      </c>
      <c r="F205" s="83" t="b">
        <v>0</v>
      </c>
      <c r="G205" s="83" t="b">
        <v>0</v>
      </c>
    </row>
    <row r="206" spans="1:7" ht="15">
      <c r="A206" s="84" t="s">
        <v>2908</v>
      </c>
      <c r="B206" s="83">
        <v>4</v>
      </c>
      <c r="C206" s="110">
        <v>0.0023891269497141364</v>
      </c>
      <c r="D206" s="83" t="s">
        <v>3362</v>
      </c>
      <c r="E206" s="83" t="b">
        <v>0</v>
      </c>
      <c r="F206" s="83" t="b">
        <v>0</v>
      </c>
      <c r="G206" s="83" t="b">
        <v>0</v>
      </c>
    </row>
    <row r="207" spans="1:7" ht="15">
      <c r="A207" s="84" t="s">
        <v>2909</v>
      </c>
      <c r="B207" s="83">
        <v>4</v>
      </c>
      <c r="C207" s="110">
        <v>0.0022651797903805054</v>
      </c>
      <c r="D207" s="83" t="s">
        <v>3362</v>
      </c>
      <c r="E207" s="83" t="b">
        <v>0</v>
      </c>
      <c r="F207" s="83" t="b">
        <v>0</v>
      </c>
      <c r="G207" s="83" t="b">
        <v>0</v>
      </c>
    </row>
    <row r="208" spans="1:7" ht="15">
      <c r="A208" s="84" t="s">
        <v>2910</v>
      </c>
      <c r="B208" s="83">
        <v>4</v>
      </c>
      <c r="C208" s="110">
        <v>0.0022651797903805054</v>
      </c>
      <c r="D208" s="83" t="s">
        <v>3362</v>
      </c>
      <c r="E208" s="83" t="b">
        <v>0</v>
      </c>
      <c r="F208" s="83" t="b">
        <v>0</v>
      </c>
      <c r="G208" s="83" t="b">
        <v>0</v>
      </c>
    </row>
    <row r="209" spans="1:7" ht="15">
      <c r="A209" s="84" t="s">
        <v>2911</v>
      </c>
      <c r="B209" s="83">
        <v>4</v>
      </c>
      <c r="C209" s="110">
        <v>0.0028624615278090397</v>
      </c>
      <c r="D209" s="83" t="s">
        <v>3362</v>
      </c>
      <c r="E209" s="83" t="b">
        <v>0</v>
      </c>
      <c r="F209" s="83" t="b">
        <v>0</v>
      </c>
      <c r="G209" s="83" t="b">
        <v>0</v>
      </c>
    </row>
    <row r="210" spans="1:7" ht="15">
      <c r="A210" s="84" t="s">
        <v>1030</v>
      </c>
      <c r="B210" s="83">
        <v>4</v>
      </c>
      <c r="C210" s="110">
        <v>0.0022651797903805054</v>
      </c>
      <c r="D210" s="83" t="s">
        <v>3362</v>
      </c>
      <c r="E210" s="83" t="b">
        <v>1</v>
      </c>
      <c r="F210" s="83" t="b">
        <v>0</v>
      </c>
      <c r="G210" s="83" t="b">
        <v>0</v>
      </c>
    </row>
    <row r="211" spans="1:7" ht="15">
      <c r="A211" s="84" t="s">
        <v>2912</v>
      </c>
      <c r="B211" s="83">
        <v>4</v>
      </c>
      <c r="C211" s="110">
        <v>0.0025638206590947728</v>
      </c>
      <c r="D211" s="83" t="s">
        <v>3362</v>
      </c>
      <c r="E211" s="83" t="b">
        <v>0</v>
      </c>
      <c r="F211" s="83" t="b">
        <v>0</v>
      </c>
      <c r="G211" s="83" t="b">
        <v>0</v>
      </c>
    </row>
    <row r="212" spans="1:7" ht="15">
      <c r="A212" s="84" t="s">
        <v>2913</v>
      </c>
      <c r="B212" s="83">
        <v>4</v>
      </c>
      <c r="C212" s="110">
        <v>0.0022651797903805054</v>
      </c>
      <c r="D212" s="83" t="s">
        <v>3362</v>
      </c>
      <c r="E212" s="83" t="b">
        <v>0</v>
      </c>
      <c r="F212" s="83" t="b">
        <v>0</v>
      </c>
      <c r="G212" s="83" t="b">
        <v>0</v>
      </c>
    </row>
    <row r="213" spans="1:7" ht="15">
      <c r="A213" s="84" t="s">
        <v>2914</v>
      </c>
      <c r="B213" s="83">
        <v>4</v>
      </c>
      <c r="C213" s="110">
        <v>0.0023891269497141364</v>
      </c>
      <c r="D213" s="83" t="s">
        <v>3362</v>
      </c>
      <c r="E213" s="83" t="b">
        <v>0</v>
      </c>
      <c r="F213" s="83" t="b">
        <v>0</v>
      </c>
      <c r="G213" s="83" t="b">
        <v>0</v>
      </c>
    </row>
    <row r="214" spans="1:7" ht="15">
      <c r="A214" s="84" t="s">
        <v>2915</v>
      </c>
      <c r="B214" s="83">
        <v>4</v>
      </c>
      <c r="C214" s="110">
        <v>0.0028624615278090397</v>
      </c>
      <c r="D214" s="83" t="s">
        <v>3362</v>
      </c>
      <c r="E214" s="83" t="b">
        <v>0</v>
      </c>
      <c r="F214" s="83" t="b">
        <v>0</v>
      </c>
      <c r="G214" s="83" t="b">
        <v>0</v>
      </c>
    </row>
    <row r="215" spans="1:7" ht="15">
      <c r="A215" s="84" t="s">
        <v>2916</v>
      </c>
      <c r="B215" s="83">
        <v>4</v>
      </c>
      <c r="C215" s="110">
        <v>0.0022651797903805054</v>
      </c>
      <c r="D215" s="83" t="s">
        <v>3362</v>
      </c>
      <c r="E215" s="83" t="b">
        <v>0</v>
      </c>
      <c r="F215" s="83" t="b">
        <v>0</v>
      </c>
      <c r="G215" s="83" t="b">
        <v>0</v>
      </c>
    </row>
    <row r="216" spans="1:7" ht="15">
      <c r="A216" s="84" t="s">
        <v>2917</v>
      </c>
      <c r="B216" s="83">
        <v>4</v>
      </c>
      <c r="C216" s="110">
        <v>0.0022651797903805054</v>
      </c>
      <c r="D216" s="83" t="s">
        <v>3362</v>
      </c>
      <c r="E216" s="83" t="b">
        <v>0</v>
      </c>
      <c r="F216" s="83" t="b">
        <v>0</v>
      </c>
      <c r="G216" s="83" t="b">
        <v>0</v>
      </c>
    </row>
    <row r="217" spans="1:7" ht="15">
      <c r="A217" s="84" t="s">
        <v>2918</v>
      </c>
      <c r="B217" s="83">
        <v>4</v>
      </c>
      <c r="C217" s="110">
        <v>0.0022651797903805054</v>
      </c>
      <c r="D217" s="83" t="s">
        <v>3362</v>
      </c>
      <c r="E217" s="83" t="b">
        <v>0</v>
      </c>
      <c r="F217" s="83" t="b">
        <v>0</v>
      </c>
      <c r="G217" s="83" t="b">
        <v>0</v>
      </c>
    </row>
    <row r="218" spans="1:7" ht="15">
      <c r="A218" s="84" t="s">
        <v>2919</v>
      </c>
      <c r="B218" s="83">
        <v>4</v>
      </c>
      <c r="C218" s="110">
        <v>0.0022651797903805054</v>
      </c>
      <c r="D218" s="83" t="s">
        <v>3362</v>
      </c>
      <c r="E218" s="83" t="b">
        <v>0</v>
      </c>
      <c r="F218" s="83" t="b">
        <v>0</v>
      </c>
      <c r="G218" s="83" t="b">
        <v>0</v>
      </c>
    </row>
    <row r="219" spans="1:7" ht="15">
      <c r="A219" s="84" t="s">
        <v>2920</v>
      </c>
      <c r="B219" s="83">
        <v>3</v>
      </c>
      <c r="C219" s="110">
        <v>0.0017918452122856023</v>
      </c>
      <c r="D219" s="83" t="s">
        <v>3362</v>
      </c>
      <c r="E219" s="83" t="b">
        <v>0</v>
      </c>
      <c r="F219" s="83" t="b">
        <v>0</v>
      </c>
      <c r="G219" s="83" t="b">
        <v>0</v>
      </c>
    </row>
    <row r="220" spans="1:7" ht="15">
      <c r="A220" s="84" t="s">
        <v>2921</v>
      </c>
      <c r="B220" s="83">
        <v>3</v>
      </c>
      <c r="C220" s="110">
        <v>0.0019228654943210795</v>
      </c>
      <c r="D220" s="83" t="s">
        <v>3362</v>
      </c>
      <c r="E220" s="83" t="b">
        <v>0</v>
      </c>
      <c r="F220" s="83" t="b">
        <v>0</v>
      </c>
      <c r="G220" s="83" t="b">
        <v>0</v>
      </c>
    </row>
    <row r="221" spans="1:7" ht="15">
      <c r="A221" s="84" t="s">
        <v>2922</v>
      </c>
      <c r="B221" s="83">
        <v>3</v>
      </c>
      <c r="C221" s="110">
        <v>0.0021468461458567798</v>
      </c>
      <c r="D221" s="83" t="s">
        <v>3362</v>
      </c>
      <c r="E221" s="83" t="b">
        <v>0</v>
      </c>
      <c r="F221" s="83" t="b">
        <v>0</v>
      </c>
      <c r="G221" s="83" t="b">
        <v>0</v>
      </c>
    </row>
    <row r="222" spans="1:7" ht="15">
      <c r="A222" s="84" t="s">
        <v>2923</v>
      </c>
      <c r="B222" s="83">
        <v>3</v>
      </c>
      <c r="C222" s="110">
        <v>0.0017918452122856023</v>
      </c>
      <c r="D222" s="83" t="s">
        <v>3362</v>
      </c>
      <c r="E222" s="83" t="b">
        <v>0</v>
      </c>
      <c r="F222" s="83" t="b">
        <v>0</v>
      </c>
      <c r="G222" s="83" t="b">
        <v>0</v>
      </c>
    </row>
    <row r="223" spans="1:7" ht="15">
      <c r="A223" s="84" t="s">
        <v>2924</v>
      </c>
      <c r="B223" s="83">
        <v>3</v>
      </c>
      <c r="C223" s="110">
        <v>0.0017918452122856023</v>
      </c>
      <c r="D223" s="83" t="s">
        <v>3362</v>
      </c>
      <c r="E223" s="83" t="b">
        <v>0</v>
      </c>
      <c r="F223" s="83" t="b">
        <v>0</v>
      </c>
      <c r="G223" s="83" t="b">
        <v>0</v>
      </c>
    </row>
    <row r="224" spans="1:7" ht="15">
      <c r="A224" s="84" t="s">
        <v>2925</v>
      </c>
      <c r="B224" s="83">
        <v>3</v>
      </c>
      <c r="C224" s="110">
        <v>0.0017918452122856023</v>
      </c>
      <c r="D224" s="83" t="s">
        <v>3362</v>
      </c>
      <c r="E224" s="83" t="b">
        <v>0</v>
      </c>
      <c r="F224" s="83" t="b">
        <v>0</v>
      </c>
      <c r="G224" s="83" t="b">
        <v>0</v>
      </c>
    </row>
    <row r="225" spans="1:7" ht="15">
      <c r="A225" s="84" t="s">
        <v>2926</v>
      </c>
      <c r="B225" s="83">
        <v>3</v>
      </c>
      <c r="C225" s="110">
        <v>0.0021468461458567798</v>
      </c>
      <c r="D225" s="83" t="s">
        <v>3362</v>
      </c>
      <c r="E225" s="83" t="b">
        <v>0</v>
      </c>
      <c r="F225" s="83" t="b">
        <v>0</v>
      </c>
      <c r="G225" s="83" t="b">
        <v>0</v>
      </c>
    </row>
    <row r="226" spans="1:7" ht="15">
      <c r="A226" s="84" t="s">
        <v>2927</v>
      </c>
      <c r="B226" s="83">
        <v>3</v>
      </c>
      <c r="C226" s="110">
        <v>0.0017918452122856023</v>
      </c>
      <c r="D226" s="83" t="s">
        <v>3362</v>
      </c>
      <c r="E226" s="83" t="b">
        <v>0</v>
      </c>
      <c r="F226" s="83" t="b">
        <v>0</v>
      </c>
      <c r="G226" s="83" t="b">
        <v>0</v>
      </c>
    </row>
    <row r="227" spans="1:7" ht="15">
      <c r="A227" s="84" t="s">
        <v>2928</v>
      </c>
      <c r="B227" s="83">
        <v>3</v>
      </c>
      <c r="C227" s="110">
        <v>0.0017918452122856023</v>
      </c>
      <c r="D227" s="83" t="s">
        <v>3362</v>
      </c>
      <c r="E227" s="83" t="b">
        <v>0</v>
      </c>
      <c r="F227" s="83" t="b">
        <v>0</v>
      </c>
      <c r="G227" s="83" t="b">
        <v>0</v>
      </c>
    </row>
    <row r="228" spans="1:7" ht="15">
      <c r="A228" s="84" t="s">
        <v>2929</v>
      </c>
      <c r="B228" s="83">
        <v>3</v>
      </c>
      <c r="C228" s="110">
        <v>0.0017918452122856023</v>
      </c>
      <c r="D228" s="83" t="s">
        <v>3362</v>
      </c>
      <c r="E228" s="83" t="b">
        <v>0</v>
      </c>
      <c r="F228" s="83" t="b">
        <v>0</v>
      </c>
      <c r="G228" s="83" t="b">
        <v>0</v>
      </c>
    </row>
    <row r="229" spans="1:7" ht="15">
      <c r="A229" s="84" t="s">
        <v>2930</v>
      </c>
      <c r="B229" s="83">
        <v>3</v>
      </c>
      <c r="C229" s="110">
        <v>0.0017918452122856023</v>
      </c>
      <c r="D229" s="83" t="s">
        <v>3362</v>
      </c>
      <c r="E229" s="83" t="b">
        <v>0</v>
      </c>
      <c r="F229" s="83" t="b">
        <v>0</v>
      </c>
      <c r="G229" s="83" t="b">
        <v>0</v>
      </c>
    </row>
    <row r="230" spans="1:7" ht="15">
      <c r="A230" s="84" t="s">
        <v>2931</v>
      </c>
      <c r="B230" s="83">
        <v>3</v>
      </c>
      <c r="C230" s="110">
        <v>0.0017918452122856023</v>
      </c>
      <c r="D230" s="83" t="s">
        <v>3362</v>
      </c>
      <c r="E230" s="83" t="b">
        <v>0</v>
      </c>
      <c r="F230" s="83" t="b">
        <v>0</v>
      </c>
      <c r="G230" s="83" t="b">
        <v>0</v>
      </c>
    </row>
    <row r="231" spans="1:7" ht="15">
      <c r="A231" s="84" t="s">
        <v>2932</v>
      </c>
      <c r="B231" s="83">
        <v>3</v>
      </c>
      <c r="C231" s="110">
        <v>0.0017918452122856023</v>
      </c>
      <c r="D231" s="83" t="s">
        <v>3362</v>
      </c>
      <c r="E231" s="83" t="b">
        <v>0</v>
      </c>
      <c r="F231" s="83" t="b">
        <v>0</v>
      </c>
      <c r="G231" s="83" t="b">
        <v>0</v>
      </c>
    </row>
    <row r="232" spans="1:7" ht="15">
      <c r="A232" s="84" t="s">
        <v>2933</v>
      </c>
      <c r="B232" s="83">
        <v>3</v>
      </c>
      <c r="C232" s="110">
        <v>0.0017918452122856023</v>
      </c>
      <c r="D232" s="83" t="s">
        <v>3362</v>
      </c>
      <c r="E232" s="83" t="b">
        <v>0</v>
      </c>
      <c r="F232" s="83" t="b">
        <v>0</v>
      </c>
      <c r="G232" s="83" t="b">
        <v>0</v>
      </c>
    </row>
    <row r="233" spans="1:7" ht="15">
      <c r="A233" s="84" t="s">
        <v>2934</v>
      </c>
      <c r="B233" s="83">
        <v>3</v>
      </c>
      <c r="C233" s="110">
        <v>0.0017918452122856023</v>
      </c>
      <c r="D233" s="83" t="s">
        <v>3362</v>
      </c>
      <c r="E233" s="83" t="b">
        <v>0</v>
      </c>
      <c r="F233" s="83" t="b">
        <v>0</v>
      </c>
      <c r="G233" s="83" t="b">
        <v>0</v>
      </c>
    </row>
    <row r="234" spans="1:7" ht="15">
      <c r="A234" s="84" t="s">
        <v>2935</v>
      </c>
      <c r="B234" s="83">
        <v>3</v>
      </c>
      <c r="C234" s="110">
        <v>0.0017918452122856023</v>
      </c>
      <c r="D234" s="83" t="s">
        <v>3362</v>
      </c>
      <c r="E234" s="83" t="b">
        <v>0</v>
      </c>
      <c r="F234" s="83" t="b">
        <v>0</v>
      </c>
      <c r="G234" s="83" t="b">
        <v>0</v>
      </c>
    </row>
    <row r="235" spans="1:7" ht="15">
      <c r="A235" s="84" t="s">
        <v>2936</v>
      </c>
      <c r="B235" s="83">
        <v>3</v>
      </c>
      <c r="C235" s="110">
        <v>0.0017918452122856023</v>
      </c>
      <c r="D235" s="83" t="s">
        <v>3362</v>
      </c>
      <c r="E235" s="83" t="b">
        <v>0</v>
      </c>
      <c r="F235" s="83" t="b">
        <v>0</v>
      </c>
      <c r="G235" s="83" t="b">
        <v>0</v>
      </c>
    </row>
    <row r="236" spans="1:7" ht="15">
      <c r="A236" s="84" t="s">
        <v>2937</v>
      </c>
      <c r="B236" s="83">
        <v>3</v>
      </c>
      <c r="C236" s="110">
        <v>0.0017918452122856023</v>
      </c>
      <c r="D236" s="83" t="s">
        <v>3362</v>
      </c>
      <c r="E236" s="83" t="b">
        <v>0</v>
      </c>
      <c r="F236" s="83" t="b">
        <v>0</v>
      </c>
      <c r="G236" s="83" t="b">
        <v>0</v>
      </c>
    </row>
    <row r="237" spans="1:7" ht="15">
      <c r="A237" s="84" t="s">
        <v>2938</v>
      </c>
      <c r="B237" s="83">
        <v>3</v>
      </c>
      <c r="C237" s="110">
        <v>0.0017918452122856023</v>
      </c>
      <c r="D237" s="83" t="s">
        <v>3362</v>
      </c>
      <c r="E237" s="83" t="b">
        <v>0</v>
      </c>
      <c r="F237" s="83" t="b">
        <v>1</v>
      </c>
      <c r="G237" s="83" t="b">
        <v>0</v>
      </c>
    </row>
    <row r="238" spans="1:7" ht="15">
      <c r="A238" s="84" t="s">
        <v>2939</v>
      </c>
      <c r="B238" s="83">
        <v>3</v>
      </c>
      <c r="C238" s="110">
        <v>0.0017918452122856023</v>
      </c>
      <c r="D238" s="83" t="s">
        <v>3362</v>
      </c>
      <c r="E238" s="83" t="b">
        <v>0</v>
      </c>
      <c r="F238" s="83" t="b">
        <v>0</v>
      </c>
      <c r="G238" s="83" t="b">
        <v>0</v>
      </c>
    </row>
    <row r="239" spans="1:7" ht="15">
      <c r="A239" s="84" t="s">
        <v>2940</v>
      </c>
      <c r="B239" s="83">
        <v>3</v>
      </c>
      <c r="C239" s="110">
        <v>0.0017918452122856023</v>
      </c>
      <c r="D239" s="83" t="s">
        <v>3362</v>
      </c>
      <c r="E239" s="83" t="b">
        <v>0</v>
      </c>
      <c r="F239" s="83" t="b">
        <v>0</v>
      </c>
      <c r="G239" s="83" t="b">
        <v>0</v>
      </c>
    </row>
    <row r="240" spans="1:7" ht="15">
      <c r="A240" s="84" t="s">
        <v>2941</v>
      </c>
      <c r="B240" s="83">
        <v>3</v>
      </c>
      <c r="C240" s="110">
        <v>0.0017918452122856023</v>
      </c>
      <c r="D240" s="83" t="s">
        <v>3362</v>
      </c>
      <c r="E240" s="83" t="b">
        <v>0</v>
      </c>
      <c r="F240" s="83" t="b">
        <v>0</v>
      </c>
      <c r="G240" s="83" t="b">
        <v>0</v>
      </c>
    </row>
    <row r="241" spans="1:7" ht="15">
      <c r="A241" s="84" t="s">
        <v>2942</v>
      </c>
      <c r="B241" s="83">
        <v>3</v>
      </c>
      <c r="C241" s="110">
        <v>0.0021468461458567798</v>
      </c>
      <c r="D241" s="83" t="s">
        <v>3362</v>
      </c>
      <c r="E241" s="83" t="b">
        <v>0</v>
      </c>
      <c r="F241" s="83" t="b">
        <v>0</v>
      </c>
      <c r="G241" s="83" t="b">
        <v>0</v>
      </c>
    </row>
    <row r="242" spans="1:7" ht="15">
      <c r="A242" s="84" t="s">
        <v>2943</v>
      </c>
      <c r="B242" s="83">
        <v>3</v>
      </c>
      <c r="C242" s="110">
        <v>0.0017918452122856023</v>
      </c>
      <c r="D242" s="83" t="s">
        <v>3362</v>
      </c>
      <c r="E242" s="83" t="b">
        <v>0</v>
      </c>
      <c r="F242" s="83" t="b">
        <v>0</v>
      </c>
      <c r="G242" s="83" t="b">
        <v>0</v>
      </c>
    </row>
    <row r="243" spans="1:7" ht="15">
      <c r="A243" s="84" t="s">
        <v>2944</v>
      </c>
      <c r="B243" s="83">
        <v>3</v>
      </c>
      <c r="C243" s="110">
        <v>0.0017918452122856023</v>
      </c>
      <c r="D243" s="83" t="s">
        <v>3362</v>
      </c>
      <c r="E243" s="83" t="b">
        <v>0</v>
      </c>
      <c r="F243" s="83" t="b">
        <v>0</v>
      </c>
      <c r="G243" s="83" t="b">
        <v>0</v>
      </c>
    </row>
    <row r="244" spans="1:7" ht="15">
      <c r="A244" s="84" t="s">
        <v>2945</v>
      </c>
      <c r="B244" s="83">
        <v>3</v>
      </c>
      <c r="C244" s="110">
        <v>0.0019228654943210795</v>
      </c>
      <c r="D244" s="83" t="s">
        <v>3362</v>
      </c>
      <c r="E244" s="83" t="b">
        <v>0</v>
      </c>
      <c r="F244" s="83" t="b">
        <v>0</v>
      </c>
      <c r="G244" s="83" t="b">
        <v>0</v>
      </c>
    </row>
    <row r="245" spans="1:7" ht="15">
      <c r="A245" s="84" t="s">
        <v>2946</v>
      </c>
      <c r="B245" s="83">
        <v>3</v>
      </c>
      <c r="C245" s="110">
        <v>0.0019228654943210795</v>
      </c>
      <c r="D245" s="83" t="s">
        <v>3362</v>
      </c>
      <c r="E245" s="83" t="b">
        <v>0</v>
      </c>
      <c r="F245" s="83" t="b">
        <v>0</v>
      </c>
      <c r="G245" s="83" t="b">
        <v>0</v>
      </c>
    </row>
    <row r="246" spans="1:7" ht="15">
      <c r="A246" s="84" t="s">
        <v>2947</v>
      </c>
      <c r="B246" s="83">
        <v>3</v>
      </c>
      <c r="C246" s="110">
        <v>0.0017918452122856023</v>
      </c>
      <c r="D246" s="83" t="s">
        <v>3362</v>
      </c>
      <c r="E246" s="83" t="b">
        <v>0</v>
      </c>
      <c r="F246" s="83" t="b">
        <v>0</v>
      </c>
      <c r="G246" s="83" t="b">
        <v>0</v>
      </c>
    </row>
    <row r="247" spans="1:7" ht="15">
      <c r="A247" s="84" t="s">
        <v>2948</v>
      </c>
      <c r="B247" s="83">
        <v>3</v>
      </c>
      <c r="C247" s="110">
        <v>0.0017918452122856023</v>
      </c>
      <c r="D247" s="83" t="s">
        <v>3362</v>
      </c>
      <c r="E247" s="83" t="b">
        <v>0</v>
      </c>
      <c r="F247" s="83" t="b">
        <v>0</v>
      </c>
      <c r="G247" s="83" t="b">
        <v>0</v>
      </c>
    </row>
    <row r="248" spans="1:7" ht="15">
      <c r="A248" s="84" t="s">
        <v>2949</v>
      </c>
      <c r="B248" s="83">
        <v>3</v>
      </c>
      <c r="C248" s="110">
        <v>0.0017918452122856023</v>
      </c>
      <c r="D248" s="83" t="s">
        <v>3362</v>
      </c>
      <c r="E248" s="83" t="b">
        <v>0</v>
      </c>
      <c r="F248" s="83" t="b">
        <v>0</v>
      </c>
      <c r="G248" s="83" t="b">
        <v>0</v>
      </c>
    </row>
    <row r="249" spans="1:7" ht="15">
      <c r="A249" s="84" t="s">
        <v>2950</v>
      </c>
      <c r="B249" s="83">
        <v>3</v>
      </c>
      <c r="C249" s="110">
        <v>0.0017918452122856023</v>
      </c>
      <c r="D249" s="83" t="s">
        <v>3362</v>
      </c>
      <c r="E249" s="83" t="b">
        <v>1</v>
      </c>
      <c r="F249" s="83" t="b">
        <v>0</v>
      </c>
      <c r="G249" s="83" t="b">
        <v>0</v>
      </c>
    </row>
    <row r="250" spans="1:7" ht="15">
      <c r="A250" s="84" t="s">
        <v>2951</v>
      </c>
      <c r="B250" s="83">
        <v>3</v>
      </c>
      <c r="C250" s="110">
        <v>0.0019228654943210795</v>
      </c>
      <c r="D250" s="83" t="s">
        <v>3362</v>
      </c>
      <c r="E250" s="83" t="b">
        <v>0</v>
      </c>
      <c r="F250" s="83" t="b">
        <v>0</v>
      </c>
      <c r="G250" s="83" t="b">
        <v>0</v>
      </c>
    </row>
    <row r="251" spans="1:7" ht="15">
      <c r="A251" s="84" t="s">
        <v>2952</v>
      </c>
      <c r="B251" s="83">
        <v>3</v>
      </c>
      <c r="C251" s="110">
        <v>0.0017918452122856023</v>
      </c>
      <c r="D251" s="83" t="s">
        <v>3362</v>
      </c>
      <c r="E251" s="83" t="b">
        <v>0</v>
      </c>
      <c r="F251" s="83" t="b">
        <v>0</v>
      </c>
      <c r="G251" s="83" t="b">
        <v>0</v>
      </c>
    </row>
    <row r="252" spans="1:7" ht="15">
      <c r="A252" s="84" t="s">
        <v>2953</v>
      </c>
      <c r="B252" s="83">
        <v>3</v>
      </c>
      <c r="C252" s="110">
        <v>0.0017918452122856023</v>
      </c>
      <c r="D252" s="83" t="s">
        <v>3362</v>
      </c>
      <c r="E252" s="83" t="b">
        <v>0</v>
      </c>
      <c r="F252" s="83" t="b">
        <v>0</v>
      </c>
      <c r="G252" s="83" t="b">
        <v>0</v>
      </c>
    </row>
    <row r="253" spans="1:7" ht="15">
      <c r="A253" s="84" t="s">
        <v>2954</v>
      </c>
      <c r="B253" s="83">
        <v>3</v>
      </c>
      <c r="C253" s="110">
        <v>0.0017918452122856023</v>
      </c>
      <c r="D253" s="83" t="s">
        <v>3362</v>
      </c>
      <c r="E253" s="83" t="b">
        <v>0</v>
      </c>
      <c r="F253" s="83" t="b">
        <v>0</v>
      </c>
      <c r="G253" s="83" t="b">
        <v>0</v>
      </c>
    </row>
    <row r="254" spans="1:7" ht="15">
      <c r="A254" s="84" t="s">
        <v>2955</v>
      </c>
      <c r="B254" s="83">
        <v>3</v>
      </c>
      <c r="C254" s="110">
        <v>0.0017918452122856023</v>
      </c>
      <c r="D254" s="83" t="s">
        <v>3362</v>
      </c>
      <c r="E254" s="83" t="b">
        <v>0</v>
      </c>
      <c r="F254" s="83" t="b">
        <v>0</v>
      </c>
      <c r="G254" s="83" t="b">
        <v>0</v>
      </c>
    </row>
    <row r="255" spans="1:7" ht="15">
      <c r="A255" s="84" t="s">
        <v>2956</v>
      </c>
      <c r="B255" s="83">
        <v>3</v>
      </c>
      <c r="C255" s="110">
        <v>0.0017918452122856023</v>
      </c>
      <c r="D255" s="83" t="s">
        <v>3362</v>
      </c>
      <c r="E255" s="83" t="b">
        <v>0</v>
      </c>
      <c r="F255" s="83" t="b">
        <v>0</v>
      </c>
      <c r="G255" s="83" t="b">
        <v>0</v>
      </c>
    </row>
    <row r="256" spans="1:7" ht="15">
      <c r="A256" s="84" t="s">
        <v>2957</v>
      </c>
      <c r="B256" s="83">
        <v>3</v>
      </c>
      <c r="C256" s="110">
        <v>0.0017918452122856023</v>
      </c>
      <c r="D256" s="83" t="s">
        <v>3362</v>
      </c>
      <c r="E256" s="83" t="b">
        <v>0</v>
      </c>
      <c r="F256" s="83" t="b">
        <v>0</v>
      </c>
      <c r="G256" s="83" t="b">
        <v>0</v>
      </c>
    </row>
    <row r="257" spans="1:7" ht="15">
      <c r="A257" s="84" t="s">
        <v>2958</v>
      </c>
      <c r="B257" s="83">
        <v>3</v>
      </c>
      <c r="C257" s="110">
        <v>0.0017918452122856023</v>
      </c>
      <c r="D257" s="83" t="s">
        <v>3362</v>
      </c>
      <c r="E257" s="83" t="b">
        <v>1</v>
      </c>
      <c r="F257" s="83" t="b">
        <v>0</v>
      </c>
      <c r="G257" s="83" t="b">
        <v>0</v>
      </c>
    </row>
    <row r="258" spans="1:7" ht="15">
      <c r="A258" s="84" t="s">
        <v>2959</v>
      </c>
      <c r="B258" s="83">
        <v>3</v>
      </c>
      <c r="C258" s="110">
        <v>0.0017918452122856023</v>
      </c>
      <c r="D258" s="83" t="s">
        <v>3362</v>
      </c>
      <c r="E258" s="83" t="b">
        <v>1</v>
      </c>
      <c r="F258" s="83" t="b">
        <v>0</v>
      </c>
      <c r="G258" s="83" t="b">
        <v>0</v>
      </c>
    </row>
    <row r="259" spans="1:7" ht="15">
      <c r="A259" s="84" t="s">
        <v>2960</v>
      </c>
      <c r="B259" s="83">
        <v>3</v>
      </c>
      <c r="C259" s="110">
        <v>0.0017918452122856023</v>
      </c>
      <c r="D259" s="83" t="s">
        <v>3362</v>
      </c>
      <c r="E259" s="83" t="b">
        <v>0</v>
      </c>
      <c r="F259" s="83" t="b">
        <v>0</v>
      </c>
      <c r="G259" s="83" t="b">
        <v>0</v>
      </c>
    </row>
    <row r="260" spans="1:7" ht="15">
      <c r="A260" s="84" t="s">
        <v>2961</v>
      </c>
      <c r="B260" s="83">
        <v>3</v>
      </c>
      <c r="C260" s="110">
        <v>0.0019228654943210795</v>
      </c>
      <c r="D260" s="83" t="s">
        <v>3362</v>
      </c>
      <c r="E260" s="83" t="b">
        <v>0</v>
      </c>
      <c r="F260" s="83" t="b">
        <v>0</v>
      </c>
      <c r="G260" s="83" t="b">
        <v>0</v>
      </c>
    </row>
    <row r="261" spans="1:7" ht="15">
      <c r="A261" s="84" t="s">
        <v>2962</v>
      </c>
      <c r="B261" s="83">
        <v>3</v>
      </c>
      <c r="C261" s="110">
        <v>0.0017918452122856023</v>
      </c>
      <c r="D261" s="83" t="s">
        <v>3362</v>
      </c>
      <c r="E261" s="83" t="b">
        <v>0</v>
      </c>
      <c r="F261" s="83" t="b">
        <v>0</v>
      </c>
      <c r="G261" s="83" t="b">
        <v>0</v>
      </c>
    </row>
    <row r="262" spans="1:7" ht="15">
      <c r="A262" s="84" t="s">
        <v>1019</v>
      </c>
      <c r="B262" s="83">
        <v>3</v>
      </c>
      <c r="C262" s="110">
        <v>0.0017918452122856023</v>
      </c>
      <c r="D262" s="83" t="s">
        <v>3362</v>
      </c>
      <c r="E262" s="83" t="b">
        <v>0</v>
      </c>
      <c r="F262" s="83" t="b">
        <v>0</v>
      </c>
      <c r="G262" s="83" t="b">
        <v>0</v>
      </c>
    </row>
    <row r="263" spans="1:7" ht="15">
      <c r="A263" s="84" t="s">
        <v>2963</v>
      </c>
      <c r="B263" s="83">
        <v>3</v>
      </c>
      <c r="C263" s="110">
        <v>0.0017918452122856023</v>
      </c>
      <c r="D263" s="83" t="s">
        <v>3362</v>
      </c>
      <c r="E263" s="83" t="b">
        <v>0</v>
      </c>
      <c r="F263" s="83" t="b">
        <v>0</v>
      </c>
      <c r="G263" s="83" t="b">
        <v>0</v>
      </c>
    </row>
    <row r="264" spans="1:7" ht="15">
      <c r="A264" s="84" t="s">
        <v>2964</v>
      </c>
      <c r="B264" s="83">
        <v>3</v>
      </c>
      <c r="C264" s="110">
        <v>0.0019228654943210795</v>
      </c>
      <c r="D264" s="83" t="s">
        <v>3362</v>
      </c>
      <c r="E264" s="83" t="b">
        <v>0</v>
      </c>
      <c r="F264" s="83" t="b">
        <v>0</v>
      </c>
      <c r="G264" s="83" t="b">
        <v>0</v>
      </c>
    </row>
    <row r="265" spans="1:7" ht="15">
      <c r="A265" s="84" t="s">
        <v>2965</v>
      </c>
      <c r="B265" s="83">
        <v>3</v>
      </c>
      <c r="C265" s="110">
        <v>0.0017918452122856023</v>
      </c>
      <c r="D265" s="83" t="s">
        <v>3362</v>
      </c>
      <c r="E265" s="83" t="b">
        <v>0</v>
      </c>
      <c r="F265" s="83" t="b">
        <v>0</v>
      </c>
      <c r="G265" s="83" t="b">
        <v>0</v>
      </c>
    </row>
    <row r="266" spans="1:7" ht="15">
      <c r="A266" s="84" t="s">
        <v>2966</v>
      </c>
      <c r="B266" s="83">
        <v>3</v>
      </c>
      <c r="C266" s="110">
        <v>0.0017918452122856023</v>
      </c>
      <c r="D266" s="83" t="s">
        <v>3362</v>
      </c>
      <c r="E266" s="83" t="b">
        <v>1</v>
      </c>
      <c r="F266" s="83" t="b">
        <v>0</v>
      </c>
      <c r="G266" s="83" t="b">
        <v>0</v>
      </c>
    </row>
    <row r="267" spans="1:7" ht="15">
      <c r="A267" s="84" t="s">
        <v>2967</v>
      </c>
      <c r="B267" s="83">
        <v>3</v>
      </c>
      <c r="C267" s="110">
        <v>0.0017918452122856023</v>
      </c>
      <c r="D267" s="83" t="s">
        <v>3362</v>
      </c>
      <c r="E267" s="83" t="b">
        <v>0</v>
      </c>
      <c r="F267" s="83" t="b">
        <v>0</v>
      </c>
      <c r="G267" s="83" t="b">
        <v>0</v>
      </c>
    </row>
    <row r="268" spans="1:7" ht="15">
      <c r="A268" s="84" t="s">
        <v>2968</v>
      </c>
      <c r="B268" s="83">
        <v>3</v>
      </c>
      <c r="C268" s="110">
        <v>0.0017918452122856023</v>
      </c>
      <c r="D268" s="83" t="s">
        <v>3362</v>
      </c>
      <c r="E268" s="83" t="b">
        <v>0</v>
      </c>
      <c r="F268" s="83" t="b">
        <v>0</v>
      </c>
      <c r="G268" s="83" t="b">
        <v>0</v>
      </c>
    </row>
    <row r="269" spans="1:7" ht="15">
      <c r="A269" s="84" t="s">
        <v>2969</v>
      </c>
      <c r="B269" s="83">
        <v>3</v>
      </c>
      <c r="C269" s="110">
        <v>0.0017918452122856023</v>
      </c>
      <c r="D269" s="83" t="s">
        <v>3362</v>
      </c>
      <c r="E269" s="83" t="b">
        <v>0</v>
      </c>
      <c r="F269" s="83" t="b">
        <v>1</v>
      </c>
      <c r="G269" s="83" t="b">
        <v>0</v>
      </c>
    </row>
    <row r="270" spans="1:7" ht="15">
      <c r="A270" s="84" t="s">
        <v>2970</v>
      </c>
      <c r="B270" s="83">
        <v>3</v>
      </c>
      <c r="C270" s="110">
        <v>0.0017918452122856023</v>
      </c>
      <c r="D270" s="83" t="s">
        <v>3362</v>
      </c>
      <c r="E270" s="83" t="b">
        <v>0</v>
      </c>
      <c r="F270" s="83" t="b">
        <v>0</v>
      </c>
      <c r="G270" s="83" t="b">
        <v>0</v>
      </c>
    </row>
    <row r="271" spans="1:7" ht="15">
      <c r="A271" s="84" t="s">
        <v>2971</v>
      </c>
      <c r="B271" s="83">
        <v>3</v>
      </c>
      <c r="C271" s="110">
        <v>0.0017918452122856023</v>
      </c>
      <c r="D271" s="83" t="s">
        <v>3362</v>
      </c>
      <c r="E271" s="83" t="b">
        <v>0</v>
      </c>
      <c r="F271" s="83" t="b">
        <v>1</v>
      </c>
      <c r="G271" s="83" t="b">
        <v>0</v>
      </c>
    </row>
    <row r="272" spans="1:7" ht="15">
      <c r="A272" s="84" t="s">
        <v>2972</v>
      </c>
      <c r="B272" s="83">
        <v>3</v>
      </c>
      <c r="C272" s="110">
        <v>0.0017918452122856023</v>
      </c>
      <c r="D272" s="83" t="s">
        <v>3362</v>
      </c>
      <c r="E272" s="83" t="b">
        <v>0</v>
      </c>
      <c r="F272" s="83" t="b">
        <v>0</v>
      </c>
      <c r="G272" s="83" t="b">
        <v>0</v>
      </c>
    </row>
    <row r="273" spans="1:7" ht="15">
      <c r="A273" s="84" t="s">
        <v>2973</v>
      </c>
      <c r="B273" s="83">
        <v>3</v>
      </c>
      <c r="C273" s="110">
        <v>0.0017918452122856023</v>
      </c>
      <c r="D273" s="83" t="s">
        <v>3362</v>
      </c>
      <c r="E273" s="83" t="b">
        <v>0</v>
      </c>
      <c r="F273" s="83" t="b">
        <v>0</v>
      </c>
      <c r="G273" s="83" t="b">
        <v>0</v>
      </c>
    </row>
    <row r="274" spans="1:7" ht="15">
      <c r="A274" s="84" t="s">
        <v>2974</v>
      </c>
      <c r="B274" s="83">
        <v>3</v>
      </c>
      <c r="C274" s="110">
        <v>0.0017918452122856023</v>
      </c>
      <c r="D274" s="83" t="s">
        <v>3362</v>
      </c>
      <c r="E274" s="83" t="b">
        <v>0</v>
      </c>
      <c r="F274" s="83" t="b">
        <v>0</v>
      </c>
      <c r="G274" s="83" t="b">
        <v>0</v>
      </c>
    </row>
    <row r="275" spans="1:7" ht="15">
      <c r="A275" s="84" t="s">
        <v>2975</v>
      </c>
      <c r="B275" s="83">
        <v>3</v>
      </c>
      <c r="C275" s="110">
        <v>0.0017918452122856023</v>
      </c>
      <c r="D275" s="83" t="s">
        <v>3362</v>
      </c>
      <c r="E275" s="83" t="b">
        <v>0</v>
      </c>
      <c r="F275" s="83" t="b">
        <v>0</v>
      </c>
      <c r="G275" s="83" t="b">
        <v>0</v>
      </c>
    </row>
    <row r="276" spans="1:7" ht="15">
      <c r="A276" s="84" t="s">
        <v>2976</v>
      </c>
      <c r="B276" s="83">
        <v>3</v>
      </c>
      <c r="C276" s="110">
        <v>0.0017918452122856023</v>
      </c>
      <c r="D276" s="83" t="s">
        <v>3362</v>
      </c>
      <c r="E276" s="83" t="b">
        <v>0</v>
      </c>
      <c r="F276" s="83" t="b">
        <v>0</v>
      </c>
      <c r="G276" s="83" t="b">
        <v>0</v>
      </c>
    </row>
    <row r="277" spans="1:7" ht="15">
      <c r="A277" s="84" t="s">
        <v>2977</v>
      </c>
      <c r="B277" s="83">
        <v>3</v>
      </c>
      <c r="C277" s="110">
        <v>0.0019228654943210795</v>
      </c>
      <c r="D277" s="83" t="s">
        <v>3362</v>
      </c>
      <c r="E277" s="83" t="b">
        <v>0</v>
      </c>
      <c r="F277" s="83" t="b">
        <v>0</v>
      </c>
      <c r="G277" s="83" t="b">
        <v>0</v>
      </c>
    </row>
    <row r="278" spans="1:7" ht="15">
      <c r="A278" s="84" t="s">
        <v>2978</v>
      </c>
      <c r="B278" s="83">
        <v>3</v>
      </c>
      <c r="C278" s="110">
        <v>0.0017918452122856023</v>
      </c>
      <c r="D278" s="83" t="s">
        <v>3362</v>
      </c>
      <c r="E278" s="83" t="b">
        <v>0</v>
      </c>
      <c r="F278" s="83" t="b">
        <v>0</v>
      </c>
      <c r="G278" s="83" t="b">
        <v>0</v>
      </c>
    </row>
    <row r="279" spans="1:7" ht="15">
      <c r="A279" s="84" t="s">
        <v>2979</v>
      </c>
      <c r="B279" s="83">
        <v>3</v>
      </c>
      <c r="C279" s="110">
        <v>0.0017918452122856023</v>
      </c>
      <c r="D279" s="83" t="s">
        <v>3362</v>
      </c>
      <c r="E279" s="83" t="b">
        <v>0</v>
      </c>
      <c r="F279" s="83" t="b">
        <v>0</v>
      </c>
      <c r="G279" s="83" t="b">
        <v>0</v>
      </c>
    </row>
    <row r="280" spans="1:7" ht="15">
      <c r="A280" s="84" t="s">
        <v>2980</v>
      </c>
      <c r="B280" s="83">
        <v>3</v>
      </c>
      <c r="C280" s="110">
        <v>0.0017918452122856023</v>
      </c>
      <c r="D280" s="83" t="s">
        <v>3362</v>
      </c>
      <c r="E280" s="83" t="b">
        <v>0</v>
      </c>
      <c r="F280" s="83" t="b">
        <v>1</v>
      </c>
      <c r="G280" s="83" t="b">
        <v>0</v>
      </c>
    </row>
    <row r="281" spans="1:7" ht="15">
      <c r="A281" s="84" t="s">
        <v>2981</v>
      </c>
      <c r="B281" s="83">
        <v>3</v>
      </c>
      <c r="C281" s="110">
        <v>0.0017918452122856023</v>
      </c>
      <c r="D281" s="83" t="s">
        <v>3362</v>
      </c>
      <c r="E281" s="83" t="b">
        <v>0</v>
      </c>
      <c r="F281" s="83" t="b">
        <v>0</v>
      </c>
      <c r="G281" s="83" t="b">
        <v>0</v>
      </c>
    </row>
    <row r="282" spans="1:7" ht="15">
      <c r="A282" s="84" t="s">
        <v>2982</v>
      </c>
      <c r="B282" s="83">
        <v>3</v>
      </c>
      <c r="C282" s="110">
        <v>0.0019228654943210795</v>
      </c>
      <c r="D282" s="83" t="s">
        <v>3362</v>
      </c>
      <c r="E282" s="83" t="b">
        <v>0</v>
      </c>
      <c r="F282" s="83" t="b">
        <v>0</v>
      </c>
      <c r="G282" s="83" t="b">
        <v>0</v>
      </c>
    </row>
    <row r="283" spans="1:7" ht="15">
      <c r="A283" s="84" t="s">
        <v>2983</v>
      </c>
      <c r="B283" s="83">
        <v>3</v>
      </c>
      <c r="C283" s="110">
        <v>0.0019228654943210795</v>
      </c>
      <c r="D283" s="83" t="s">
        <v>3362</v>
      </c>
      <c r="E283" s="83" t="b">
        <v>0</v>
      </c>
      <c r="F283" s="83" t="b">
        <v>0</v>
      </c>
      <c r="G283" s="83" t="b">
        <v>0</v>
      </c>
    </row>
    <row r="284" spans="1:7" ht="15">
      <c r="A284" s="84" t="s">
        <v>2984</v>
      </c>
      <c r="B284" s="83">
        <v>3</v>
      </c>
      <c r="C284" s="110">
        <v>0.0017918452122856023</v>
      </c>
      <c r="D284" s="83" t="s">
        <v>3362</v>
      </c>
      <c r="E284" s="83" t="b">
        <v>0</v>
      </c>
      <c r="F284" s="83" t="b">
        <v>0</v>
      </c>
      <c r="G284" s="83" t="b">
        <v>0</v>
      </c>
    </row>
    <row r="285" spans="1:7" ht="15">
      <c r="A285" s="84" t="s">
        <v>2985</v>
      </c>
      <c r="B285" s="83">
        <v>3</v>
      </c>
      <c r="C285" s="110">
        <v>0.0019228654943210795</v>
      </c>
      <c r="D285" s="83" t="s">
        <v>3362</v>
      </c>
      <c r="E285" s="83" t="b">
        <v>1</v>
      </c>
      <c r="F285" s="83" t="b">
        <v>0</v>
      </c>
      <c r="G285" s="83" t="b">
        <v>0</v>
      </c>
    </row>
    <row r="286" spans="1:7" ht="15">
      <c r="A286" s="84" t="s">
        <v>2986</v>
      </c>
      <c r="B286" s="83">
        <v>3</v>
      </c>
      <c r="C286" s="110">
        <v>0.0017918452122856023</v>
      </c>
      <c r="D286" s="83" t="s">
        <v>3362</v>
      </c>
      <c r="E286" s="83" t="b">
        <v>0</v>
      </c>
      <c r="F286" s="83" t="b">
        <v>0</v>
      </c>
      <c r="G286" s="83" t="b">
        <v>0</v>
      </c>
    </row>
    <row r="287" spans="1:7" ht="15">
      <c r="A287" s="84" t="s">
        <v>2987</v>
      </c>
      <c r="B287" s="83">
        <v>3</v>
      </c>
      <c r="C287" s="110">
        <v>0.0017918452122856023</v>
      </c>
      <c r="D287" s="83" t="s">
        <v>3362</v>
      </c>
      <c r="E287" s="83" t="b">
        <v>0</v>
      </c>
      <c r="F287" s="83" t="b">
        <v>0</v>
      </c>
      <c r="G287" s="83" t="b">
        <v>0</v>
      </c>
    </row>
    <row r="288" spans="1:7" ht="15">
      <c r="A288" s="84" t="s">
        <v>2988</v>
      </c>
      <c r="B288" s="83">
        <v>3</v>
      </c>
      <c r="C288" s="110">
        <v>0.0017918452122856023</v>
      </c>
      <c r="D288" s="83" t="s">
        <v>3362</v>
      </c>
      <c r="E288" s="83" t="b">
        <v>0</v>
      </c>
      <c r="F288" s="83" t="b">
        <v>0</v>
      </c>
      <c r="G288" s="83" t="b">
        <v>0</v>
      </c>
    </row>
    <row r="289" spans="1:7" ht="15">
      <c r="A289" s="84" t="s">
        <v>2989</v>
      </c>
      <c r="B289" s="83">
        <v>3</v>
      </c>
      <c r="C289" s="110">
        <v>0.0017918452122856023</v>
      </c>
      <c r="D289" s="83" t="s">
        <v>3362</v>
      </c>
      <c r="E289" s="83" t="b">
        <v>1</v>
      </c>
      <c r="F289" s="83" t="b">
        <v>0</v>
      </c>
      <c r="G289" s="83" t="b">
        <v>0</v>
      </c>
    </row>
    <row r="290" spans="1:7" ht="15">
      <c r="A290" s="84" t="s">
        <v>2990</v>
      </c>
      <c r="B290" s="83">
        <v>3</v>
      </c>
      <c r="C290" s="110">
        <v>0.0017918452122856023</v>
      </c>
      <c r="D290" s="83" t="s">
        <v>3362</v>
      </c>
      <c r="E290" s="83" t="b">
        <v>0</v>
      </c>
      <c r="F290" s="83" t="b">
        <v>0</v>
      </c>
      <c r="G290" s="83" t="b">
        <v>0</v>
      </c>
    </row>
    <row r="291" spans="1:7" ht="15">
      <c r="A291" s="84" t="s">
        <v>2991</v>
      </c>
      <c r="B291" s="83">
        <v>3</v>
      </c>
      <c r="C291" s="110">
        <v>0.0017918452122856023</v>
      </c>
      <c r="D291" s="83" t="s">
        <v>3362</v>
      </c>
      <c r="E291" s="83" t="b">
        <v>0</v>
      </c>
      <c r="F291" s="83" t="b">
        <v>1</v>
      </c>
      <c r="G291" s="83" t="b">
        <v>0</v>
      </c>
    </row>
    <row r="292" spans="1:7" ht="15">
      <c r="A292" s="84" t="s">
        <v>2992</v>
      </c>
      <c r="B292" s="83">
        <v>3</v>
      </c>
      <c r="C292" s="110">
        <v>0.0017918452122856023</v>
      </c>
      <c r="D292" s="83" t="s">
        <v>3362</v>
      </c>
      <c r="E292" s="83" t="b">
        <v>0</v>
      </c>
      <c r="F292" s="83" t="b">
        <v>0</v>
      </c>
      <c r="G292" s="83" t="b">
        <v>0</v>
      </c>
    </row>
    <row r="293" spans="1:7" ht="15">
      <c r="A293" s="84" t="s">
        <v>2993</v>
      </c>
      <c r="B293" s="83">
        <v>3</v>
      </c>
      <c r="C293" s="110">
        <v>0.0017918452122856023</v>
      </c>
      <c r="D293" s="83" t="s">
        <v>3362</v>
      </c>
      <c r="E293" s="83" t="b">
        <v>0</v>
      </c>
      <c r="F293" s="83" t="b">
        <v>0</v>
      </c>
      <c r="G293" s="83" t="b">
        <v>0</v>
      </c>
    </row>
    <row r="294" spans="1:7" ht="15">
      <c r="A294" s="84" t="s">
        <v>2994</v>
      </c>
      <c r="B294" s="83">
        <v>3</v>
      </c>
      <c r="C294" s="110">
        <v>0.0017918452122856023</v>
      </c>
      <c r="D294" s="83" t="s">
        <v>3362</v>
      </c>
      <c r="E294" s="83" t="b">
        <v>0</v>
      </c>
      <c r="F294" s="83" t="b">
        <v>0</v>
      </c>
      <c r="G294" s="83" t="b">
        <v>0</v>
      </c>
    </row>
    <row r="295" spans="1:7" ht="15">
      <c r="A295" s="84" t="s">
        <v>2995</v>
      </c>
      <c r="B295" s="83">
        <v>3</v>
      </c>
      <c r="C295" s="110">
        <v>0.0017918452122856023</v>
      </c>
      <c r="D295" s="83" t="s">
        <v>3362</v>
      </c>
      <c r="E295" s="83" t="b">
        <v>0</v>
      </c>
      <c r="F295" s="83" t="b">
        <v>1</v>
      </c>
      <c r="G295" s="83" t="b">
        <v>0</v>
      </c>
    </row>
    <row r="296" spans="1:7" ht="15">
      <c r="A296" s="84" t="s">
        <v>2996</v>
      </c>
      <c r="B296" s="83">
        <v>3</v>
      </c>
      <c r="C296" s="110">
        <v>0.0017918452122856023</v>
      </c>
      <c r="D296" s="83" t="s">
        <v>3362</v>
      </c>
      <c r="E296" s="83" t="b">
        <v>0</v>
      </c>
      <c r="F296" s="83" t="b">
        <v>0</v>
      </c>
      <c r="G296" s="83" t="b">
        <v>0</v>
      </c>
    </row>
    <row r="297" spans="1:7" ht="15">
      <c r="A297" s="84" t="s">
        <v>2997</v>
      </c>
      <c r="B297" s="83">
        <v>3</v>
      </c>
      <c r="C297" s="110">
        <v>0.0017918452122856023</v>
      </c>
      <c r="D297" s="83" t="s">
        <v>3362</v>
      </c>
      <c r="E297" s="83" t="b">
        <v>0</v>
      </c>
      <c r="F297" s="83" t="b">
        <v>0</v>
      </c>
      <c r="G297" s="83" t="b">
        <v>0</v>
      </c>
    </row>
    <row r="298" spans="1:7" ht="15">
      <c r="A298" s="84" t="s">
        <v>2998</v>
      </c>
      <c r="B298" s="83">
        <v>3</v>
      </c>
      <c r="C298" s="110">
        <v>0.0017918452122856023</v>
      </c>
      <c r="D298" s="83" t="s">
        <v>3362</v>
      </c>
      <c r="E298" s="83" t="b">
        <v>1</v>
      </c>
      <c r="F298" s="83" t="b">
        <v>0</v>
      </c>
      <c r="G298" s="83" t="b">
        <v>0</v>
      </c>
    </row>
    <row r="299" spans="1:7" ht="15">
      <c r="A299" s="84" t="s">
        <v>2999</v>
      </c>
      <c r="B299" s="83">
        <v>3</v>
      </c>
      <c r="C299" s="110">
        <v>0.0017918452122856023</v>
      </c>
      <c r="D299" s="83" t="s">
        <v>3362</v>
      </c>
      <c r="E299" s="83" t="b">
        <v>0</v>
      </c>
      <c r="F299" s="83" t="b">
        <v>0</v>
      </c>
      <c r="G299" s="83" t="b">
        <v>0</v>
      </c>
    </row>
    <row r="300" spans="1:7" ht="15">
      <c r="A300" s="84" t="s">
        <v>3000</v>
      </c>
      <c r="B300" s="83">
        <v>3</v>
      </c>
      <c r="C300" s="110">
        <v>0.0019228654943210795</v>
      </c>
      <c r="D300" s="83" t="s">
        <v>3362</v>
      </c>
      <c r="E300" s="83" t="b">
        <v>0</v>
      </c>
      <c r="F300" s="83" t="b">
        <v>0</v>
      </c>
      <c r="G300" s="83" t="b">
        <v>0</v>
      </c>
    </row>
    <row r="301" spans="1:7" ht="15">
      <c r="A301" s="84" t="s">
        <v>3001</v>
      </c>
      <c r="B301" s="83">
        <v>3</v>
      </c>
      <c r="C301" s="110">
        <v>0.0017918452122856023</v>
      </c>
      <c r="D301" s="83" t="s">
        <v>3362</v>
      </c>
      <c r="E301" s="83" t="b">
        <v>0</v>
      </c>
      <c r="F301" s="83" t="b">
        <v>0</v>
      </c>
      <c r="G301" s="83" t="b">
        <v>0</v>
      </c>
    </row>
    <row r="302" spans="1:7" ht="15">
      <c r="A302" s="84" t="s">
        <v>3002</v>
      </c>
      <c r="B302" s="83">
        <v>3</v>
      </c>
      <c r="C302" s="110">
        <v>0.0017918452122856023</v>
      </c>
      <c r="D302" s="83" t="s">
        <v>3362</v>
      </c>
      <c r="E302" s="83" t="b">
        <v>0</v>
      </c>
      <c r="F302" s="83" t="b">
        <v>0</v>
      </c>
      <c r="G302" s="83" t="b">
        <v>0</v>
      </c>
    </row>
    <row r="303" spans="1:7" ht="15">
      <c r="A303" s="84" t="s">
        <v>3003</v>
      </c>
      <c r="B303" s="83">
        <v>3</v>
      </c>
      <c r="C303" s="110">
        <v>0.0017918452122856023</v>
      </c>
      <c r="D303" s="83" t="s">
        <v>3362</v>
      </c>
      <c r="E303" s="83" t="b">
        <v>0</v>
      </c>
      <c r="F303" s="83" t="b">
        <v>0</v>
      </c>
      <c r="G303" s="83" t="b">
        <v>0</v>
      </c>
    </row>
    <row r="304" spans="1:7" ht="15">
      <c r="A304" s="84" t="s">
        <v>3004</v>
      </c>
      <c r="B304" s="83">
        <v>3</v>
      </c>
      <c r="C304" s="110">
        <v>0.0017918452122856023</v>
      </c>
      <c r="D304" s="83" t="s">
        <v>3362</v>
      </c>
      <c r="E304" s="83" t="b">
        <v>0</v>
      </c>
      <c r="F304" s="83" t="b">
        <v>0</v>
      </c>
      <c r="G304" s="83" t="b">
        <v>0</v>
      </c>
    </row>
    <row r="305" spans="1:7" ht="15">
      <c r="A305" s="84" t="s">
        <v>3005</v>
      </c>
      <c r="B305" s="83">
        <v>3</v>
      </c>
      <c r="C305" s="110">
        <v>0.0017918452122856023</v>
      </c>
      <c r="D305" s="83" t="s">
        <v>3362</v>
      </c>
      <c r="E305" s="83" t="b">
        <v>1</v>
      </c>
      <c r="F305" s="83" t="b">
        <v>0</v>
      </c>
      <c r="G305" s="83" t="b">
        <v>0</v>
      </c>
    </row>
    <row r="306" spans="1:7" ht="15">
      <c r="A306" s="84" t="s">
        <v>3006</v>
      </c>
      <c r="B306" s="83">
        <v>3</v>
      </c>
      <c r="C306" s="110">
        <v>0.0017918452122856023</v>
      </c>
      <c r="D306" s="83" t="s">
        <v>3362</v>
      </c>
      <c r="E306" s="83" t="b">
        <v>1</v>
      </c>
      <c r="F306" s="83" t="b">
        <v>0</v>
      </c>
      <c r="G306" s="83" t="b">
        <v>0</v>
      </c>
    </row>
    <row r="307" spans="1:7" ht="15">
      <c r="A307" s="84" t="s">
        <v>3007</v>
      </c>
      <c r="B307" s="83">
        <v>3</v>
      </c>
      <c r="C307" s="110">
        <v>0.0021468461458567798</v>
      </c>
      <c r="D307" s="83" t="s">
        <v>3362</v>
      </c>
      <c r="E307" s="83" t="b">
        <v>0</v>
      </c>
      <c r="F307" s="83" t="b">
        <v>0</v>
      </c>
      <c r="G307" s="83" t="b">
        <v>0</v>
      </c>
    </row>
    <row r="308" spans="1:7" ht="15">
      <c r="A308" s="84" t="s">
        <v>3008</v>
      </c>
      <c r="B308" s="83">
        <v>3</v>
      </c>
      <c r="C308" s="110">
        <v>0.0017918452122856023</v>
      </c>
      <c r="D308" s="83" t="s">
        <v>3362</v>
      </c>
      <c r="E308" s="83" t="b">
        <v>0</v>
      </c>
      <c r="F308" s="83" t="b">
        <v>0</v>
      </c>
      <c r="G308" s="83" t="b">
        <v>0</v>
      </c>
    </row>
    <row r="309" spans="1:7" ht="15">
      <c r="A309" s="84" t="s">
        <v>3009</v>
      </c>
      <c r="B309" s="83">
        <v>3</v>
      </c>
      <c r="C309" s="110">
        <v>0.0017918452122856023</v>
      </c>
      <c r="D309" s="83" t="s">
        <v>3362</v>
      </c>
      <c r="E309" s="83" t="b">
        <v>0</v>
      </c>
      <c r="F309" s="83" t="b">
        <v>0</v>
      </c>
      <c r="G309" s="83" t="b">
        <v>0</v>
      </c>
    </row>
    <row r="310" spans="1:7" ht="15">
      <c r="A310" s="84" t="s">
        <v>3010</v>
      </c>
      <c r="B310" s="83">
        <v>3</v>
      </c>
      <c r="C310" s="110">
        <v>0.0019228654943210795</v>
      </c>
      <c r="D310" s="83" t="s">
        <v>3362</v>
      </c>
      <c r="E310" s="83" t="b">
        <v>1</v>
      </c>
      <c r="F310" s="83" t="b">
        <v>0</v>
      </c>
      <c r="G310" s="83" t="b">
        <v>0</v>
      </c>
    </row>
    <row r="311" spans="1:7" ht="15">
      <c r="A311" s="84" t="s">
        <v>3011</v>
      </c>
      <c r="B311" s="83">
        <v>3</v>
      </c>
      <c r="C311" s="110">
        <v>0.0017918452122856023</v>
      </c>
      <c r="D311" s="83" t="s">
        <v>3362</v>
      </c>
      <c r="E311" s="83" t="b">
        <v>0</v>
      </c>
      <c r="F311" s="83" t="b">
        <v>1</v>
      </c>
      <c r="G311" s="83" t="b">
        <v>0</v>
      </c>
    </row>
    <row r="312" spans="1:7" ht="15">
      <c r="A312" s="84" t="s">
        <v>3012</v>
      </c>
      <c r="B312" s="83">
        <v>3</v>
      </c>
      <c r="C312" s="110">
        <v>0.0017918452122856023</v>
      </c>
      <c r="D312" s="83" t="s">
        <v>3362</v>
      </c>
      <c r="E312" s="83" t="b">
        <v>0</v>
      </c>
      <c r="F312" s="83" t="b">
        <v>0</v>
      </c>
      <c r="G312" s="83" t="b">
        <v>0</v>
      </c>
    </row>
    <row r="313" spans="1:7" ht="15">
      <c r="A313" s="84" t="s">
        <v>3013</v>
      </c>
      <c r="B313" s="83">
        <v>3</v>
      </c>
      <c r="C313" s="110">
        <v>0.0019228654943210795</v>
      </c>
      <c r="D313" s="83" t="s">
        <v>3362</v>
      </c>
      <c r="E313" s="83" t="b">
        <v>0</v>
      </c>
      <c r="F313" s="83" t="b">
        <v>0</v>
      </c>
      <c r="G313" s="83" t="b">
        <v>0</v>
      </c>
    </row>
    <row r="314" spans="1:7" ht="15">
      <c r="A314" s="84" t="s">
        <v>3014</v>
      </c>
      <c r="B314" s="83">
        <v>3</v>
      </c>
      <c r="C314" s="110">
        <v>0.0017918452122856023</v>
      </c>
      <c r="D314" s="83" t="s">
        <v>3362</v>
      </c>
      <c r="E314" s="83" t="b">
        <v>0</v>
      </c>
      <c r="F314" s="83" t="b">
        <v>0</v>
      </c>
      <c r="G314" s="83" t="b">
        <v>0</v>
      </c>
    </row>
    <row r="315" spans="1:7" ht="15">
      <c r="A315" s="84" t="s">
        <v>3015</v>
      </c>
      <c r="B315" s="83">
        <v>3</v>
      </c>
      <c r="C315" s="110">
        <v>0.0019228654943210795</v>
      </c>
      <c r="D315" s="83" t="s">
        <v>3362</v>
      </c>
      <c r="E315" s="83" t="b">
        <v>0</v>
      </c>
      <c r="F315" s="83" t="b">
        <v>0</v>
      </c>
      <c r="G315" s="83" t="b">
        <v>0</v>
      </c>
    </row>
    <row r="316" spans="1:7" ht="15">
      <c r="A316" s="84" t="s">
        <v>3016</v>
      </c>
      <c r="B316" s="83">
        <v>3</v>
      </c>
      <c r="C316" s="110">
        <v>0.0019228654943210795</v>
      </c>
      <c r="D316" s="83" t="s">
        <v>3362</v>
      </c>
      <c r="E316" s="83" t="b">
        <v>0</v>
      </c>
      <c r="F316" s="83" t="b">
        <v>0</v>
      </c>
      <c r="G316" s="83" t="b">
        <v>0</v>
      </c>
    </row>
    <row r="317" spans="1:7" ht="15">
      <c r="A317" s="84" t="s">
        <v>3017</v>
      </c>
      <c r="B317" s="83">
        <v>3</v>
      </c>
      <c r="C317" s="110">
        <v>0.0017918452122856023</v>
      </c>
      <c r="D317" s="83" t="s">
        <v>3362</v>
      </c>
      <c r="E317" s="83" t="b">
        <v>0</v>
      </c>
      <c r="F317" s="83" t="b">
        <v>0</v>
      </c>
      <c r="G317" s="83" t="b">
        <v>0</v>
      </c>
    </row>
    <row r="318" spans="1:7" ht="15">
      <c r="A318" s="84" t="s">
        <v>3018</v>
      </c>
      <c r="B318" s="83">
        <v>3</v>
      </c>
      <c r="C318" s="110">
        <v>0.0019228654943210795</v>
      </c>
      <c r="D318" s="83" t="s">
        <v>3362</v>
      </c>
      <c r="E318" s="83" t="b">
        <v>0</v>
      </c>
      <c r="F318" s="83" t="b">
        <v>0</v>
      </c>
      <c r="G318" s="83" t="b">
        <v>0</v>
      </c>
    </row>
    <row r="319" spans="1:7" ht="15">
      <c r="A319" s="84" t="s">
        <v>3019</v>
      </c>
      <c r="B319" s="83">
        <v>3</v>
      </c>
      <c r="C319" s="110">
        <v>0.0021468461458567798</v>
      </c>
      <c r="D319" s="83" t="s">
        <v>3362</v>
      </c>
      <c r="E319" s="83" t="b">
        <v>0</v>
      </c>
      <c r="F319" s="83" t="b">
        <v>1</v>
      </c>
      <c r="G319" s="83" t="b">
        <v>0</v>
      </c>
    </row>
    <row r="320" spans="1:7" ht="15">
      <c r="A320" s="84" t="s">
        <v>3020</v>
      </c>
      <c r="B320" s="83">
        <v>3</v>
      </c>
      <c r="C320" s="110">
        <v>0.0019228654943210795</v>
      </c>
      <c r="D320" s="83" t="s">
        <v>3362</v>
      </c>
      <c r="E320" s="83" t="b">
        <v>0</v>
      </c>
      <c r="F320" s="83" t="b">
        <v>0</v>
      </c>
      <c r="G320" s="83" t="b">
        <v>0</v>
      </c>
    </row>
    <row r="321" spans="1:7" ht="15">
      <c r="A321" s="84" t="s">
        <v>3021</v>
      </c>
      <c r="B321" s="83">
        <v>3</v>
      </c>
      <c r="C321" s="110">
        <v>0.0021468461458567798</v>
      </c>
      <c r="D321" s="83" t="s">
        <v>3362</v>
      </c>
      <c r="E321" s="83" t="b">
        <v>0</v>
      </c>
      <c r="F321" s="83" t="b">
        <v>0</v>
      </c>
      <c r="G321" s="83" t="b">
        <v>0</v>
      </c>
    </row>
    <row r="322" spans="1:7" ht="15">
      <c r="A322" s="84" t="s">
        <v>3022</v>
      </c>
      <c r="B322" s="83">
        <v>3</v>
      </c>
      <c r="C322" s="110">
        <v>0.0019228654943210795</v>
      </c>
      <c r="D322" s="83" t="s">
        <v>3362</v>
      </c>
      <c r="E322" s="83" t="b">
        <v>0</v>
      </c>
      <c r="F322" s="83" t="b">
        <v>0</v>
      </c>
      <c r="G322" s="83" t="b">
        <v>0</v>
      </c>
    </row>
    <row r="323" spans="1:7" ht="15">
      <c r="A323" s="84" t="s">
        <v>3023</v>
      </c>
      <c r="B323" s="83">
        <v>3</v>
      </c>
      <c r="C323" s="110">
        <v>0.0017918452122856023</v>
      </c>
      <c r="D323" s="83" t="s">
        <v>3362</v>
      </c>
      <c r="E323" s="83" t="b">
        <v>0</v>
      </c>
      <c r="F323" s="83" t="b">
        <v>0</v>
      </c>
      <c r="G323" s="83" t="b">
        <v>0</v>
      </c>
    </row>
    <row r="324" spans="1:7" ht="15">
      <c r="A324" s="84" t="s">
        <v>3024</v>
      </c>
      <c r="B324" s="83">
        <v>3</v>
      </c>
      <c r="C324" s="110">
        <v>0.0017918452122856023</v>
      </c>
      <c r="D324" s="83" t="s">
        <v>3362</v>
      </c>
      <c r="E324" s="83" t="b">
        <v>0</v>
      </c>
      <c r="F324" s="83" t="b">
        <v>0</v>
      </c>
      <c r="G324" s="83" t="b">
        <v>0</v>
      </c>
    </row>
    <row r="325" spans="1:7" ht="15">
      <c r="A325" s="84" t="s">
        <v>3025</v>
      </c>
      <c r="B325" s="83">
        <v>3</v>
      </c>
      <c r="C325" s="110">
        <v>0.0021468461458567798</v>
      </c>
      <c r="D325" s="83" t="s">
        <v>3362</v>
      </c>
      <c r="E325" s="83" t="b">
        <v>0</v>
      </c>
      <c r="F325" s="83" t="b">
        <v>0</v>
      </c>
      <c r="G325" s="83" t="b">
        <v>0</v>
      </c>
    </row>
    <row r="326" spans="1:7" ht="15">
      <c r="A326" s="84" t="s">
        <v>3026</v>
      </c>
      <c r="B326" s="83">
        <v>3</v>
      </c>
      <c r="C326" s="110">
        <v>0.0021468461458567798</v>
      </c>
      <c r="D326" s="83" t="s">
        <v>3362</v>
      </c>
      <c r="E326" s="83" t="b">
        <v>0</v>
      </c>
      <c r="F326" s="83" t="b">
        <v>0</v>
      </c>
      <c r="G326" s="83" t="b">
        <v>0</v>
      </c>
    </row>
    <row r="327" spans="1:7" ht="15">
      <c r="A327" s="84" t="s">
        <v>3027</v>
      </c>
      <c r="B327" s="83">
        <v>3</v>
      </c>
      <c r="C327" s="110">
        <v>0.0019228654943210795</v>
      </c>
      <c r="D327" s="83" t="s">
        <v>3362</v>
      </c>
      <c r="E327" s="83" t="b">
        <v>0</v>
      </c>
      <c r="F327" s="83" t="b">
        <v>0</v>
      </c>
      <c r="G327" s="83" t="b">
        <v>0</v>
      </c>
    </row>
    <row r="328" spans="1:7" ht="15">
      <c r="A328" s="84" t="s">
        <v>3028</v>
      </c>
      <c r="B328" s="83">
        <v>3</v>
      </c>
      <c r="C328" s="110">
        <v>0.0017918452122856023</v>
      </c>
      <c r="D328" s="83" t="s">
        <v>3362</v>
      </c>
      <c r="E328" s="83" t="b">
        <v>0</v>
      </c>
      <c r="F328" s="83" t="b">
        <v>0</v>
      </c>
      <c r="G328" s="83" t="b">
        <v>0</v>
      </c>
    </row>
    <row r="329" spans="1:7" ht="15">
      <c r="A329" s="84" t="s">
        <v>3029</v>
      </c>
      <c r="B329" s="83">
        <v>3</v>
      </c>
      <c r="C329" s="110">
        <v>0.0017918452122856023</v>
      </c>
      <c r="D329" s="83" t="s">
        <v>3362</v>
      </c>
      <c r="E329" s="83" t="b">
        <v>0</v>
      </c>
      <c r="F329" s="83" t="b">
        <v>0</v>
      </c>
      <c r="G329" s="83" t="b">
        <v>0</v>
      </c>
    </row>
    <row r="330" spans="1:7" ht="15">
      <c r="A330" s="84" t="s">
        <v>3030</v>
      </c>
      <c r="B330" s="83">
        <v>3</v>
      </c>
      <c r="C330" s="110">
        <v>0.0017918452122856023</v>
      </c>
      <c r="D330" s="83" t="s">
        <v>3362</v>
      </c>
      <c r="E330" s="83" t="b">
        <v>0</v>
      </c>
      <c r="F330" s="83" t="b">
        <v>0</v>
      </c>
      <c r="G330" s="83" t="b">
        <v>0</v>
      </c>
    </row>
    <row r="331" spans="1:7" ht="15">
      <c r="A331" s="84" t="s">
        <v>3031</v>
      </c>
      <c r="B331" s="83">
        <v>3</v>
      </c>
      <c r="C331" s="110">
        <v>0.0017918452122856023</v>
      </c>
      <c r="D331" s="83" t="s">
        <v>3362</v>
      </c>
      <c r="E331" s="83" t="b">
        <v>0</v>
      </c>
      <c r="F331" s="83" t="b">
        <v>0</v>
      </c>
      <c r="G331" s="83" t="b">
        <v>0</v>
      </c>
    </row>
    <row r="332" spans="1:7" ht="15">
      <c r="A332" s="84" t="s">
        <v>3032</v>
      </c>
      <c r="B332" s="83">
        <v>3</v>
      </c>
      <c r="C332" s="110">
        <v>0.0017918452122856023</v>
      </c>
      <c r="D332" s="83" t="s">
        <v>3362</v>
      </c>
      <c r="E332" s="83" t="b">
        <v>1</v>
      </c>
      <c r="F332" s="83" t="b">
        <v>0</v>
      </c>
      <c r="G332" s="83" t="b">
        <v>0</v>
      </c>
    </row>
    <row r="333" spans="1:7" ht="15">
      <c r="A333" s="84" t="s">
        <v>3033</v>
      </c>
      <c r="B333" s="83">
        <v>3</v>
      </c>
      <c r="C333" s="110">
        <v>0.0021468461458567798</v>
      </c>
      <c r="D333" s="83" t="s">
        <v>3362</v>
      </c>
      <c r="E333" s="83" t="b">
        <v>0</v>
      </c>
      <c r="F333" s="83" t="b">
        <v>1</v>
      </c>
      <c r="G333" s="83" t="b">
        <v>0</v>
      </c>
    </row>
    <row r="334" spans="1:7" ht="15">
      <c r="A334" s="84" t="s">
        <v>3034</v>
      </c>
      <c r="B334" s="83">
        <v>3</v>
      </c>
      <c r="C334" s="110">
        <v>0.0021468461458567798</v>
      </c>
      <c r="D334" s="83" t="s">
        <v>3362</v>
      </c>
      <c r="E334" s="83" t="b">
        <v>0</v>
      </c>
      <c r="F334" s="83" t="b">
        <v>0</v>
      </c>
      <c r="G334" s="83" t="b">
        <v>0</v>
      </c>
    </row>
    <row r="335" spans="1:7" ht="15">
      <c r="A335" s="84" t="s">
        <v>3035</v>
      </c>
      <c r="B335" s="83">
        <v>3</v>
      </c>
      <c r="C335" s="110">
        <v>0.0017918452122856023</v>
      </c>
      <c r="D335" s="83" t="s">
        <v>3362</v>
      </c>
      <c r="E335" s="83" t="b">
        <v>0</v>
      </c>
      <c r="F335" s="83" t="b">
        <v>0</v>
      </c>
      <c r="G335" s="83" t="b">
        <v>0</v>
      </c>
    </row>
    <row r="336" spans="1:7" ht="15">
      <c r="A336" s="84" t="s">
        <v>3036</v>
      </c>
      <c r="B336" s="83">
        <v>3</v>
      </c>
      <c r="C336" s="110">
        <v>0.0017918452122856023</v>
      </c>
      <c r="D336" s="83" t="s">
        <v>3362</v>
      </c>
      <c r="E336" s="83" t="b">
        <v>0</v>
      </c>
      <c r="F336" s="83" t="b">
        <v>0</v>
      </c>
      <c r="G336" s="83" t="b">
        <v>0</v>
      </c>
    </row>
    <row r="337" spans="1:7" ht="15">
      <c r="A337" s="84" t="s">
        <v>3037</v>
      </c>
      <c r="B337" s="83">
        <v>3</v>
      </c>
      <c r="C337" s="110">
        <v>0.0017918452122856023</v>
      </c>
      <c r="D337" s="83" t="s">
        <v>3362</v>
      </c>
      <c r="E337" s="83" t="b">
        <v>0</v>
      </c>
      <c r="F337" s="83" t="b">
        <v>0</v>
      </c>
      <c r="G337" s="83" t="b">
        <v>0</v>
      </c>
    </row>
    <row r="338" spans="1:7" ht="15">
      <c r="A338" s="84" t="s">
        <v>3038</v>
      </c>
      <c r="B338" s="83">
        <v>3</v>
      </c>
      <c r="C338" s="110">
        <v>0.0017918452122856023</v>
      </c>
      <c r="D338" s="83" t="s">
        <v>3362</v>
      </c>
      <c r="E338" s="83" t="b">
        <v>0</v>
      </c>
      <c r="F338" s="83" t="b">
        <v>0</v>
      </c>
      <c r="G338" s="83" t="b">
        <v>0</v>
      </c>
    </row>
    <row r="339" spans="1:7" ht="15">
      <c r="A339" s="84" t="s">
        <v>3039</v>
      </c>
      <c r="B339" s="83">
        <v>3</v>
      </c>
      <c r="C339" s="110">
        <v>0.0017918452122856023</v>
      </c>
      <c r="D339" s="83" t="s">
        <v>3362</v>
      </c>
      <c r="E339" s="83" t="b">
        <v>0</v>
      </c>
      <c r="F339" s="83" t="b">
        <v>0</v>
      </c>
      <c r="G339" s="83" t="b">
        <v>0</v>
      </c>
    </row>
    <row r="340" spans="1:7" ht="15">
      <c r="A340" s="84" t="s">
        <v>3040</v>
      </c>
      <c r="B340" s="83">
        <v>3</v>
      </c>
      <c r="C340" s="110">
        <v>0.0017918452122856023</v>
      </c>
      <c r="D340" s="83" t="s">
        <v>3362</v>
      </c>
      <c r="E340" s="83" t="b">
        <v>0</v>
      </c>
      <c r="F340" s="83" t="b">
        <v>0</v>
      </c>
      <c r="G340" s="83" t="b">
        <v>0</v>
      </c>
    </row>
    <row r="341" spans="1:7" ht="15">
      <c r="A341" s="84" t="s">
        <v>3041</v>
      </c>
      <c r="B341" s="83">
        <v>3</v>
      </c>
      <c r="C341" s="110">
        <v>0.0017918452122856023</v>
      </c>
      <c r="D341" s="83" t="s">
        <v>3362</v>
      </c>
      <c r="E341" s="83" t="b">
        <v>0</v>
      </c>
      <c r="F341" s="83" t="b">
        <v>0</v>
      </c>
      <c r="G341" s="83" t="b">
        <v>0</v>
      </c>
    </row>
    <row r="342" spans="1:7" ht="15">
      <c r="A342" s="84" t="s">
        <v>3042</v>
      </c>
      <c r="B342" s="83">
        <v>3</v>
      </c>
      <c r="C342" s="110">
        <v>0.0017918452122856023</v>
      </c>
      <c r="D342" s="83" t="s">
        <v>3362</v>
      </c>
      <c r="E342" s="83" t="b">
        <v>0</v>
      </c>
      <c r="F342" s="83" t="b">
        <v>0</v>
      </c>
      <c r="G342" s="83" t="b">
        <v>0</v>
      </c>
    </row>
    <row r="343" spans="1:7" ht="15">
      <c r="A343" s="84" t="s">
        <v>3043</v>
      </c>
      <c r="B343" s="83">
        <v>3</v>
      </c>
      <c r="C343" s="110">
        <v>0.0019228654943210795</v>
      </c>
      <c r="D343" s="83" t="s">
        <v>3362</v>
      </c>
      <c r="E343" s="83" t="b">
        <v>0</v>
      </c>
      <c r="F343" s="83" t="b">
        <v>0</v>
      </c>
      <c r="G343" s="83" t="b">
        <v>0</v>
      </c>
    </row>
    <row r="344" spans="1:7" ht="15">
      <c r="A344" s="84" t="s">
        <v>3044</v>
      </c>
      <c r="B344" s="83">
        <v>3</v>
      </c>
      <c r="C344" s="110">
        <v>0.0017918452122856023</v>
      </c>
      <c r="D344" s="83" t="s">
        <v>3362</v>
      </c>
      <c r="E344" s="83" t="b">
        <v>0</v>
      </c>
      <c r="F344" s="83" t="b">
        <v>1</v>
      </c>
      <c r="G344" s="83" t="b">
        <v>0</v>
      </c>
    </row>
    <row r="345" spans="1:7" ht="15">
      <c r="A345" s="84" t="s">
        <v>3045</v>
      </c>
      <c r="B345" s="83">
        <v>3</v>
      </c>
      <c r="C345" s="110">
        <v>0.0017918452122856023</v>
      </c>
      <c r="D345" s="83" t="s">
        <v>3362</v>
      </c>
      <c r="E345" s="83" t="b">
        <v>0</v>
      </c>
      <c r="F345" s="83" t="b">
        <v>0</v>
      </c>
      <c r="G345" s="83" t="b">
        <v>0</v>
      </c>
    </row>
    <row r="346" spans="1:7" ht="15">
      <c r="A346" s="84" t="s">
        <v>3046</v>
      </c>
      <c r="B346" s="83">
        <v>3</v>
      </c>
      <c r="C346" s="110">
        <v>0.0017918452122856023</v>
      </c>
      <c r="D346" s="83" t="s">
        <v>3362</v>
      </c>
      <c r="E346" s="83" t="b">
        <v>0</v>
      </c>
      <c r="F346" s="83" t="b">
        <v>0</v>
      </c>
      <c r="G346" s="83" t="b">
        <v>0</v>
      </c>
    </row>
    <row r="347" spans="1:7" ht="15">
      <c r="A347" s="84" t="s">
        <v>3047</v>
      </c>
      <c r="B347" s="83">
        <v>3</v>
      </c>
      <c r="C347" s="110">
        <v>0.0021468461458567798</v>
      </c>
      <c r="D347" s="83" t="s">
        <v>3362</v>
      </c>
      <c r="E347" s="83" t="b">
        <v>0</v>
      </c>
      <c r="F347" s="83" t="b">
        <v>0</v>
      </c>
      <c r="G347" s="83" t="b">
        <v>0</v>
      </c>
    </row>
    <row r="348" spans="1:7" ht="15">
      <c r="A348" s="84" t="s">
        <v>3048</v>
      </c>
      <c r="B348" s="83">
        <v>3</v>
      </c>
      <c r="C348" s="110">
        <v>0.0017918452122856023</v>
      </c>
      <c r="D348" s="83" t="s">
        <v>3362</v>
      </c>
      <c r="E348" s="83" t="b">
        <v>0</v>
      </c>
      <c r="F348" s="83" t="b">
        <v>0</v>
      </c>
      <c r="G348" s="83" t="b">
        <v>0</v>
      </c>
    </row>
    <row r="349" spans="1:7" ht="15">
      <c r="A349" s="84" t="s">
        <v>3049</v>
      </c>
      <c r="B349" s="83">
        <v>3</v>
      </c>
      <c r="C349" s="110">
        <v>0.0021468461458567798</v>
      </c>
      <c r="D349" s="83" t="s">
        <v>3362</v>
      </c>
      <c r="E349" s="83" t="b">
        <v>0</v>
      </c>
      <c r="F349" s="83" t="b">
        <v>0</v>
      </c>
      <c r="G349" s="83" t="b">
        <v>0</v>
      </c>
    </row>
    <row r="350" spans="1:7" ht="15">
      <c r="A350" s="84" t="s">
        <v>3050</v>
      </c>
      <c r="B350" s="83">
        <v>3</v>
      </c>
      <c r="C350" s="110">
        <v>0.0017918452122856023</v>
      </c>
      <c r="D350" s="83" t="s">
        <v>3362</v>
      </c>
      <c r="E350" s="83" t="b">
        <v>0</v>
      </c>
      <c r="F350" s="83" t="b">
        <v>0</v>
      </c>
      <c r="G350" s="83" t="b">
        <v>0</v>
      </c>
    </row>
    <row r="351" spans="1:7" ht="15">
      <c r="A351" s="84" t="s">
        <v>3051</v>
      </c>
      <c r="B351" s="83">
        <v>3</v>
      </c>
      <c r="C351" s="110">
        <v>0.0019228654943210795</v>
      </c>
      <c r="D351" s="83" t="s">
        <v>3362</v>
      </c>
      <c r="E351" s="83" t="b">
        <v>0</v>
      </c>
      <c r="F351" s="83" t="b">
        <v>0</v>
      </c>
      <c r="G351" s="83" t="b">
        <v>0</v>
      </c>
    </row>
    <row r="352" spans="1:7" ht="15">
      <c r="A352" s="84" t="s">
        <v>3052</v>
      </c>
      <c r="B352" s="83">
        <v>3</v>
      </c>
      <c r="C352" s="110">
        <v>0.0021468461458567798</v>
      </c>
      <c r="D352" s="83" t="s">
        <v>3362</v>
      </c>
      <c r="E352" s="83" t="b">
        <v>0</v>
      </c>
      <c r="F352" s="83" t="b">
        <v>0</v>
      </c>
      <c r="G352" s="83" t="b">
        <v>0</v>
      </c>
    </row>
    <row r="353" spans="1:7" ht="15">
      <c r="A353" s="84" t="s">
        <v>3053</v>
      </c>
      <c r="B353" s="83">
        <v>3</v>
      </c>
      <c r="C353" s="110">
        <v>0.0019228654943210795</v>
      </c>
      <c r="D353" s="83" t="s">
        <v>3362</v>
      </c>
      <c r="E353" s="83" t="b">
        <v>0</v>
      </c>
      <c r="F353" s="83" t="b">
        <v>0</v>
      </c>
      <c r="G353" s="83" t="b">
        <v>0</v>
      </c>
    </row>
    <row r="354" spans="1:7" ht="15">
      <c r="A354" s="84" t="s">
        <v>3054</v>
      </c>
      <c r="B354" s="83">
        <v>3</v>
      </c>
      <c r="C354" s="110">
        <v>0.0017918452122856023</v>
      </c>
      <c r="D354" s="83" t="s">
        <v>3362</v>
      </c>
      <c r="E354" s="83" t="b">
        <v>0</v>
      </c>
      <c r="F354" s="83" t="b">
        <v>0</v>
      </c>
      <c r="G354" s="83" t="b">
        <v>0</v>
      </c>
    </row>
    <row r="355" spans="1:7" ht="15">
      <c r="A355" s="84" t="s">
        <v>3055</v>
      </c>
      <c r="B355" s="83">
        <v>3</v>
      </c>
      <c r="C355" s="110">
        <v>0.0017918452122856023</v>
      </c>
      <c r="D355" s="83" t="s">
        <v>3362</v>
      </c>
      <c r="E355" s="83" t="b">
        <v>0</v>
      </c>
      <c r="F355" s="83" t="b">
        <v>0</v>
      </c>
      <c r="G355" s="83" t="b">
        <v>0</v>
      </c>
    </row>
    <row r="356" spans="1:7" ht="15">
      <c r="A356" s="84" t="s">
        <v>3056</v>
      </c>
      <c r="B356" s="83">
        <v>2</v>
      </c>
      <c r="C356" s="110">
        <v>0.0014312307639045199</v>
      </c>
      <c r="D356" s="83" t="s">
        <v>3362</v>
      </c>
      <c r="E356" s="83" t="b">
        <v>0</v>
      </c>
      <c r="F356" s="83" t="b">
        <v>0</v>
      </c>
      <c r="G356" s="83" t="b">
        <v>0</v>
      </c>
    </row>
    <row r="357" spans="1:7" ht="15">
      <c r="A357" s="84" t="s">
        <v>3057</v>
      </c>
      <c r="B357" s="83">
        <v>2</v>
      </c>
      <c r="C357" s="110">
        <v>0.0012819103295473864</v>
      </c>
      <c r="D357" s="83" t="s">
        <v>3362</v>
      </c>
      <c r="E357" s="83" t="b">
        <v>0</v>
      </c>
      <c r="F357" s="83" t="b">
        <v>0</v>
      </c>
      <c r="G357" s="83" t="b">
        <v>0</v>
      </c>
    </row>
    <row r="358" spans="1:7" ht="15">
      <c r="A358" s="84" t="s">
        <v>3058</v>
      </c>
      <c r="B358" s="83">
        <v>2</v>
      </c>
      <c r="C358" s="110">
        <v>0.0012819103295473864</v>
      </c>
      <c r="D358" s="83" t="s">
        <v>3362</v>
      </c>
      <c r="E358" s="83" t="b">
        <v>0</v>
      </c>
      <c r="F358" s="83" t="b">
        <v>1</v>
      </c>
      <c r="G358" s="83" t="b">
        <v>0</v>
      </c>
    </row>
    <row r="359" spans="1:7" ht="15">
      <c r="A359" s="84" t="s">
        <v>3059</v>
      </c>
      <c r="B359" s="83">
        <v>2</v>
      </c>
      <c r="C359" s="110">
        <v>0.0012819103295473864</v>
      </c>
      <c r="D359" s="83" t="s">
        <v>3362</v>
      </c>
      <c r="E359" s="83" t="b">
        <v>0</v>
      </c>
      <c r="F359" s="83" t="b">
        <v>0</v>
      </c>
      <c r="G359" s="83" t="b">
        <v>0</v>
      </c>
    </row>
    <row r="360" spans="1:7" ht="15">
      <c r="A360" s="84" t="s">
        <v>3060</v>
      </c>
      <c r="B360" s="83">
        <v>2</v>
      </c>
      <c r="C360" s="110">
        <v>0.0012819103295473864</v>
      </c>
      <c r="D360" s="83" t="s">
        <v>3362</v>
      </c>
      <c r="E360" s="83" t="b">
        <v>0</v>
      </c>
      <c r="F360" s="83" t="b">
        <v>0</v>
      </c>
      <c r="G360" s="83" t="b">
        <v>0</v>
      </c>
    </row>
    <row r="361" spans="1:7" ht="15">
      <c r="A361" s="84" t="s">
        <v>3061</v>
      </c>
      <c r="B361" s="83">
        <v>2</v>
      </c>
      <c r="C361" s="110">
        <v>0.0012819103295473864</v>
      </c>
      <c r="D361" s="83" t="s">
        <v>3362</v>
      </c>
      <c r="E361" s="83" t="b">
        <v>0</v>
      </c>
      <c r="F361" s="83" t="b">
        <v>0</v>
      </c>
      <c r="G361" s="83" t="b">
        <v>0</v>
      </c>
    </row>
    <row r="362" spans="1:7" ht="15">
      <c r="A362" s="84" t="s">
        <v>3062</v>
      </c>
      <c r="B362" s="83">
        <v>2</v>
      </c>
      <c r="C362" s="110">
        <v>0.0012819103295473864</v>
      </c>
      <c r="D362" s="83" t="s">
        <v>3362</v>
      </c>
      <c r="E362" s="83" t="b">
        <v>0</v>
      </c>
      <c r="F362" s="83" t="b">
        <v>0</v>
      </c>
      <c r="G362" s="83" t="b">
        <v>0</v>
      </c>
    </row>
    <row r="363" spans="1:7" ht="15">
      <c r="A363" s="84" t="s">
        <v>3063</v>
      </c>
      <c r="B363" s="83">
        <v>2</v>
      </c>
      <c r="C363" s="110">
        <v>0.0012819103295473864</v>
      </c>
      <c r="D363" s="83" t="s">
        <v>3362</v>
      </c>
      <c r="E363" s="83" t="b">
        <v>0</v>
      </c>
      <c r="F363" s="83" t="b">
        <v>0</v>
      </c>
      <c r="G363" s="83" t="b">
        <v>0</v>
      </c>
    </row>
    <row r="364" spans="1:7" ht="15">
      <c r="A364" s="84" t="s">
        <v>3064</v>
      </c>
      <c r="B364" s="83">
        <v>2</v>
      </c>
      <c r="C364" s="110">
        <v>0.0012819103295473864</v>
      </c>
      <c r="D364" s="83" t="s">
        <v>3362</v>
      </c>
      <c r="E364" s="83" t="b">
        <v>0</v>
      </c>
      <c r="F364" s="83" t="b">
        <v>0</v>
      </c>
      <c r="G364" s="83" t="b">
        <v>0</v>
      </c>
    </row>
    <row r="365" spans="1:7" ht="15">
      <c r="A365" s="84" t="s">
        <v>3065</v>
      </c>
      <c r="B365" s="83">
        <v>2</v>
      </c>
      <c r="C365" s="110">
        <v>0.0012819103295473864</v>
      </c>
      <c r="D365" s="83" t="s">
        <v>3362</v>
      </c>
      <c r="E365" s="83" t="b">
        <v>0</v>
      </c>
      <c r="F365" s="83" t="b">
        <v>0</v>
      </c>
      <c r="G365" s="83" t="b">
        <v>0</v>
      </c>
    </row>
    <row r="366" spans="1:7" ht="15">
      <c r="A366" s="84" t="s">
        <v>3066</v>
      </c>
      <c r="B366" s="83">
        <v>2</v>
      </c>
      <c r="C366" s="110">
        <v>0.0012819103295473864</v>
      </c>
      <c r="D366" s="83" t="s">
        <v>3362</v>
      </c>
      <c r="E366" s="83" t="b">
        <v>0</v>
      </c>
      <c r="F366" s="83" t="b">
        <v>0</v>
      </c>
      <c r="G366" s="83" t="b">
        <v>0</v>
      </c>
    </row>
    <row r="367" spans="1:7" ht="15">
      <c r="A367" s="84" t="s">
        <v>3067</v>
      </c>
      <c r="B367" s="83">
        <v>2</v>
      </c>
      <c r="C367" s="110">
        <v>0.0012819103295473864</v>
      </c>
      <c r="D367" s="83" t="s">
        <v>3362</v>
      </c>
      <c r="E367" s="83" t="b">
        <v>0</v>
      </c>
      <c r="F367" s="83" t="b">
        <v>0</v>
      </c>
      <c r="G367" s="83" t="b">
        <v>0</v>
      </c>
    </row>
    <row r="368" spans="1:7" ht="15">
      <c r="A368" s="84" t="s">
        <v>3068</v>
      </c>
      <c r="B368" s="83">
        <v>2</v>
      </c>
      <c r="C368" s="110">
        <v>0.0012819103295473864</v>
      </c>
      <c r="D368" s="83" t="s">
        <v>3362</v>
      </c>
      <c r="E368" s="83" t="b">
        <v>0</v>
      </c>
      <c r="F368" s="83" t="b">
        <v>0</v>
      </c>
      <c r="G368" s="83" t="b">
        <v>0</v>
      </c>
    </row>
    <row r="369" spans="1:7" ht="15">
      <c r="A369" s="84" t="s">
        <v>3069</v>
      </c>
      <c r="B369" s="83">
        <v>2</v>
      </c>
      <c r="C369" s="110">
        <v>0.0012819103295473864</v>
      </c>
      <c r="D369" s="83" t="s">
        <v>3362</v>
      </c>
      <c r="E369" s="83" t="b">
        <v>0</v>
      </c>
      <c r="F369" s="83" t="b">
        <v>0</v>
      </c>
      <c r="G369" s="83" t="b">
        <v>0</v>
      </c>
    </row>
    <row r="370" spans="1:7" ht="15">
      <c r="A370" s="84" t="s">
        <v>3070</v>
      </c>
      <c r="B370" s="83">
        <v>2</v>
      </c>
      <c r="C370" s="110">
        <v>0.0012819103295473864</v>
      </c>
      <c r="D370" s="83" t="s">
        <v>3362</v>
      </c>
      <c r="E370" s="83" t="b">
        <v>0</v>
      </c>
      <c r="F370" s="83" t="b">
        <v>0</v>
      </c>
      <c r="G370" s="83" t="b">
        <v>0</v>
      </c>
    </row>
    <row r="371" spans="1:7" ht="15">
      <c r="A371" s="84" t="s">
        <v>3071</v>
      </c>
      <c r="B371" s="83">
        <v>2</v>
      </c>
      <c r="C371" s="110">
        <v>0.0012819103295473864</v>
      </c>
      <c r="D371" s="83" t="s">
        <v>3362</v>
      </c>
      <c r="E371" s="83" t="b">
        <v>0</v>
      </c>
      <c r="F371" s="83" t="b">
        <v>0</v>
      </c>
      <c r="G371" s="83" t="b">
        <v>0</v>
      </c>
    </row>
    <row r="372" spans="1:7" ht="15">
      <c r="A372" s="84" t="s">
        <v>3072</v>
      </c>
      <c r="B372" s="83">
        <v>2</v>
      </c>
      <c r="C372" s="110">
        <v>0.0012819103295473864</v>
      </c>
      <c r="D372" s="83" t="s">
        <v>3362</v>
      </c>
      <c r="E372" s="83" t="b">
        <v>0</v>
      </c>
      <c r="F372" s="83" t="b">
        <v>0</v>
      </c>
      <c r="G372" s="83" t="b">
        <v>0</v>
      </c>
    </row>
    <row r="373" spans="1:7" ht="15">
      <c r="A373" s="84" t="s">
        <v>3073</v>
      </c>
      <c r="B373" s="83">
        <v>2</v>
      </c>
      <c r="C373" s="110">
        <v>0.0012819103295473864</v>
      </c>
      <c r="D373" s="83" t="s">
        <v>3362</v>
      </c>
      <c r="E373" s="83" t="b">
        <v>0</v>
      </c>
      <c r="F373" s="83" t="b">
        <v>0</v>
      </c>
      <c r="G373" s="83" t="b">
        <v>0</v>
      </c>
    </row>
    <row r="374" spans="1:7" ht="15">
      <c r="A374" s="84" t="s">
        <v>3074</v>
      </c>
      <c r="B374" s="83">
        <v>2</v>
      </c>
      <c r="C374" s="110">
        <v>0.0012819103295473864</v>
      </c>
      <c r="D374" s="83" t="s">
        <v>3362</v>
      </c>
      <c r="E374" s="83" t="b">
        <v>1</v>
      </c>
      <c r="F374" s="83" t="b">
        <v>0</v>
      </c>
      <c r="G374" s="83" t="b">
        <v>0</v>
      </c>
    </row>
    <row r="375" spans="1:7" ht="15">
      <c r="A375" s="84" t="s">
        <v>3075</v>
      </c>
      <c r="B375" s="83">
        <v>2</v>
      </c>
      <c r="C375" s="110">
        <v>0.0012819103295473864</v>
      </c>
      <c r="D375" s="83" t="s">
        <v>3362</v>
      </c>
      <c r="E375" s="83" t="b">
        <v>0</v>
      </c>
      <c r="F375" s="83" t="b">
        <v>0</v>
      </c>
      <c r="G375" s="83" t="b">
        <v>0</v>
      </c>
    </row>
    <row r="376" spans="1:7" ht="15">
      <c r="A376" s="84" t="s">
        <v>3076</v>
      </c>
      <c r="B376" s="83">
        <v>2</v>
      </c>
      <c r="C376" s="110">
        <v>0.0012819103295473864</v>
      </c>
      <c r="D376" s="83" t="s">
        <v>3362</v>
      </c>
      <c r="E376" s="83" t="b">
        <v>0</v>
      </c>
      <c r="F376" s="83" t="b">
        <v>0</v>
      </c>
      <c r="G376" s="83" t="b">
        <v>0</v>
      </c>
    </row>
    <row r="377" spans="1:7" ht="15">
      <c r="A377" s="84" t="s">
        <v>3077</v>
      </c>
      <c r="B377" s="83">
        <v>2</v>
      </c>
      <c r="C377" s="110">
        <v>0.0012819103295473864</v>
      </c>
      <c r="D377" s="83" t="s">
        <v>3362</v>
      </c>
      <c r="E377" s="83" t="b">
        <v>0</v>
      </c>
      <c r="F377" s="83" t="b">
        <v>0</v>
      </c>
      <c r="G377" s="83" t="b">
        <v>0</v>
      </c>
    </row>
    <row r="378" spans="1:7" ht="15">
      <c r="A378" s="84" t="s">
        <v>3078</v>
      </c>
      <c r="B378" s="83">
        <v>2</v>
      </c>
      <c r="C378" s="110">
        <v>0.0012819103295473864</v>
      </c>
      <c r="D378" s="83" t="s">
        <v>3362</v>
      </c>
      <c r="E378" s="83" t="b">
        <v>1</v>
      </c>
      <c r="F378" s="83" t="b">
        <v>0</v>
      </c>
      <c r="G378" s="83" t="b">
        <v>0</v>
      </c>
    </row>
    <row r="379" spans="1:7" ht="15">
      <c r="A379" s="84" t="s">
        <v>3079</v>
      </c>
      <c r="B379" s="83">
        <v>2</v>
      </c>
      <c r="C379" s="110">
        <v>0.0012819103295473864</v>
      </c>
      <c r="D379" s="83" t="s">
        <v>3362</v>
      </c>
      <c r="E379" s="83" t="b">
        <v>0</v>
      </c>
      <c r="F379" s="83" t="b">
        <v>0</v>
      </c>
      <c r="G379" s="83" t="b">
        <v>0</v>
      </c>
    </row>
    <row r="380" spans="1:7" ht="15">
      <c r="A380" s="84" t="s">
        <v>3080</v>
      </c>
      <c r="B380" s="83">
        <v>2</v>
      </c>
      <c r="C380" s="110">
        <v>0.0012819103295473864</v>
      </c>
      <c r="D380" s="83" t="s">
        <v>3362</v>
      </c>
      <c r="E380" s="83" t="b">
        <v>0</v>
      </c>
      <c r="F380" s="83" t="b">
        <v>0</v>
      </c>
      <c r="G380" s="83" t="b">
        <v>0</v>
      </c>
    </row>
    <row r="381" spans="1:7" ht="15">
      <c r="A381" s="84" t="s">
        <v>3081</v>
      </c>
      <c r="B381" s="83">
        <v>2</v>
      </c>
      <c r="C381" s="110">
        <v>0.0014312307639045199</v>
      </c>
      <c r="D381" s="83" t="s">
        <v>3362</v>
      </c>
      <c r="E381" s="83" t="b">
        <v>0</v>
      </c>
      <c r="F381" s="83" t="b">
        <v>0</v>
      </c>
      <c r="G381" s="83" t="b">
        <v>0</v>
      </c>
    </row>
    <row r="382" spans="1:7" ht="15">
      <c r="A382" s="84" t="s">
        <v>3082</v>
      </c>
      <c r="B382" s="83">
        <v>2</v>
      </c>
      <c r="C382" s="110">
        <v>0.0014312307639045199</v>
      </c>
      <c r="D382" s="83" t="s">
        <v>3362</v>
      </c>
      <c r="E382" s="83" t="b">
        <v>0</v>
      </c>
      <c r="F382" s="83" t="b">
        <v>1</v>
      </c>
      <c r="G382" s="83" t="b">
        <v>0</v>
      </c>
    </row>
    <row r="383" spans="1:7" ht="15">
      <c r="A383" s="84" t="s">
        <v>3083</v>
      </c>
      <c r="B383" s="83">
        <v>2</v>
      </c>
      <c r="C383" s="110">
        <v>0.0014312307639045199</v>
      </c>
      <c r="D383" s="83" t="s">
        <v>3362</v>
      </c>
      <c r="E383" s="83" t="b">
        <v>0</v>
      </c>
      <c r="F383" s="83" t="b">
        <v>0</v>
      </c>
      <c r="G383" s="83" t="b">
        <v>0</v>
      </c>
    </row>
    <row r="384" spans="1:7" ht="15">
      <c r="A384" s="84" t="s">
        <v>3084</v>
      </c>
      <c r="B384" s="83">
        <v>2</v>
      </c>
      <c r="C384" s="110">
        <v>0.0014312307639045199</v>
      </c>
      <c r="D384" s="83" t="s">
        <v>3362</v>
      </c>
      <c r="E384" s="83" t="b">
        <v>0</v>
      </c>
      <c r="F384" s="83" t="b">
        <v>0</v>
      </c>
      <c r="G384" s="83" t="b">
        <v>0</v>
      </c>
    </row>
    <row r="385" spans="1:7" ht="15">
      <c r="A385" s="84" t="s">
        <v>3085</v>
      </c>
      <c r="B385" s="83">
        <v>2</v>
      </c>
      <c r="C385" s="110">
        <v>0.0012819103295473864</v>
      </c>
      <c r="D385" s="83" t="s">
        <v>3362</v>
      </c>
      <c r="E385" s="83" t="b">
        <v>0</v>
      </c>
      <c r="F385" s="83" t="b">
        <v>0</v>
      </c>
      <c r="G385" s="83" t="b">
        <v>0</v>
      </c>
    </row>
    <row r="386" spans="1:7" ht="15">
      <c r="A386" s="84" t="s">
        <v>3086</v>
      </c>
      <c r="B386" s="83">
        <v>2</v>
      </c>
      <c r="C386" s="110">
        <v>0.0012819103295473864</v>
      </c>
      <c r="D386" s="83" t="s">
        <v>3362</v>
      </c>
      <c r="E386" s="83" t="b">
        <v>0</v>
      </c>
      <c r="F386" s="83" t="b">
        <v>0</v>
      </c>
      <c r="G386" s="83" t="b">
        <v>0</v>
      </c>
    </row>
    <row r="387" spans="1:7" ht="15">
      <c r="A387" s="84" t="s">
        <v>3087</v>
      </c>
      <c r="B387" s="83">
        <v>2</v>
      </c>
      <c r="C387" s="110">
        <v>0.0012819103295473864</v>
      </c>
      <c r="D387" s="83" t="s">
        <v>3362</v>
      </c>
      <c r="E387" s="83" t="b">
        <v>0</v>
      </c>
      <c r="F387" s="83" t="b">
        <v>1</v>
      </c>
      <c r="G387" s="83" t="b">
        <v>0</v>
      </c>
    </row>
    <row r="388" spans="1:7" ht="15">
      <c r="A388" s="84" t="s">
        <v>3088</v>
      </c>
      <c r="B388" s="83">
        <v>2</v>
      </c>
      <c r="C388" s="110">
        <v>0.0014312307639045199</v>
      </c>
      <c r="D388" s="83" t="s">
        <v>3362</v>
      </c>
      <c r="E388" s="83" t="b">
        <v>0</v>
      </c>
      <c r="F388" s="83" t="b">
        <v>0</v>
      </c>
      <c r="G388" s="83" t="b">
        <v>0</v>
      </c>
    </row>
    <row r="389" spans="1:7" ht="15">
      <c r="A389" s="84" t="s">
        <v>3089</v>
      </c>
      <c r="B389" s="83">
        <v>2</v>
      </c>
      <c r="C389" s="110">
        <v>0.0014312307639045199</v>
      </c>
      <c r="D389" s="83" t="s">
        <v>3362</v>
      </c>
      <c r="E389" s="83" t="b">
        <v>0</v>
      </c>
      <c r="F389" s="83" t="b">
        <v>0</v>
      </c>
      <c r="G389" s="83" t="b">
        <v>0</v>
      </c>
    </row>
    <row r="390" spans="1:7" ht="15">
      <c r="A390" s="84" t="s">
        <v>3090</v>
      </c>
      <c r="B390" s="83">
        <v>2</v>
      </c>
      <c r="C390" s="110">
        <v>0.0012819103295473864</v>
      </c>
      <c r="D390" s="83" t="s">
        <v>3362</v>
      </c>
      <c r="E390" s="83" t="b">
        <v>0</v>
      </c>
      <c r="F390" s="83" t="b">
        <v>0</v>
      </c>
      <c r="G390" s="83" t="b">
        <v>0</v>
      </c>
    </row>
    <row r="391" spans="1:7" ht="15">
      <c r="A391" s="84" t="s">
        <v>3091</v>
      </c>
      <c r="B391" s="83">
        <v>2</v>
      </c>
      <c r="C391" s="110">
        <v>0.0014312307639045199</v>
      </c>
      <c r="D391" s="83" t="s">
        <v>3362</v>
      </c>
      <c r="E391" s="83" t="b">
        <v>0</v>
      </c>
      <c r="F391" s="83" t="b">
        <v>0</v>
      </c>
      <c r="G391" s="83" t="b">
        <v>0</v>
      </c>
    </row>
    <row r="392" spans="1:7" ht="15">
      <c r="A392" s="84" t="s">
        <v>3092</v>
      </c>
      <c r="B392" s="83">
        <v>2</v>
      </c>
      <c r="C392" s="110">
        <v>0.0012819103295473864</v>
      </c>
      <c r="D392" s="83" t="s">
        <v>3362</v>
      </c>
      <c r="E392" s="83" t="b">
        <v>0</v>
      </c>
      <c r="F392" s="83" t="b">
        <v>0</v>
      </c>
      <c r="G392" s="83" t="b">
        <v>0</v>
      </c>
    </row>
    <row r="393" spans="1:7" ht="15">
      <c r="A393" s="84" t="s">
        <v>3093</v>
      </c>
      <c r="B393" s="83">
        <v>2</v>
      </c>
      <c r="C393" s="110">
        <v>0.0012819103295473864</v>
      </c>
      <c r="D393" s="83" t="s">
        <v>3362</v>
      </c>
      <c r="E393" s="83" t="b">
        <v>0</v>
      </c>
      <c r="F393" s="83" t="b">
        <v>0</v>
      </c>
      <c r="G393" s="83" t="b">
        <v>0</v>
      </c>
    </row>
    <row r="394" spans="1:7" ht="15">
      <c r="A394" s="84" t="s">
        <v>3094</v>
      </c>
      <c r="B394" s="83">
        <v>2</v>
      </c>
      <c r="C394" s="110">
        <v>0.0014312307639045199</v>
      </c>
      <c r="D394" s="83" t="s">
        <v>3362</v>
      </c>
      <c r="E394" s="83" t="b">
        <v>0</v>
      </c>
      <c r="F394" s="83" t="b">
        <v>1</v>
      </c>
      <c r="G394" s="83" t="b">
        <v>0</v>
      </c>
    </row>
    <row r="395" spans="1:7" ht="15">
      <c r="A395" s="84" t="s">
        <v>3095</v>
      </c>
      <c r="B395" s="83">
        <v>2</v>
      </c>
      <c r="C395" s="110">
        <v>0.0014312307639045199</v>
      </c>
      <c r="D395" s="83" t="s">
        <v>3362</v>
      </c>
      <c r="E395" s="83" t="b">
        <v>0</v>
      </c>
      <c r="F395" s="83" t="b">
        <v>0</v>
      </c>
      <c r="G395" s="83" t="b">
        <v>0</v>
      </c>
    </row>
    <row r="396" spans="1:7" ht="15">
      <c r="A396" s="84" t="s">
        <v>3096</v>
      </c>
      <c r="B396" s="83">
        <v>2</v>
      </c>
      <c r="C396" s="110">
        <v>0.0012819103295473864</v>
      </c>
      <c r="D396" s="83" t="s">
        <v>3362</v>
      </c>
      <c r="E396" s="83" t="b">
        <v>0</v>
      </c>
      <c r="F396" s="83" t="b">
        <v>0</v>
      </c>
      <c r="G396" s="83" t="b">
        <v>0</v>
      </c>
    </row>
    <row r="397" spans="1:7" ht="15">
      <c r="A397" s="84" t="s">
        <v>3097</v>
      </c>
      <c r="B397" s="83">
        <v>2</v>
      </c>
      <c r="C397" s="110">
        <v>0.0012819103295473864</v>
      </c>
      <c r="D397" s="83" t="s">
        <v>3362</v>
      </c>
      <c r="E397" s="83" t="b">
        <v>0</v>
      </c>
      <c r="F397" s="83" t="b">
        <v>0</v>
      </c>
      <c r="G397" s="83" t="b">
        <v>0</v>
      </c>
    </row>
    <row r="398" spans="1:7" ht="15">
      <c r="A398" s="84" t="s">
        <v>1059</v>
      </c>
      <c r="B398" s="83">
        <v>2</v>
      </c>
      <c r="C398" s="110">
        <v>0.0012819103295473864</v>
      </c>
      <c r="D398" s="83" t="s">
        <v>3362</v>
      </c>
      <c r="E398" s="83" t="b">
        <v>0</v>
      </c>
      <c r="F398" s="83" t="b">
        <v>0</v>
      </c>
      <c r="G398" s="83" t="b">
        <v>0</v>
      </c>
    </row>
    <row r="399" spans="1:7" ht="15">
      <c r="A399" s="84" t="s">
        <v>3098</v>
      </c>
      <c r="B399" s="83">
        <v>2</v>
      </c>
      <c r="C399" s="110">
        <v>0.0012819103295473864</v>
      </c>
      <c r="D399" s="83" t="s">
        <v>3362</v>
      </c>
      <c r="E399" s="83" t="b">
        <v>0</v>
      </c>
      <c r="F399" s="83" t="b">
        <v>0</v>
      </c>
      <c r="G399" s="83" t="b">
        <v>0</v>
      </c>
    </row>
    <row r="400" spans="1:7" ht="15">
      <c r="A400" s="84" t="s">
        <v>3099</v>
      </c>
      <c r="B400" s="83">
        <v>2</v>
      </c>
      <c r="C400" s="110">
        <v>0.0012819103295473864</v>
      </c>
      <c r="D400" s="83" t="s">
        <v>3362</v>
      </c>
      <c r="E400" s="83" t="b">
        <v>0</v>
      </c>
      <c r="F400" s="83" t="b">
        <v>0</v>
      </c>
      <c r="G400" s="83" t="b">
        <v>0</v>
      </c>
    </row>
    <row r="401" spans="1:7" ht="15">
      <c r="A401" s="84" t="s">
        <v>3100</v>
      </c>
      <c r="B401" s="83">
        <v>2</v>
      </c>
      <c r="C401" s="110">
        <v>0.0012819103295473864</v>
      </c>
      <c r="D401" s="83" t="s">
        <v>3362</v>
      </c>
      <c r="E401" s="83" t="b">
        <v>0</v>
      </c>
      <c r="F401" s="83" t="b">
        <v>0</v>
      </c>
      <c r="G401" s="83" t="b">
        <v>0</v>
      </c>
    </row>
    <row r="402" spans="1:7" ht="15">
      <c r="A402" s="84" t="s">
        <v>3101</v>
      </c>
      <c r="B402" s="83">
        <v>2</v>
      </c>
      <c r="C402" s="110">
        <v>0.0012819103295473864</v>
      </c>
      <c r="D402" s="83" t="s">
        <v>3362</v>
      </c>
      <c r="E402" s="83" t="b">
        <v>0</v>
      </c>
      <c r="F402" s="83" t="b">
        <v>0</v>
      </c>
      <c r="G402" s="83" t="b">
        <v>0</v>
      </c>
    </row>
    <row r="403" spans="1:7" ht="15">
      <c r="A403" s="84" t="s">
        <v>3102</v>
      </c>
      <c r="B403" s="83">
        <v>2</v>
      </c>
      <c r="C403" s="110">
        <v>0.0014312307639045199</v>
      </c>
      <c r="D403" s="83" t="s">
        <v>3362</v>
      </c>
      <c r="E403" s="83" t="b">
        <v>0</v>
      </c>
      <c r="F403" s="83" t="b">
        <v>0</v>
      </c>
      <c r="G403" s="83" t="b">
        <v>0</v>
      </c>
    </row>
    <row r="404" spans="1:7" ht="15">
      <c r="A404" s="84" t="s">
        <v>3103</v>
      </c>
      <c r="B404" s="83">
        <v>2</v>
      </c>
      <c r="C404" s="110">
        <v>0.0012819103295473864</v>
      </c>
      <c r="D404" s="83" t="s">
        <v>3362</v>
      </c>
      <c r="E404" s="83" t="b">
        <v>0</v>
      </c>
      <c r="F404" s="83" t="b">
        <v>0</v>
      </c>
      <c r="G404" s="83" t="b">
        <v>0</v>
      </c>
    </row>
    <row r="405" spans="1:7" ht="15">
      <c r="A405" s="84" t="s">
        <v>3104</v>
      </c>
      <c r="B405" s="83">
        <v>2</v>
      </c>
      <c r="C405" s="110">
        <v>0.0012819103295473864</v>
      </c>
      <c r="D405" s="83" t="s">
        <v>3362</v>
      </c>
      <c r="E405" s="83" t="b">
        <v>1</v>
      </c>
      <c r="F405" s="83" t="b">
        <v>0</v>
      </c>
      <c r="G405" s="83" t="b">
        <v>0</v>
      </c>
    </row>
    <row r="406" spans="1:7" ht="15">
      <c r="A406" s="84" t="s">
        <v>3105</v>
      </c>
      <c r="B406" s="83">
        <v>2</v>
      </c>
      <c r="C406" s="110">
        <v>0.0012819103295473864</v>
      </c>
      <c r="D406" s="83" t="s">
        <v>3362</v>
      </c>
      <c r="E406" s="83" t="b">
        <v>0</v>
      </c>
      <c r="F406" s="83" t="b">
        <v>0</v>
      </c>
      <c r="G406" s="83" t="b">
        <v>0</v>
      </c>
    </row>
    <row r="407" spans="1:7" ht="15">
      <c r="A407" s="84" t="s">
        <v>3106</v>
      </c>
      <c r="B407" s="83">
        <v>2</v>
      </c>
      <c r="C407" s="110">
        <v>0.0012819103295473864</v>
      </c>
      <c r="D407" s="83" t="s">
        <v>3362</v>
      </c>
      <c r="E407" s="83" t="b">
        <v>0</v>
      </c>
      <c r="F407" s="83" t="b">
        <v>0</v>
      </c>
      <c r="G407" s="83" t="b">
        <v>0</v>
      </c>
    </row>
    <row r="408" spans="1:7" ht="15">
      <c r="A408" s="84" t="s">
        <v>3107</v>
      </c>
      <c r="B408" s="83">
        <v>2</v>
      </c>
      <c r="C408" s="110">
        <v>0.0012819103295473864</v>
      </c>
      <c r="D408" s="83" t="s">
        <v>3362</v>
      </c>
      <c r="E408" s="83" t="b">
        <v>0</v>
      </c>
      <c r="F408" s="83" t="b">
        <v>0</v>
      </c>
      <c r="G408" s="83" t="b">
        <v>0</v>
      </c>
    </row>
    <row r="409" spans="1:7" ht="15">
      <c r="A409" s="84" t="s">
        <v>3108</v>
      </c>
      <c r="B409" s="83">
        <v>2</v>
      </c>
      <c r="C409" s="110">
        <v>0.0014312307639045199</v>
      </c>
      <c r="D409" s="83" t="s">
        <v>3362</v>
      </c>
      <c r="E409" s="83" t="b">
        <v>0</v>
      </c>
      <c r="F409" s="83" t="b">
        <v>0</v>
      </c>
      <c r="G409" s="83" t="b">
        <v>0</v>
      </c>
    </row>
    <row r="410" spans="1:7" ht="15">
      <c r="A410" s="84" t="s">
        <v>3109</v>
      </c>
      <c r="B410" s="83">
        <v>2</v>
      </c>
      <c r="C410" s="110">
        <v>0.0012819103295473864</v>
      </c>
      <c r="D410" s="83" t="s">
        <v>3362</v>
      </c>
      <c r="E410" s="83" t="b">
        <v>0</v>
      </c>
      <c r="F410" s="83" t="b">
        <v>0</v>
      </c>
      <c r="G410" s="83" t="b">
        <v>0</v>
      </c>
    </row>
    <row r="411" spans="1:7" ht="15">
      <c r="A411" s="84" t="s">
        <v>3110</v>
      </c>
      <c r="B411" s="83">
        <v>2</v>
      </c>
      <c r="C411" s="110">
        <v>0.0012819103295473864</v>
      </c>
      <c r="D411" s="83" t="s">
        <v>3362</v>
      </c>
      <c r="E411" s="83" t="b">
        <v>1</v>
      </c>
      <c r="F411" s="83" t="b">
        <v>0</v>
      </c>
      <c r="G411" s="83" t="b">
        <v>0</v>
      </c>
    </row>
    <row r="412" spans="1:7" ht="15">
      <c r="A412" s="84" t="s">
        <v>3111</v>
      </c>
      <c r="B412" s="83">
        <v>2</v>
      </c>
      <c r="C412" s="110">
        <v>0.0012819103295473864</v>
      </c>
      <c r="D412" s="83" t="s">
        <v>3362</v>
      </c>
      <c r="E412" s="83" t="b">
        <v>0</v>
      </c>
      <c r="F412" s="83" t="b">
        <v>0</v>
      </c>
      <c r="G412" s="83" t="b">
        <v>0</v>
      </c>
    </row>
    <row r="413" spans="1:7" ht="15">
      <c r="A413" s="84" t="s">
        <v>3112</v>
      </c>
      <c r="B413" s="83">
        <v>2</v>
      </c>
      <c r="C413" s="110">
        <v>0.0012819103295473864</v>
      </c>
      <c r="D413" s="83" t="s">
        <v>3362</v>
      </c>
      <c r="E413" s="83" t="b">
        <v>0</v>
      </c>
      <c r="F413" s="83" t="b">
        <v>0</v>
      </c>
      <c r="G413" s="83" t="b">
        <v>0</v>
      </c>
    </row>
    <row r="414" spans="1:7" ht="15">
      <c r="A414" s="84" t="s">
        <v>3113</v>
      </c>
      <c r="B414" s="83">
        <v>2</v>
      </c>
      <c r="C414" s="110">
        <v>0.0012819103295473864</v>
      </c>
      <c r="D414" s="83" t="s">
        <v>3362</v>
      </c>
      <c r="E414" s="83" t="b">
        <v>0</v>
      </c>
      <c r="F414" s="83" t="b">
        <v>0</v>
      </c>
      <c r="G414" s="83" t="b">
        <v>0</v>
      </c>
    </row>
    <row r="415" spans="1:7" ht="15">
      <c r="A415" s="84" t="s">
        <v>3114</v>
      </c>
      <c r="B415" s="83">
        <v>2</v>
      </c>
      <c r="C415" s="110">
        <v>0.0012819103295473864</v>
      </c>
      <c r="D415" s="83" t="s">
        <v>3362</v>
      </c>
      <c r="E415" s="83" t="b">
        <v>0</v>
      </c>
      <c r="F415" s="83" t="b">
        <v>0</v>
      </c>
      <c r="G415" s="83" t="b">
        <v>0</v>
      </c>
    </row>
    <row r="416" spans="1:7" ht="15">
      <c r="A416" s="84" t="s">
        <v>3115</v>
      </c>
      <c r="B416" s="83">
        <v>2</v>
      </c>
      <c r="C416" s="110">
        <v>0.0012819103295473864</v>
      </c>
      <c r="D416" s="83" t="s">
        <v>3362</v>
      </c>
      <c r="E416" s="83" t="b">
        <v>0</v>
      </c>
      <c r="F416" s="83" t="b">
        <v>0</v>
      </c>
      <c r="G416" s="83" t="b">
        <v>0</v>
      </c>
    </row>
    <row r="417" spans="1:7" ht="15">
      <c r="A417" s="84" t="s">
        <v>3116</v>
      </c>
      <c r="B417" s="83">
        <v>2</v>
      </c>
      <c r="C417" s="110">
        <v>0.0012819103295473864</v>
      </c>
      <c r="D417" s="83" t="s">
        <v>3362</v>
      </c>
      <c r="E417" s="83" t="b">
        <v>0</v>
      </c>
      <c r="F417" s="83" t="b">
        <v>0</v>
      </c>
      <c r="G417" s="83" t="b">
        <v>0</v>
      </c>
    </row>
    <row r="418" spans="1:7" ht="15">
      <c r="A418" s="84" t="s">
        <v>3117</v>
      </c>
      <c r="B418" s="83">
        <v>2</v>
      </c>
      <c r="C418" s="110">
        <v>0.0012819103295473864</v>
      </c>
      <c r="D418" s="83" t="s">
        <v>3362</v>
      </c>
      <c r="E418" s="83" t="b">
        <v>0</v>
      </c>
      <c r="F418" s="83" t="b">
        <v>0</v>
      </c>
      <c r="G418" s="83" t="b">
        <v>0</v>
      </c>
    </row>
    <row r="419" spans="1:7" ht="15">
      <c r="A419" s="84" t="s">
        <v>3118</v>
      </c>
      <c r="B419" s="83">
        <v>2</v>
      </c>
      <c r="C419" s="110">
        <v>0.0012819103295473864</v>
      </c>
      <c r="D419" s="83" t="s">
        <v>3362</v>
      </c>
      <c r="E419" s="83" t="b">
        <v>0</v>
      </c>
      <c r="F419" s="83" t="b">
        <v>0</v>
      </c>
      <c r="G419" s="83" t="b">
        <v>0</v>
      </c>
    </row>
    <row r="420" spans="1:7" ht="15">
      <c r="A420" s="84" t="s">
        <v>3119</v>
      </c>
      <c r="B420" s="83">
        <v>2</v>
      </c>
      <c r="C420" s="110">
        <v>0.0012819103295473864</v>
      </c>
      <c r="D420" s="83" t="s">
        <v>3362</v>
      </c>
      <c r="E420" s="83" t="b">
        <v>0</v>
      </c>
      <c r="F420" s="83" t="b">
        <v>0</v>
      </c>
      <c r="G420" s="83" t="b">
        <v>0</v>
      </c>
    </row>
    <row r="421" spans="1:7" ht="15">
      <c r="A421" s="84" t="s">
        <v>3120</v>
      </c>
      <c r="B421" s="83">
        <v>2</v>
      </c>
      <c r="C421" s="110">
        <v>0.0012819103295473864</v>
      </c>
      <c r="D421" s="83" t="s">
        <v>3362</v>
      </c>
      <c r="E421" s="83" t="b">
        <v>0</v>
      </c>
      <c r="F421" s="83" t="b">
        <v>0</v>
      </c>
      <c r="G421" s="83" t="b">
        <v>0</v>
      </c>
    </row>
    <row r="422" spans="1:7" ht="15">
      <c r="A422" s="84" t="s">
        <v>3121</v>
      </c>
      <c r="B422" s="83">
        <v>2</v>
      </c>
      <c r="C422" s="110">
        <v>0.0012819103295473864</v>
      </c>
      <c r="D422" s="83" t="s">
        <v>3362</v>
      </c>
      <c r="E422" s="83" t="b">
        <v>0</v>
      </c>
      <c r="F422" s="83" t="b">
        <v>0</v>
      </c>
      <c r="G422" s="83" t="b">
        <v>0</v>
      </c>
    </row>
    <row r="423" spans="1:7" ht="15">
      <c r="A423" s="84" t="s">
        <v>3122</v>
      </c>
      <c r="B423" s="83">
        <v>2</v>
      </c>
      <c r="C423" s="110">
        <v>0.0012819103295473864</v>
      </c>
      <c r="D423" s="83" t="s">
        <v>3362</v>
      </c>
      <c r="E423" s="83" t="b">
        <v>1</v>
      </c>
      <c r="F423" s="83" t="b">
        <v>0</v>
      </c>
      <c r="G423" s="83" t="b">
        <v>0</v>
      </c>
    </row>
    <row r="424" spans="1:7" ht="15">
      <c r="A424" s="84" t="s">
        <v>3123</v>
      </c>
      <c r="B424" s="83">
        <v>2</v>
      </c>
      <c r="C424" s="110">
        <v>0.0012819103295473864</v>
      </c>
      <c r="D424" s="83" t="s">
        <v>3362</v>
      </c>
      <c r="E424" s="83" t="b">
        <v>0</v>
      </c>
      <c r="F424" s="83" t="b">
        <v>0</v>
      </c>
      <c r="G424" s="83" t="b">
        <v>0</v>
      </c>
    </row>
    <row r="425" spans="1:7" ht="15">
      <c r="A425" s="84" t="s">
        <v>3124</v>
      </c>
      <c r="B425" s="83">
        <v>2</v>
      </c>
      <c r="C425" s="110">
        <v>0.0012819103295473864</v>
      </c>
      <c r="D425" s="83" t="s">
        <v>3362</v>
      </c>
      <c r="E425" s="83" t="b">
        <v>0</v>
      </c>
      <c r="F425" s="83" t="b">
        <v>0</v>
      </c>
      <c r="G425" s="83" t="b">
        <v>0</v>
      </c>
    </row>
    <row r="426" spans="1:7" ht="15">
      <c r="A426" s="84" t="s">
        <v>3125</v>
      </c>
      <c r="B426" s="83">
        <v>2</v>
      </c>
      <c r="C426" s="110">
        <v>0.0014312307639045199</v>
      </c>
      <c r="D426" s="83" t="s">
        <v>3362</v>
      </c>
      <c r="E426" s="83" t="b">
        <v>1</v>
      </c>
      <c r="F426" s="83" t="b">
        <v>0</v>
      </c>
      <c r="G426" s="83" t="b">
        <v>0</v>
      </c>
    </row>
    <row r="427" spans="1:7" ht="15">
      <c r="A427" s="84" t="s">
        <v>3126</v>
      </c>
      <c r="B427" s="83">
        <v>2</v>
      </c>
      <c r="C427" s="110">
        <v>0.0012819103295473864</v>
      </c>
      <c r="D427" s="83" t="s">
        <v>3362</v>
      </c>
      <c r="E427" s="83" t="b">
        <v>1</v>
      </c>
      <c r="F427" s="83" t="b">
        <v>0</v>
      </c>
      <c r="G427" s="83" t="b">
        <v>0</v>
      </c>
    </row>
    <row r="428" spans="1:7" ht="15">
      <c r="A428" s="84" t="s">
        <v>3127</v>
      </c>
      <c r="B428" s="83">
        <v>2</v>
      </c>
      <c r="C428" s="110">
        <v>0.0012819103295473864</v>
      </c>
      <c r="D428" s="83" t="s">
        <v>3362</v>
      </c>
      <c r="E428" s="83" t="b">
        <v>0</v>
      </c>
      <c r="F428" s="83" t="b">
        <v>0</v>
      </c>
      <c r="G428" s="83" t="b">
        <v>0</v>
      </c>
    </row>
    <row r="429" spans="1:7" ht="15">
      <c r="A429" s="84" t="s">
        <v>3128</v>
      </c>
      <c r="B429" s="83">
        <v>2</v>
      </c>
      <c r="C429" s="110">
        <v>0.0012819103295473864</v>
      </c>
      <c r="D429" s="83" t="s">
        <v>3362</v>
      </c>
      <c r="E429" s="83" t="b">
        <v>0</v>
      </c>
      <c r="F429" s="83" t="b">
        <v>0</v>
      </c>
      <c r="G429" s="83" t="b">
        <v>0</v>
      </c>
    </row>
    <row r="430" spans="1:7" ht="15">
      <c r="A430" s="84" t="s">
        <v>3129</v>
      </c>
      <c r="B430" s="83">
        <v>2</v>
      </c>
      <c r="C430" s="110">
        <v>0.0012819103295473864</v>
      </c>
      <c r="D430" s="83" t="s">
        <v>3362</v>
      </c>
      <c r="E430" s="83" t="b">
        <v>0</v>
      </c>
      <c r="F430" s="83" t="b">
        <v>0</v>
      </c>
      <c r="G430" s="83" t="b">
        <v>0</v>
      </c>
    </row>
    <row r="431" spans="1:7" ht="15">
      <c r="A431" s="84" t="s">
        <v>3130</v>
      </c>
      <c r="B431" s="83">
        <v>2</v>
      </c>
      <c r="C431" s="110">
        <v>0.0012819103295473864</v>
      </c>
      <c r="D431" s="83" t="s">
        <v>3362</v>
      </c>
      <c r="E431" s="83" t="b">
        <v>0</v>
      </c>
      <c r="F431" s="83" t="b">
        <v>0</v>
      </c>
      <c r="G431" s="83" t="b">
        <v>0</v>
      </c>
    </row>
    <row r="432" spans="1:7" ht="15">
      <c r="A432" s="84" t="s">
        <v>3131</v>
      </c>
      <c r="B432" s="83">
        <v>2</v>
      </c>
      <c r="C432" s="110">
        <v>0.0012819103295473864</v>
      </c>
      <c r="D432" s="83" t="s">
        <v>3362</v>
      </c>
      <c r="E432" s="83" t="b">
        <v>0</v>
      </c>
      <c r="F432" s="83" t="b">
        <v>0</v>
      </c>
      <c r="G432" s="83" t="b">
        <v>0</v>
      </c>
    </row>
    <row r="433" spans="1:7" ht="15">
      <c r="A433" s="84" t="s">
        <v>3132</v>
      </c>
      <c r="B433" s="83">
        <v>2</v>
      </c>
      <c r="C433" s="110">
        <v>0.0012819103295473864</v>
      </c>
      <c r="D433" s="83" t="s">
        <v>3362</v>
      </c>
      <c r="E433" s="83" t="b">
        <v>0</v>
      </c>
      <c r="F433" s="83" t="b">
        <v>0</v>
      </c>
      <c r="G433" s="83" t="b">
        <v>0</v>
      </c>
    </row>
    <row r="434" spans="1:7" ht="15">
      <c r="A434" s="84" t="s">
        <v>3133</v>
      </c>
      <c r="B434" s="83">
        <v>2</v>
      </c>
      <c r="C434" s="110">
        <v>0.0012819103295473864</v>
      </c>
      <c r="D434" s="83" t="s">
        <v>3362</v>
      </c>
      <c r="E434" s="83" t="b">
        <v>0</v>
      </c>
      <c r="F434" s="83" t="b">
        <v>0</v>
      </c>
      <c r="G434" s="83" t="b">
        <v>0</v>
      </c>
    </row>
    <row r="435" spans="1:7" ht="15">
      <c r="A435" s="84" t="s">
        <v>3134</v>
      </c>
      <c r="B435" s="83">
        <v>2</v>
      </c>
      <c r="C435" s="110">
        <v>0.0012819103295473864</v>
      </c>
      <c r="D435" s="83" t="s">
        <v>3362</v>
      </c>
      <c r="E435" s="83" t="b">
        <v>0</v>
      </c>
      <c r="F435" s="83" t="b">
        <v>0</v>
      </c>
      <c r="G435" s="83" t="b">
        <v>0</v>
      </c>
    </row>
    <row r="436" spans="1:7" ht="15">
      <c r="A436" s="84" t="s">
        <v>3135</v>
      </c>
      <c r="B436" s="83">
        <v>2</v>
      </c>
      <c r="C436" s="110">
        <v>0.0012819103295473864</v>
      </c>
      <c r="D436" s="83" t="s">
        <v>3362</v>
      </c>
      <c r="E436" s="83" t="b">
        <v>0</v>
      </c>
      <c r="F436" s="83" t="b">
        <v>1</v>
      </c>
      <c r="G436" s="83" t="b">
        <v>0</v>
      </c>
    </row>
    <row r="437" spans="1:7" ht="15">
      <c r="A437" s="84" t="s">
        <v>3136</v>
      </c>
      <c r="B437" s="83">
        <v>2</v>
      </c>
      <c r="C437" s="110">
        <v>0.0012819103295473864</v>
      </c>
      <c r="D437" s="83" t="s">
        <v>3362</v>
      </c>
      <c r="E437" s="83" t="b">
        <v>0</v>
      </c>
      <c r="F437" s="83" t="b">
        <v>0</v>
      </c>
      <c r="G437" s="83" t="b">
        <v>0</v>
      </c>
    </row>
    <row r="438" spans="1:7" ht="15">
      <c r="A438" s="84" t="s">
        <v>3137</v>
      </c>
      <c r="B438" s="83">
        <v>2</v>
      </c>
      <c r="C438" s="110">
        <v>0.0012819103295473864</v>
      </c>
      <c r="D438" s="83" t="s">
        <v>3362</v>
      </c>
      <c r="E438" s="83" t="b">
        <v>0</v>
      </c>
      <c r="F438" s="83" t="b">
        <v>0</v>
      </c>
      <c r="G438" s="83" t="b">
        <v>0</v>
      </c>
    </row>
    <row r="439" spans="1:7" ht="15">
      <c r="A439" s="84" t="s">
        <v>3138</v>
      </c>
      <c r="B439" s="83">
        <v>2</v>
      </c>
      <c r="C439" s="110">
        <v>0.0012819103295473864</v>
      </c>
      <c r="D439" s="83" t="s">
        <v>3362</v>
      </c>
      <c r="E439" s="83" t="b">
        <v>0</v>
      </c>
      <c r="F439" s="83" t="b">
        <v>0</v>
      </c>
      <c r="G439" s="83" t="b">
        <v>0</v>
      </c>
    </row>
    <row r="440" spans="1:7" ht="15">
      <c r="A440" s="84" t="s">
        <v>3139</v>
      </c>
      <c r="B440" s="83">
        <v>2</v>
      </c>
      <c r="C440" s="110">
        <v>0.0012819103295473864</v>
      </c>
      <c r="D440" s="83" t="s">
        <v>3362</v>
      </c>
      <c r="E440" s="83" t="b">
        <v>0</v>
      </c>
      <c r="F440" s="83" t="b">
        <v>0</v>
      </c>
      <c r="G440" s="83" t="b">
        <v>0</v>
      </c>
    </row>
    <row r="441" spans="1:7" ht="15">
      <c r="A441" s="84" t="s">
        <v>3140</v>
      </c>
      <c r="B441" s="83">
        <v>2</v>
      </c>
      <c r="C441" s="110">
        <v>0.0012819103295473864</v>
      </c>
      <c r="D441" s="83" t="s">
        <v>3362</v>
      </c>
      <c r="E441" s="83" t="b">
        <v>0</v>
      </c>
      <c r="F441" s="83" t="b">
        <v>0</v>
      </c>
      <c r="G441" s="83" t="b">
        <v>0</v>
      </c>
    </row>
    <row r="442" spans="1:7" ht="15">
      <c r="A442" s="84" t="s">
        <v>3141</v>
      </c>
      <c r="B442" s="83">
        <v>2</v>
      </c>
      <c r="C442" s="110">
        <v>0.0012819103295473864</v>
      </c>
      <c r="D442" s="83" t="s">
        <v>3362</v>
      </c>
      <c r="E442" s="83" t="b">
        <v>0</v>
      </c>
      <c r="F442" s="83" t="b">
        <v>0</v>
      </c>
      <c r="G442" s="83" t="b">
        <v>0</v>
      </c>
    </row>
    <row r="443" spans="1:7" ht="15">
      <c r="A443" s="84" t="s">
        <v>3142</v>
      </c>
      <c r="B443" s="83">
        <v>2</v>
      </c>
      <c r="C443" s="110">
        <v>0.0012819103295473864</v>
      </c>
      <c r="D443" s="83" t="s">
        <v>3362</v>
      </c>
      <c r="E443" s="83" t="b">
        <v>0</v>
      </c>
      <c r="F443" s="83" t="b">
        <v>0</v>
      </c>
      <c r="G443" s="83" t="b">
        <v>0</v>
      </c>
    </row>
    <row r="444" spans="1:7" ht="15">
      <c r="A444" s="84" t="s">
        <v>3143</v>
      </c>
      <c r="B444" s="83">
        <v>2</v>
      </c>
      <c r="C444" s="110">
        <v>0.0012819103295473864</v>
      </c>
      <c r="D444" s="83" t="s">
        <v>3362</v>
      </c>
      <c r="E444" s="83" t="b">
        <v>0</v>
      </c>
      <c r="F444" s="83" t="b">
        <v>0</v>
      </c>
      <c r="G444" s="83" t="b">
        <v>0</v>
      </c>
    </row>
    <row r="445" spans="1:7" ht="15">
      <c r="A445" s="84" t="s">
        <v>3144</v>
      </c>
      <c r="B445" s="83">
        <v>2</v>
      </c>
      <c r="C445" s="110">
        <v>0.0012819103295473864</v>
      </c>
      <c r="D445" s="83" t="s">
        <v>3362</v>
      </c>
      <c r="E445" s="83" t="b">
        <v>0</v>
      </c>
      <c r="F445" s="83" t="b">
        <v>1</v>
      </c>
      <c r="G445" s="83" t="b">
        <v>0</v>
      </c>
    </row>
    <row r="446" spans="1:7" ht="15">
      <c r="A446" s="84" t="s">
        <v>3145</v>
      </c>
      <c r="B446" s="83">
        <v>2</v>
      </c>
      <c r="C446" s="110">
        <v>0.0012819103295473864</v>
      </c>
      <c r="D446" s="83" t="s">
        <v>3362</v>
      </c>
      <c r="E446" s="83" t="b">
        <v>0</v>
      </c>
      <c r="F446" s="83" t="b">
        <v>0</v>
      </c>
      <c r="G446" s="83" t="b">
        <v>0</v>
      </c>
    </row>
    <row r="447" spans="1:7" ht="15">
      <c r="A447" s="84" t="s">
        <v>3146</v>
      </c>
      <c r="B447" s="83">
        <v>2</v>
      </c>
      <c r="C447" s="110">
        <v>0.0012819103295473864</v>
      </c>
      <c r="D447" s="83" t="s">
        <v>3362</v>
      </c>
      <c r="E447" s="83" t="b">
        <v>0</v>
      </c>
      <c r="F447" s="83" t="b">
        <v>0</v>
      </c>
      <c r="G447" s="83" t="b">
        <v>0</v>
      </c>
    </row>
    <row r="448" spans="1:7" ht="15">
      <c r="A448" s="84" t="s">
        <v>3147</v>
      </c>
      <c r="B448" s="83">
        <v>2</v>
      </c>
      <c r="C448" s="110">
        <v>0.0012819103295473864</v>
      </c>
      <c r="D448" s="83" t="s">
        <v>3362</v>
      </c>
      <c r="E448" s="83" t="b">
        <v>0</v>
      </c>
      <c r="F448" s="83" t="b">
        <v>0</v>
      </c>
      <c r="G448" s="83" t="b">
        <v>0</v>
      </c>
    </row>
    <row r="449" spans="1:7" ht="15">
      <c r="A449" s="84" t="s">
        <v>3148</v>
      </c>
      <c r="B449" s="83">
        <v>2</v>
      </c>
      <c r="C449" s="110">
        <v>0.0012819103295473864</v>
      </c>
      <c r="D449" s="83" t="s">
        <v>3362</v>
      </c>
      <c r="E449" s="83" t="b">
        <v>0</v>
      </c>
      <c r="F449" s="83" t="b">
        <v>0</v>
      </c>
      <c r="G449" s="83" t="b">
        <v>0</v>
      </c>
    </row>
    <row r="450" spans="1:7" ht="15">
      <c r="A450" s="84" t="s">
        <v>3149</v>
      </c>
      <c r="B450" s="83">
        <v>2</v>
      </c>
      <c r="C450" s="110">
        <v>0.0012819103295473864</v>
      </c>
      <c r="D450" s="83" t="s">
        <v>3362</v>
      </c>
      <c r="E450" s="83" t="b">
        <v>0</v>
      </c>
      <c r="F450" s="83" t="b">
        <v>0</v>
      </c>
      <c r="G450" s="83" t="b">
        <v>0</v>
      </c>
    </row>
    <row r="451" spans="1:7" ht="15">
      <c r="A451" s="84" t="s">
        <v>3150</v>
      </c>
      <c r="B451" s="83">
        <v>2</v>
      </c>
      <c r="C451" s="110">
        <v>0.0012819103295473864</v>
      </c>
      <c r="D451" s="83" t="s">
        <v>3362</v>
      </c>
      <c r="E451" s="83" t="b">
        <v>0</v>
      </c>
      <c r="F451" s="83" t="b">
        <v>0</v>
      </c>
      <c r="G451" s="83" t="b">
        <v>0</v>
      </c>
    </row>
    <row r="452" spans="1:7" ht="15">
      <c r="A452" s="84" t="s">
        <v>3151</v>
      </c>
      <c r="B452" s="83">
        <v>2</v>
      </c>
      <c r="C452" s="110">
        <v>0.0012819103295473864</v>
      </c>
      <c r="D452" s="83" t="s">
        <v>3362</v>
      </c>
      <c r="E452" s="83" t="b">
        <v>0</v>
      </c>
      <c r="F452" s="83" t="b">
        <v>0</v>
      </c>
      <c r="G452" s="83" t="b">
        <v>0</v>
      </c>
    </row>
    <row r="453" spans="1:7" ht="15">
      <c r="A453" s="84" t="s">
        <v>3152</v>
      </c>
      <c r="B453" s="83">
        <v>2</v>
      </c>
      <c r="C453" s="110">
        <v>0.0012819103295473864</v>
      </c>
      <c r="D453" s="83" t="s">
        <v>3362</v>
      </c>
      <c r="E453" s="83" t="b">
        <v>0</v>
      </c>
      <c r="F453" s="83" t="b">
        <v>0</v>
      </c>
      <c r="G453" s="83" t="b">
        <v>0</v>
      </c>
    </row>
    <row r="454" spans="1:7" ht="15">
      <c r="A454" s="84" t="s">
        <v>3153</v>
      </c>
      <c r="B454" s="83">
        <v>2</v>
      </c>
      <c r="C454" s="110">
        <v>0.0012819103295473864</v>
      </c>
      <c r="D454" s="83" t="s">
        <v>3362</v>
      </c>
      <c r="E454" s="83" t="b">
        <v>0</v>
      </c>
      <c r="F454" s="83" t="b">
        <v>0</v>
      </c>
      <c r="G454" s="83" t="b">
        <v>0</v>
      </c>
    </row>
    <row r="455" spans="1:7" ht="15">
      <c r="A455" s="84" t="s">
        <v>3154</v>
      </c>
      <c r="B455" s="83">
        <v>2</v>
      </c>
      <c r="C455" s="110">
        <v>0.0012819103295473864</v>
      </c>
      <c r="D455" s="83" t="s">
        <v>3362</v>
      </c>
      <c r="E455" s="83" t="b">
        <v>0</v>
      </c>
      <c r="F455" s="83" t="b">
        <v>0</v>
      </c>
      <c r="G455" s="83" t="b">
        <v>0</v>
      </c>
    </row>
    <row r="456" spans="1:7" ht="15">
      <c r="A456" s="84" t="s">
        <v>3155</v>
      </c>
      <c r="B456" s="83">
        <v>2</v>
      </c>
      <c r="C456" s="110">
        <v>0.0014312307639045199</v>
      </c>
      <c r="D456" s="83" t="s">
        <v>3362</v>
      </c>
      <c r="E456" s="83" t="b">
        <v>0</v>
      </c>
      <c r="F456" s="83" t="b">
        <v>0</v>
      </c>
      <c r="G456" s="83" t="b">
        <v>0</v>
      </c>
    </row>
    <row r="457" spans="1:7" ht="15">
      <c r="A457" s="84" t="s">
        <v>3156</v>
      </c>
      <c r="B457" s="83">
        <v>2</v>
      </c>
      <c r="C457" s="110">
        <v>0.0012819103295473864</v>
      </c>
      <c r="D457" s="83" t="s">
        <v>3362</v>
      </c>
      <c r="E457" s="83" t="b">
        <v>0</v>
      </c>
      <c r="F457" s="83" t="b">
        <v>0</v>
      </c>
      <c r="G457" s="83" t="b">
        <v>0</v>
      </c>
    </row>
    <row r="458" spans="1:7" ht="15">
      <c r="A458" s="84" t="s">
        <v>3157</v>
      </c>
      <c r="B458" s="83">
        <v>2</v>
      </c>
      <c r="C458" s="110">
        <v>0.0012819103295473864</v>
      </c>
      <c r="D458" s="83" t="s">
        <v>3362</v>
      </c>
      <c r="E458" s="83" t="b">
        <v>0</v>
      </c>
      <c r="F458" s="83" t="b">
        <v>0</v>
      </c>
      <c r="G458" s="83" t="b">
        <v>0</v>
      </c>
    </row>
    <row r="459" spans="1:7" ht="15">
      <c r="A459" s="84" t="s">
        <v>3158</v>
      </c>
      <c r="B459" s="83">
        <v>2</v>
      </c>
      <c r="C459" s="110">
        <v>0.0012819103295473864</v>
      </c>
      <c r="D459" s="83" t="s">
        <v>3362</v>
      </c>
      <c r="E459" s="83" t="b">
        <v>0</v>
      </c>
      <c r="F459" s="83" t="b">
        <v>0</v>
      </c>
      <c r="G459" s="83" t="b">
        <v>0</v>
      </c>
    </row>
    <row r="460" spans="1:7" ht="15">
      <c r="A460" s="84" t="s">
        <v>3159</v>
      </c>
      <c r="B460" s="83">
        <v>2</v>
      </c>
      <c r="C460" s="110">
        <v>0.0012819103295473864</v>
      </c>
      <c r="D460" s="83" t="s">
        <v>3362</v>
      </c>
      <c r="E460" s="83" t="b">
        <v>0</v>
      </c>
      <c r="F460" s="83" t="b">
        <v>0</v>
      </c>
      <c r="G460" s="83" t="b">
        <v>0</v>
      </c>
    </row>
    <row r="461" spans="1:7" ht="15">
      <c r="A461" s="84" t="s">
        <v>3160</v>
      </c>
      <c r="B461" s="83">
        <v>2</v>
      </c>
      <c r="C461" s="110">
        <v>0.0012819103295473864</v>
      </c>
      <c r="D461" s="83" t="s">
        <v>3362</v>
      </c>
      <c r="E461" s="83" t="b">
        <v>0</v>
      </c>
      <c r="F461" s="83" t="b">
        <v>0</v>
      </c>
      <c r="G461" s="83" t="b">
        <v>0</v>
      </c>
    </row>
    <row r="462" spans="1:7" ht="15">
      <c r="A462" s="84" t="s">
        <v>3161</v>
      </c>
      <c r="B462" s="83">
        <v>2</v>
      </c>
      <c r="C462" s="110">
        <v>0.0012819103295473864</v>
      </c>
      <c r="D462" s="83" t="s">
        <v>3362</v>
      </c>
      <c r="E462" s="83" t="b">
        <v>1</v>
      </c>
      <c r="F462" s="83" t="b">
        <v>0</v>
      </c>
      <c r="G462" s="83" t="b">
        <v>0</v>
      </c>
    </row>
    <row r="463" spans="1:7" ht="15">
      <c r="A463" s="84" t="s">
        <v>3162</v>
      </c>
      <c r="B463" s="83">
        <v>2</v>
      </c>
      <c r="C463" s="110">
        <v>0.0012819103295473864</v>
      </c>
      <c r="D463" s="83" t="s">
        <v>3362</v>
      </c>
      <c r="E463" s="83" t="b">
        <v>0</v>
      </c>
      <c r="F463" s="83" t="b">
        <v>0</v>
      </c>
      <c r="G463" s="83" t="b">
        <v>0</v>
      </c>
    </row>
    <row r="464" spans="1:7" ht="15">
      <c r="A464" s="84" t="s">
        <v>3163</v>
      </c>
      <c r="B464" s="83">
        <v>2</v>
      </c>
      <c r="C464" s="110">
        <v>0.0012819103295473864</v>
      </c>
      <c r="D464" s="83" t="s">
        <v>3362</v>
      </c>
      <c r="E464" s="83" t="b">
        <v>0</v>
      </c>
      <c r="F464" s="83" t="b">
        <v>0</v>
      </c>
      <c r="G464" s="83" t="b">
        <v>0</v>
      </c>
    </row>
    <row r="465" spans="1:7" ht="15">
      <c r="A465" s="84" t="s">
        <v>3164</v>
      </c>
      <c r="B465" s="83">
        <v>2</v>
      </c>
      <c r="C465" s="110">
        <v>0.0012819103295473864</v>
      </c>
      <c r="D465" s="83" t="s">
        <v>3362</v>
      </c>
      <c r="E465" s="83" t="b">
        <v>0</v>
      </c>
      <c r="F465" s="83" t="b">
        <v>0</v>
      </c>
      <c r="G465" s="83" t="b">
        <v>0</v>
      </c>
    </row>
    <row r="466" spans="1:7" ht="15">
      <c r="A466" s="84" t="s">
        <v>3165</v>
      </c>
      <c r="B466" s="83">
        <v>2</v>
      </c>
      <c r="C466" s="110">
        <v>0.0012819103295473864</v>
      </c>
      <c r="D466" s="83" t="s">
        <v>3362</v>
      </c>
      <c r="E466" s="83" t="b">
        <v>0</v>
      </c>
      <c r="F466" s="83" t="b">
        <v>0</v>
      </c>
      <c r="G466" s="83" t="b">
        <v>0</v>
      </c>
    </row>
    <row r="467" spans="1:7" ht="15">
      <c r="A467" s="84" t="s">
        <v>3166</v>
      </c>
      <c r="B467" s="83">
        <v>2</v>
      </c>
      <c r="C467" s="110">
        <v>0.0012819103295473864</v>
      </c>
      <c r="D467" s="83" t="s">
        <v>3362</v>
      </c>
      <c r="E467" s="83" t="b">
        <v>0</v>
      </c>
      <c r="F467" s="83" t="b">
        <v>0</v>
      </c>
      <c r="G467" s="83" t="b">
        <v>0</v>
      </c>
    </row>
    <row r="468" spans="1:7" ht="15">
      <c r="A468" s="84" t="s">
        <v>3167</v>
      </c>
      <c r="B468" s="83">
        <v>2</v>
      </c>
      <c r="C468" s="110">
        <v>0.0012819103295473864</v>
      </c>
      <c r="D468" s="83" t="s">
        <v>3362</v>
      </c>
      <c r="E468" s="83" t="b">
        <v>0</v>
      </c>
      <c r="F468" s="83" t="b">
        <v>0</v>
      </c>
      <c r="G468" s="83" t="b">
        <v>0</v>
      </c>
    </row>
    <row r="469" spans="1:7" ht="15">
      <c r="A469" s="84" t="s">
        <v>3168</v>
      </c>
      <c r="B469" s="83">
        <v>2</v>
      </c>
      <c r="C469" s="110">
        <v>0.0012819103295473864</v>
      </c>
      <c r="D469" s="83" t="s">
        <v>3362</v>
      </c>
      <c r="E469" s="83" t="b">
        <v>0</v>
      </c>
      <c r="F469" s="83" t="b">
        <v>0</v>
      </c>
      <c r="G469" s="83" t="b">
        <v>0</v>
      </c>
    </row>
    <row r="470" spans="1:7" ht="15">
      <c r="A470" s="84" t="s">
        <v>3169</v>
      </c>
      <c r="B470" s="83">
        <v>2</v>
      </c>
      <c r="C470" s="110">
        <v>0.0012819103295473864</v>
      </c>
      <c r="D470" s="83" t="s">
        <v>3362</v>
      </c>
      <c r="E470" s="83" t="b">
        <v>0</v>
      </c>
      <c r="F470" s="83" t="b">
        <v>0</v>
      </c>
      <c r="G470" s="83" t="b">
        <v>0</v>
      </c>
    </row>
    <row r="471" spans="1:7" ht="15">
      <c r="A471" s="84" t="s">
        <v>3170</v>
      </c>
      <c r="B471" s="83">
        <v>2</v>
      </c>
      <c r="C471" s="110">
        <v>0.0012819103295473864</v>
      </c>
      <c r="D471" s="83" t="s">
        <v>3362</v>
      </c>
      <c r="E471" s="83" t="b">
        <v>0</v>
      </c>
      <c r="F471" s="83" t="b">
        <v>0</v>
      </c>
      <c r="G471" s="83" t="b">
        <v>0</v>
      </c>
    </row>
    <row r="472" spans="1:7" ht="15">
      <c r="A472" s="84" t="s">
        <v>3171</v>
      </c>
      <c r="B472" s="83">
        <v>2</v>
      </c>
      <c r="C472" s="110">
        <v>0.0014312307639045199</v>
      </c>
      <c r="D472" s="83" t="s">
        <v>3362</v>
      </c>
      <c r="E472" s="83" t="b">
        <v>0</v>
      </c>
      <c r="F472" s="83" t="b">
        <v>0</v>
      </c>
      <c r="G472" s="83" t="b">
        <v>0</v>
      </c>
    </row>
    <row r="473" spans="1:7" ht="15">
      <c r="A473" s="84" t="s">
        <v>3172</v>
      </c>
      <c r="B473" s="83">
        <v>2</v>
      </c>
      <c r="C473" s="110">
        <v>0.0012819103295473864</v>
      </c>
      <c r="D473" s="83" t="s">
        <v>3362</v>
      </c>
      <c r="E473" s="83" t="b">
        <v>0</v>
      </c>
      <c r="F473" s="83" t="b">
        <v>0</v>
      </c>
      <c r="G473" s="83" t="b">
        <v>0</v>
      </c>
    </row>
    <row r="474" spans="1:7" ht="15">
      <c r="A474" s="84" t="s">
        <v>3173</v>
      </c>
      <c r="B474" s="83">
        <v>2</v>
      </c>
      <c r="C474" s="110">
        <v>0.0012819103295473864</v>
      </c>
      <c r="D474" s="83" t="s">
        <v>3362</v>
      </c>
      <c r="E474" s="83" t="b">
        <v>0</v>
      </c>
      <c r="F474" s="83" t="b">
        <v>0</v>
      </c>
      <c r="G474" s="83" t="b">
        <v>0</v>
      </c>
    </row>
    <row r="475" spans="1:7" ht="15">
      <c r="A475" s="84" t="s">
        <v>3174</v>
      </c>
      <c r="B475" s="83">
        <v>2</v>
      </c>
      <c r="C475" s="110">
        <v>0.0012819103295473864</v>
      </c>
      <c r="D475" s="83" t="s">
        <v>3362</v>
      </c>
      <c r="E475" s="83" t="b">
        <v>0</v>
      </c>
      <c r="F475" s="83" t="b">
        <v>0</v>
      </c>
      <c r="G475" s="83" t="b">
        <v>0</v>
      </c>
    </row>
    <row r="476" spans="1:7" ht="15">
      <c r="A476" s="84" t="s">
        <v>3175</v>
      </c>
      <c r="B476" s="83">
        <v>2</v>
      </c>
      <c r="C476" s="110">
        <v>0.0012819103295473864</v>
      </c>
      <c r="D476" s="83" t="s">
        <v>3362</v>
      </c>
      <c r="E476" s="83" t="b">
        <v>0</v>
      </c>
      <c r="F476" s="83" t="b">
        <v>1</v>
      </c>
      <c r="G476" s="83" t="b">
        <v>0</v>
      </c>
    </row>
    <row r="477" spans="1:7" ht="15">
      <c r="A477" s="84" t="s">
        <v>3176</v>
      </c>
      <c r="B477" s="83">
        <v>2</v>
      </c>
      <c r="C477" s="110">
        <v>0.0012819103295473864</v>
      </c>
      <c r="D477" s="83" t="s">
        <v>3362</v>
      </c>
      <c r="E477" s="83" t="b">
        <v>0</v>
      </c>
      <c r="F477" s="83" t="b">
        <v>0</v>
      </c>
      <c r="G477" s="83" t="b">
        <v>0</v>
      </c>
    </row>
    <row r="478" spans="1:7" ht="15">
      <c r="A478" s="84" t="s">
        <v>3177</v>
      </c>
      <c r="B478" s="83">
        <v>2</v>
      </c>
      <c r="C478" s="110">
        <v>0.0012819103295473864</v>
      </c>
      <c r="D478" s="83" t="s">
        <v>3362</v>
      </c>
      <c r="E478" s="83" t="b">
        <v>0</v>
      </c>
      <c r="F478" s="83" t="b">
        <v>0</v>
      </c>
      <c r="G478" s="83" t="b">
        <v>0</v>
      </c>
    </row>
    <row r="479" spans="1:7" ht="15">
      <c r="A479" s="84" t="s">
        <v>3178</v>
      </c>
      <c r="B479" s="83">
        <v>2</v>
      </c>
      <c r="C479" s="110">
        <v>0.0012819103295473864</v>
      </c>
      <c r="D479" s="83" t="s">
        <v>3362</v>
      </c>
      <c r="E479" s="83" t="b">
        <v>0</v>
      </c>
      <c r="F479" s="83" t="b">
        <v>0</v>
      </c>
      <c r="G479" s="83" t="b">
        <v>0</v>
      </c>
    </row>
    <row r="480" spans="1:7" ht="15">
      <c r="A480" s="84" t="s">
        <v>3179</v>
      </c>
      <c r="B480" s="83">
        <v>2</v>
      </c>
      <c r="C480" s="110">
        <v>0.0012819103295473864</v>
      </c>
      <c r="D480" s="83" t="s">
        <v>3362</v>
      </c>
      <c r="E480" s="83" t="b">
        <v>0</v>
      </c>
      <c r="F480" s="83" t="b">
        <v>0</v>
      </c>
      <c r="G480" s="83" t="b">
        <v>0</v>
      </c>
    </row>
    <row r="481" spans="1:7" ht="15">
      <c r="A481" s="84" t="s">
        <v>3180</v>
      </c>
      <c r="B481" s="83">
        <v>2</v>
      </c>
      <c r="C481" s="110">
        <v>0.0012819103295473864</v>
      </c>
      <c r="D481" s="83" t="s">
        <v>3362</v>
      </c>
      <c r="E481" s="83" t="b">
        <v>0</v>
      </c>
      <c r="F481" s="83" t="b">
        <v>0</v>
      </c>
      <c r="G481" s="83" t="b">
        <v>0</v>
      </c>
    </row>
    <row r="482" spans="1:7" ht="15">
      <c r="A482" s="84" t="s">
        <v>3181</v>
      </c>
      <c r="B482" s="83">
        <v>2</v>
      </c>
      <c r="C482" s="110">
        <v>0.0012819103295473864</v>
      </c>
      <c r="D482" s="83" t="s">
        <v>3362</v>
      </c>
      <c r="E482" s="83" t="b">
        <v>0</v>
      </c>
      <c r="F482" s="83" t="b">
        <v>0</v>
      </c>
      <c r="G482" s="83" t="b">
        <v>0</v>
      </c>
    </row>
    <row r="483" spans="1:7" ht="15">
      <c r="A483" s="84" t="s">
        <v>3182</v>
      </c>
      <c r="B483" s="83">
        <v>2</v>
      </c>
      <c r="C483" s="110">
        <v>0.0012819103295473864</v>
      </c>
      <c r="D483" s="83" t="s">
        <v>3362</v>
      </c>
      <c r="E483" s="83" t="b">
        <v>0</v>
      </c>
      <c r="F483" s="83" t="b">
        <v>1</v>
      </c>
      <c r="G483" s="83" t="b">
        <v>0</v>
      </c>
    </row>
    <row r="484" spans="1:7" ht="15">
      <c r="A484" s="84" t="s">
        <v>3183</v>
      </c>
      <c r="B484" s="83">
        <v>2</v>
      </c>
      <c r="C484" s="110">
        <v>0.0012819103295473864</v>
      </c>
      <c r="D484" s="83" t="s">
        <v>3362</v>
      </c>
      <c r="E484" s="83" t="b">
        <v>0</v>
      </c>
      <c r="F484" s="83" t="b">
        <v>0</v>
      </c>
      <c r="G484" s="83" t="b">
        <v>0</v>
      </c>
    </row>
    <row r="485" spans="1:7" ht="15">
      <c r="A485" s="84" t="s">
        <v>3184</v>
      </c>
      <c r="B485" s="83">
        <v>2</v>
      </c>
      <c r="C485" s="110">
        <v>0.0014312307639045199</v>
      </c>
      <c r="D485" s="83" t="s">
        <v>3362</v>
      </c>
      <c r="E485" s="83" t="b">
        <v>0</v>
      </c>
      <c r="F485" s="83" t="b">
        <v>0</v>
      </c>
      <c r="G485" s="83" t="b">
        <v>0</v>
      </c>
    </row>
    <row r="486" spans="1:7" ht="15">
      <c r="A486" s="84" t="s">
        <v>3185</v>
      </c>
      <c r="B486" s="83">
        <v>2</v>
      </c>
      <c r="C486" s="110">
        <v>0.0014312307639045199</v>
      </c>
      <c r="D486" s="83" t="s">
        <v>3362</v>
      </c>
      <c r="E486" s="83" t="b">
        <v>0</v>
      </c>
      <c r="F486" s="83" t="b">
        <v>0</v>
      </c>
      <c r="G486" s="83" t="b">
        <v>0</v>
      </c>
    </row>
    <row r="487" spans="1:7" ht="15">
      <c r="A487" s="84" t="s">
        <v>3186</v>
      </c>
      <c r="B487" s="83">
        <v>2</v>
      </c>
      <c r="C487" s="110">
        <v>0.0012819103295473864</v>
      </c>
      <c r="D487" s="83" t="s">
        <v>3362</v>
      </c>
      <c r="E487" s="83" t="b">
        <v>0</v>
      </c>
      <c r="F487" s="83" t="b">
        <v>0</v>
      </c>
      <c r="G487" s="83" t="b">
        <v>0</v>
      </c>
    </row>
    <row r="488" spans="1:7" ht="15">
      <c r="A488" s="84" t="s">
        <v>3187</v>
      </c>
      <c r="B488" s="83">
        <v>2</v>
      </c>
      <c r="C488" s="110">
        <v>0.0012819103295473864</v>
      </c>
      <c r="D488" s="83" t="s">
        <v>3362</v>
      </c>
      <c r="E488" s="83" t="b">
        <v>0</v>
      </c>
      <c r="F488" s="83" t="b">
        <v>0</v>
      </c>
      <c r="G488" s="83" t="b">
        <v>0</v>
      </c>
    </row>
    <row r="489" spans="1:7" ht="15">
      <c r="A489" s="84" t="s">
        <v>3188</v>
      </c>
      <c r="B489" s="83">
        <v>2</v>
      </c>
      <c r="C489" s="110">
        <v>0.0012819103295473864</v>
      </c>
      <c r="D489" s="83" t="s">
        <v>3362</v>
      </c>
      <c r="E489" s="83" t="b">
        <v>0</v>
      </c>
      <c r="F489" s="83" t="b">
        <v>0</v>
      </c>
      <c r="G489" s="83" t="b">
        <v>0</v>
      </c>
    </row>
    <row r="490" spans="1:7" ht="15">
      <c r="A490" s="84" t="s">
        <v>3189</v>
      </c>
      <c r="B490" s="83">
        <v>2</v>
      </c>
      <c r="C490" s="110">
        <v>0.0012819103295473864</v>
      </c>
      <c r="D490" s="83" t="s">
        <v>3362</v>
      </c>
      <c r="E490" s="83" t="b">
        <v>0</v>
      </c>
      <c r="F490" s="83" t="b">
        <v>0</v>
      </c>
      <c r="G490" s="83" t="b">
        <v>0</v>
      </c>
    </row>
    <row r="491" spans="1:7" ht="15">
      <c r="A491" s="84" t="s">
        <v>3190</v>
      </c>
      <c r="B491" s="83">
        <v>2</v>
      </c>
      <c r="C491" s="110">
        <v>0.0012819103295473864</v>
      </c>
      <c r="D491" s="83" t="s">
        <v>3362</v>
      </c>
      <c r="E491" s="83" t="b">
        <v>0</v>
      </c>
      <c r="F491" s="83" t="b">
        <v>0</v>
      </c>
      <c r="G491" s="83" t="b">
        <v>0</v>
      </c>
    </row>
    <row r="492" spans="1:7" ht="15">
      <c r="A492" s="84" t="s">
        <v>3191</v>
      </c>
      <c r="B492" s="83">
        <v>2</v>
      </c>
      <c r="C492" s="110">
        <v>0.0012819103295473864</v>
      </c>
      <c r="D492" s="83" t="s">
        <v>3362</v>
      </c>
      <c r="E492" s="83" t="b">
        <v>1</v>
      </c>
      <c r="F492" s="83" t="b">
        <v>0</v>
      </c>
      <c r="G492" s="83" t="b">
        <v>0</v>
      </c>
    </row>
    <row r="493" spans="1:7" ht="15">
      <c r="A493" s="84" t="s">
        <v>3192</v>
      </c>
      <c r="B493" s="83">
        <v>2</v>
      </c>
      <c r="C493" s="110">
        <v>0.0012819103295473864</v>
      </c>
      <c r="D493" s="83" t="s">
        <v>3362</v>
      </c>
      <c r="E493" s="83" t="b">
        <v>0</v>
      </c>
      <c r="F493" s="83" t="b">
        <v>0</v>
      </c>
      <c r="G493" s="83" t="b">
        <v>0</v>
      </c>
    </row>
    <row r="494" spans="1:7" ht="15">
      <c r="A494" s="84" t="s">
        <v>3193</v>
      </c>
      <c r="B494" s="83">
        <v>2</v>
      </c>
      <c r="C494" s="110">
        <v>0.0012819103295473864</v>
      </c>
      <c r="D494" s="83" t="s">
        <v>3362</v>
      </c>
      <c r="E494" s="83" t="b">
        <v>0</v>
      </c>
      <c r="F494" s="83" t="b">
        <v>0</v>
      </c>
      <c r="G494" s="83" t="b">
        <v>0</v>
      </c>
    </row>
    <row r="495" spans="1:7" ht="15">
      <c r="A495" s="84" t="s">
        <v>3194</v>
      </c>
      <c r="B495" s="83">
        <v>2</v>
      </c>
      <c r="C495" s="110">
        <v>0.0012819103295473864</v>
      </c>
      <c r="D495" s="83" t="s">
        <v>3362</v>
      </c>
      <c r="E495" s="83" t="b">
        <v>0</v>
      </c>
      <c r="F495" s="83" t="b">
        <v>0</v>
      </c>
      <c r="G495" s="83" t="b">
        <v>0</v>
      </c>
    </row>
    <row r="496" spans="1:7" ht="15">
      <c r="A496" s="84" t="s">
        <v>3195</v>
      </c>
      <c r="B496" s="83">
        <v>2</v>
      </c>
      <c r="C496" s="110">
        <v>0.0012819103295473864</v>
      </c>
      <c r="D496" s="83" t="s">
        <v>3362</v>
      </c>
      <c r="E496" s="83" t="b">
        <v>0</v>
      </c>
      <c r="F496" s="83" t="b">
        <v>0</v>
      </c>
      <c r="G496" s="83" t="b">
        <v>0</v>
      </c>
    </row>
    <row r="497" spans="1:7" ht="15">
      <c r="A497" s="84" t="s">
        <v>3196</v>
      </c>
      <c r="B497" s="83">
        <v>2</v>
      </c>
      <c r="C497" s="110">
        <v>0.0012819103295473864</v>
      </c>
      <c r="D497" s="83" t="s">
        <v>3362</v>
      </c>
      <c r="E497" s="83" t="b">
        <v>0</v>
      </c>
      <c r="F497" s="83" t="b">
        <v>0</v>
      </c>
      <c r="G497" s="83" t="b">
        <v>0</v>
      </c>
    </row>
    <row r="498" spans="1:7" ht="15">
      <c r="A498" s="84" t="s">
        <v>3197</v>
      </c>
      <c r="B498" s="83">
        <v>2</v>
      </c>
      <c r="C498" s="110">
        <v>0.0012819103295473864</v>
      </c>
      <c r="D498" s="83" t="s">
        <v>3362</v>
      </c>
      <c r="E498" s="83" t="b">
        <v>1</v>
      </c>
      <c r="F498" s="83" t="b">
        <v>0</v>
      </c>
      <c r="G498" s="83" t="b">
        <v>0</v>
      </c>
    </row>
    <row r="499" spans="1:7" ht="15">
      <c r="A499" s="84" t="s">
        <v>3198</v>
      </c>
      <c r="B499" s="83">
        <v>2</v>
      </c>
      <c r="C499" s="110">
        <v>0.0012819103295473864</v>
      </c>
      <c r="D499" s="83" t="s">
        <v>3362</v>
      </c>
      <c r="E499" s="83" t="b">
        <v>0</v>
      </c>
      <c r="F499" s="83" t="b">
        <v>0</v>
      </c>
      <c r="G499" s="83" t="b">
        <v>0</v>
      </c>
    </row>
    <row r="500" spans="1:7" ht="15">
      <c r="A500" s="84" t="s">
        <v>3199</v>
      </c>
      <c r="B500" s="83">
        <v>2</v>
      </c>
      <c r="C500" s="110">
        <v>0.0012819103295473864</v>
      </c>
      <c r="D500" s="83" t="s">
        <v>3362</v>
      </c>
      <c r="E500" s="83" t="b">
        <v>0</v>
      </c>
      <c r="F500" s="83" t="b">
        <v>0</v>
      </c>
      <c r="G500" s="83" t="b">
        <v>0</v>
      </c>
    </row>
    <row r="501" spans="1:7" ht="15">
      <c r="A501" s="84" t="s">
        <v>3200</v>
      </c>
      <c r="B501" s="83">
        <v>2</v>
      </c>
      <c r="C501" s="110">
        <v>0.0012819103295473864</v>
      </c>
      <c r="D501" s="83" t="s">
        <v>3362</v>
      </c>
      <c r="E501" s="83" t="b">
        <v>0</v>
      </c>
      <c r="F501" s="83" t="b">
        <v>0</v>
      </c>
      <c r="G501" s="83" t="b">
        <v>0</v>
      </c>
    </row>
    <row r="502" spans="1:7" ht="15">
      <c r="A502" s="84" t="s">
        <v>3201</v>
      </c>
      <c r="B502" s="83">
        <v>2</v>
      </c>
      <c r="C502" s="110">
        <v>0.0012819103295473864</v>
      </c>
      <c r="D502" s="83" t="s">
        <v>3362</v>
      </c>
      <c r="E502" s="83" t="b">
        <v>0</v>
      </c>
      <c r="F502" s="83" t="b">
        <v>0</v>
      </c>
      <c r="G502" s="83" t="b">
        <v>0</v>
      </c>
    </row>
    <row r="503" spans="1:7" ht="15">
      <c r="A503" s="84" t="s">
        <v>3202</v>
      </c>
      <c r="B503" s="83">
        <v>2</v>
      </c>
      <c r="C503" s="110">
        <v>0.0012819103295473864</v>
      </c>
      <c r="D503" s="83" t="s">
        <v>3362</v>
      </c>
      <c r="E503" s="83" t="b">
        <v>0</v>
      </c>
      <c r="F503" s="83" t="b">
        <v>0</v>
      </c>
      <c r="G503" s="83" t="b">
        <v>0</v>
      </c>
    </row>
    <row r="504" spans="1:7" ht="15">
      <c r="A504" s="84" t="s">
        <v>3203</v>
      </c>
      <c r="B504" s="83">
        <v>2</v>
      </c>
      <c r="C504" s="110">
        <v>0.0012819103295473864</v>
      </c>
      <c r="D504" s="83" t="s">
        <v>3362</v>
      </c>
      <c r="E504" s="83" t="b">
        <v>0</v>
      </c>
      <c r="F504" s="83" t="b">
        <v>0</v>
      </c>
      <c r="G504" s="83" t="b">
        <v>0</v>
      </c>
    </row>
    <row r="505" spans="1:7" ht="15">
      <c r="A505" s="84" t="s">
        <v>3204</v>
      </c>
      <c r="B505" s="83">
        <v>2</v>
      </c>
      <c r="C505" s="110">
        <v>0.0012819103295473864</v>
      </c>
      <c r="D505" s="83" t="s">
        <v>3362</v>
      </c>
      <c r="E505" s="83" t="b">
        <v>0</v>
      </c>
      <c r="F505" s="83" t="b">
        <v>0</v>
      </c>
      <c r="G505" s="83" t="b">
        <v>0</v>
      </c>
    </row>
    <row r="506" spans="1:7" ht="15">
      <c r="A506" s="84" t="s">
        <v>3205</v>
      </c>
      <c r="B506" s="83">
        <v>2</v>
      </c>
      <c r="C506" s="110">
        <v>0.0014312307639045199</v>
      </c>
      <c r="D506" s="83" t="s">
        <v>3362</v>
      </c>
      <c r="E506" s="83" t="b">
        <v>0</v>
      </c>
      <c r="F506" s="83" t="b">
        <v>0</v>
      </c>
      <c r="G506" s="83" t="b">
        <v>0</v>
      </c>
    </row>
    <row r="507" spans="1:7" ht="15">
      <c r="A507" s="84" t="s">
        <v>3206</v>
      </c>
      <c r="B507" s="83">
        <v>2</v>
      </c>
      <c r="C507" s="110">
        <v>0.0012819103295473864</v>
      </c>
      <c r="D507" s="83" t="s">
        <v>3362</v>
      </c>
      <c r="E507" s="83" t="b">
        <v>0</v>
      </c>
      <c r="F507" s="83" t="b">
        <v>0</v>
      </c>
      <c r="G507" s="83" t="b">
        <v>0</v>
      </c>
    </row>
    <row r="508" spans="1:7" ht="15">
      <c r="A508" s="84" t="s">
        <v>3207</v>
      </c>
      <c r="B508" s="83">
        <v>2</v>
      </c>
      <c r="C508" s="110">
        <v>0.0012819103295473864</v>
      </c>
      <c r="D508" s="83" t="s">
        <v>3362</v>
      </c>
      <c r="E508" s="83" t="b">
        <v>0</v>
      </c>
      <c r="F508" s="83" t="b">
        <v>0</v>
      </c>
      <c r="G508" s="83" t="b">
        <v>0</v>
      </c>
    </row>
    <row r="509" spans="1:7" ht="15">
      <c r="A509" s="84" t="s">
        <v>3208</v>
      </c>
      <c r="B509" s="83">
        <v>2</v>
      </c>
      <c r="C509" s="110">
        <v>0.0014312307639045199</v>
      </c>
      <c r="D509" s="83" t="s">
        <v>3362</v>
      </c>
      <c r="E509" s="83" t="b">
        <v>0</v>
      </c>
      <c r="F509" s="83" t="b">
        <v>0</v>
      </c>
      <c r="G509" s="83" t="b">
        <v>0</v>
      </c>
    </row>
    <row r="510" spans="1:7" ht="15">
      <c r="A510" s="84" t="s">
        <v>3209</v>
      </c>
      <c r="B510" s="83">
        <v>2</v>
      </c>
      <c r="C510" s="110">
        <v>0.0012819103295473864</v>
      </c>
      <c r="D510" s="83" t="s">
        <v>3362</v>
      </c>
      <c r="E510" s="83" t="b">
        <v>0</v>
      </c>
      <c r="F510" s="83" t="b">
        <v>0</v>
      </c>
      <c r="G510" s="83" t="b">
        <v>0</v>
      </c>
    </row>
    <row r="511" spans="1:7" ht="15">
      <c r="A511" s="84" t="s">
        <v>3210</v>
      </c>
      <c r="B511" s="83">
        <v>2</v>
      </c>
      <c r="C511" s="110">
        <v>0.0012819103295473864</v>
      </c>
      <c r="D511" s="83" t="s">
        <v>3362</v>
      </c>
      <c r="E511" s="83" t="b">
        <v>0</v>
      </c>
      <c r="F511" s="83" t="b">
        <v>0</v>
      </c>
      <c r="G511" s="83" t="b">
        <v>0</v>
      </c>
    </row>
    <row r="512" spans="1:7" ht="15">
      <c r="A512" s="84" t="s">
        <v>3211</v>
      </c>
      <c r="B512" s="83">
        <v>2</v>
      </c>
      <c r="C512" s="110">
        <v>0.0012819103295473864</v>
      </c>
      <c r="D512" s="83" t="s">
        <v>3362</v>
      </c>
      <c r="E512" s="83" t="b">
        <v>0</v>
      </c>
      <c r="F512" s="83" t="b">
        <v>0</v>
      </c>
      <c r="G512" s="83" t="b">
        <v>0</v>
      </c>
    </row>
    <row r="513" spans="1:7" ht="15">
      <c r="A513" s="84" t="s">
        <v>3212</v>
      </c>
      <c r="B513" s="83">
        <v>2</v>
      </c>
      <c r="C513" s="110">
        <v>0.0012819103295473864</v>
      </c>
      <c r="D513" s="83" t="s">
        <v>3362</v>
      </c>
      <c r="E513" s="83" t="b">
        <v>0</v>
      </c>
      <c r="F513" s="83" t="b">
        <v>0</v>
      </c>
      <c r="G513" s="83" t="b">
        <v>0</v>
      </c>
    </row>
    <row r="514" spans="1:7" ht="15">
      <c r="A514" s="84" t="s">
        <v>3213</v>
      </c>
      <c r="B514" s="83">
        <v>2</v>
      </c>
      <c r="C514" s="110">
        <v>0.0012819103295473864</v>
      </c>
      <c r="D514" s="83" t="s">
        <v>3362</v>
      </c>
      <c r="E514" s="83" t="b">
        <v>0</v>
      </c>
      <c r="F514" s="83" t="b">
        <v>0</v>
      </c>
      <c r="G514" s="83" t="b">
        <v>0</v>
      </c>
    </row>
    <row r="515" spans="1:7" ht="15">
      <c r="A515" s="84" t="s">
        <v>3214</v>
      </c>
      <c r="B515" s="83">
        <v>2</v>
      </c>
      <c r="C515" s="110">
        <v>0.0012819103295473864</v>
      </c>
      <c r="D515" s="83" t="s">
        <v>3362</v>
      </c>
      <c r="E515" s="83" t="b">
        <v>0</v>
      </c>
      <c r="F515" s="83" t="b">
        <v>0</v>
      </c>
      <c r="G515" s="83" t="b">
        <v>0</v>
      </c>
    </row>
    <row r="516" spans="1:7" ht="15">
      <c r="A516" s="84" t="s">
        <v>3215</v>
      </c>
      <c r="B516" s="83">
        <v>2</v>
      </c>
      <c r="C516" s="110">
        <v>0.0012819103295473864</v>
      </c>
      <c r="D516" s="83" t="s">
        <v>3362</v>
      </c>
      <c r="E516" s="83" t="b">
        <v>1</v>
      </c>
      <c r="F516" s="83" t="b">
        <v>0</v>
      </c>
      <c r="G516" s="83" t="b">
        <v>0</v>
      </c>
    </row>
    <row r="517" spans="1:7" ht="15">
      <c r="A517" s="84" t="s">
        <v>3216</v>
      </c>
      <c r="B517" s="83">
        <v>2</v>
      </c>
      <c r="C517" s="110">
        <v>0.0012819103295473864</v>
      </c>
      <c r="D517" s="83" t="s">
        <v>3362</v>
      </c>
      <c r="E517" s="83" t="b">
        <v>0</v>
      </c>
      <c r="F517" s="83" t="b">
        <v>0</v>
      </c>
      <c r="G517" s="83" t="b">
        <v>0</v>
      </c>
    </row>
    <row r="518" spans="1:7" ht="15">
      <c r="A518" s="84" t="s">
        <v>3217</v>
      </c>
      <c r="B518" s="83">
        <v>2</v>
      </c>
      <c r="C518" s="110">
        <v>0.0014312307639045199</v>
      </c>
      <c r="D518" s="83" t="s">
        <v>3362</v>
      </c>
      <c r="E518" s="83" t="b">
        <v>0</v>
      </c>
      <c r="F518" s="83" t="b">
        <v>0</v>
      </c>
      <c r="G518" s="83" t="b">
        <v>0</v>
      </c>
    </row>
    <row r="519" spans="1:7" ht="15">
      <c r="A519" s="84" t="s">
        <v>3218</v>
      </c>
      <c r="B519" s="83">
        <v>2</v>
      </c>
      <c r="C519" s="110">
        <v>0.0014312307639045199</v>
      </c>
      <c r="D519" s="83" t="s">
        <v>3362</v>
      </c>
      <c r="E519" s="83" t="b">
        <v>0</v>
      </c>
      <c r="F519" s="83" t="b">
        <v>0</v>
      </c>
      <c r="G519" s="83" t="b">
        <v>0</v>
      </c>
    </row>
    <row r="520" spans="1:7" ht="15">
      <c r="A520" s="84" t="s">
        <v>3219</v>
      </c>
      <c r="B520" s="83">
        <v>2</v>
      </c>
      <c r="C520" s="110">
        <v>0.0014312307639045199</v>
      </c>
      <c r="D520" s="83" t="s">
        <v>3362</v>
      </c>
      <c r="E520" s="83" t="b">
        <v>0</v>
      </c>
      <c r="F520" s="83" t="b">
        <v>1</v>
      </c>
      <c r="G520" s="83" t="b">
        <v>0</v>
      </c>
    </row>
    <row r="521" spans="1:7" ht="15">
      <c r="A521" s="84" t="s">
        <v>3220</v>
      </c>
      <c r="B521" s="83">
        <v>2</v>
      </c>
      <c r="C521" s="110">
        <v>0.0012819103295473864</v>
      </c>
      <c r="D521" s="83" t="s">
        <v>3362</v>
      </c>
      <c r="E521" s="83" t="b">
        <v>0</v>
      </c>
      <c r="F521" s="83" t="b">
        <v>0</v>
      </c>
      <c r="G521" s="83" t="b">
        <v>0</v>
      </c>
    </row>
    <row r="522" spans="1:7" ht="15">
      <c r="A522" s="84" t="s">
        <v>3221</v>
      </c>
      <c r="B522" s="83">
        <v>2</v>
      </c>
      <c r="C522" s="110">
        <v>0.0012819103295473864</v>
      </c>
      <c r="D522" s="83" t="s">
        <v>3362</v>
      </c>
      <c r="E522" s="83" t="b">
        <v>0</v>
      </c>
      <c r="F522" s="83" t="b">
        <v>0</v>
      </c>
      <c r="G522" s="83" t="b">
        <v>0</v>
      </c>
    </row>
    <row r="523" spans="1:7" ht="15">
      <c r="A523" s="84" t="s">
        <v>3222</v>
      </c>
      <c r="B523" s="83">
        <v>2</v>
      </c>
      <c r="C523" s="110">
        <v>0.0014312307639045199</v>
      </c>
      <c r="D523" s="83" t="s">
        <v>3362</v>
      </c>
      <c r="E523" s="83" t="b">
        <v>0</v>
      </c>
      <c r="F523" s="83" t="b">
        <v>0</v>
      </c>
      <c r="G523" s="83" t="b">
        <v>0</v>
      </c>
    </row>
    <row r="524" spans="1:7" ht="15">
      <c r="A524" s="84" t="s">
        <v>3223</v>
      </c>
      <c r="B524" s="83">
        <v>2</v>
      </c>
      <c r="C524" s="110">
        <v>0.0012819103295473864</v>
      </c>
      <c r="D524" s="83" t="s">
        <v>3362</v>
      </c>
      <c r="E524" s="83" t="b">
        <v>0</v>
      </c>
      <c r="F524" s="83" t="b">
        <v>0</v>
      </c>
      <c r="G524" s="83" t="b">
        <v>0</v>
      </c>
    </row>
    <row r="525" spans="1:7" ht="15">
      <c r="A525" s="84" t="s">
        <v>1885</v>
      </c>
      <c r="B525" s="83">
        <v>2</v>
      </c>
      <c r="C525" s="110">
        <v>0.0012819103295473864</v>
      </c>
      <c r="D525" s="83" t="s">
        <v>3362</v>
      </c>
      <c r="E525" s="83" t="b">
        <v>0</v>
      </c>
      <c r="F525" s="83" t="b">
        <v>0</v>
      </c>
      <c r="G525" s="83" t="b">
        <v>0</v>
      </c>
    </row>
    <row r="526" spans="1:7" ht="15">
      <c r="A526" s="84" t="s">
        <v>3224</v>
      </c>
      <c r="B526" s="83">
        <v>2</v>
      </c>
      <c r="C526" s="110">
        <v>0.0012819103295473864</v>
      </c>
      <c r="D526" s="83" t="s">
        <v>3362</v>
      </c>
      <c r="E526" s="83" t="b">
        <v>0</v>
      </c>
      <c r="F526" s="83" t="b">
        <v>0</v>
      </c>
      <c r="G526" s="83" t="b">
        <v>0</v>
      </c>
    </row>
    <row r="527" spans="1:7" ht="15">
      <c r="A527" s="84" t="s">
        <v>3225</v>
      </c>
      <c r="B527" s="83">
        <v>2</v>
      </c>
      <c r="C527" s="110">
        <v>0.0012819103295473864</v>
      </c>
      <c r="D527" s="83" t="s">
        <v>3362</v>
      </c>
      <c r="E527" s="83" t="b">
        <v>0</v>
      </c>
      <c r="F527" s="83" t="b">
        <v>0</v>
      </c>
      <c r="G527" s="83" t="b">
        <v>0</v>
      </c>
    </row>
    <row r="528" spans="1:7" ht="15">
      <c r="A528" s="84" t="s">
        <v>3226</v>
      </c>
      <c r="B528" s="83">
        <v>2</v>
      </c>
      <c r="C528" s="110">
        <v>0.0012819103295473864</v>
      </c>
      <c r="D528" s="83" t="s">
        <v>3362</v>
      </c>
      <c r="E528" s="83" t="b">
        <v>0</v>
      </c>
      <c r="F528" s="83" t="b">
        <v>0</v>
      </c>
      <c r="G528" s="83" t="b">
        <v>0</v>
      </c>
    </row>
    <row r="529" spans="1:7" ht="15">
      <c r="A529" s="84" t="s">
        <v>3227</v>
      </c>
      <c r="B529" s="83">
        <v>2</v>
      </c>
      <c r="C529" s="110">
        <v>0.0012819103295473864</v>
      </c>
      <c r="D529" s="83" t="s">
        <v>3362</v>
      </c>
      <c r="E529" s="83" t="b">
        <v>0</v>
      </c>
      <c r="F529" s="83" t="b">
        <v>0</v>
      </c>
      <c r="G529" s="83" t="b">
        <v>0</v>
      </c>
    </row>
    <row r="530" spans="1:7" ht="15">
      <c r="A530" s="84" t="s">
        <v>3228</v>
      </c>
      <c r="B530" s="83">
        <v>2</v>
      </c>
      <c r="C530" s="110">
        <v>0.0012819103295473864</v>
      </c>
      <c r="D530" s="83" t="s">
        <v>3362</v>
      </c>
      <c r="E530" s="83" t="b">
        <v>0</v>
      </c>
      <c r="F530" s="83" t="b">
        <v>0</v>
      </c>
      <c r="G530" s="83" t="b">
        <v>0</v>
      </c>
    </row>
    <row r="531" spans="1:7" ht="15">
      <c r="A531" s="84" t="s">
        <v>3229</v>
      </c>
      <c r="B531" s="83">
        <v>2</v>
      </c>
      <c r="C531" s="110">
        <v>0.0012819103295473864</v>
      </c>
      <c r="D531" s="83" t="s">
        <v>3362</v>
      </c>
      <c r="E531" s="83" t="b">
        <v>0</v>
      </c>
      <c r="F531" s="83" t="b">
        <v>0</v>
      </c>
      <c r="G531" s="83" t="b">
        <v>0</v>
      </c>
    </row>
    <row r="532" spans="1:7" ht="15">
      <c r="A532" s="84" t="s">
        <v>3230</v>
      </c>
      <c r="B532" s="83">
        <v>2</v>
      </c>
      <c r="C532" s="110">
        <v>0.0012819103295473864</v>
      </c>
      <c r="D532" s="83" t="s">
        <v>3362</v>
      </c>
      <c r="E532" s="83" t="b">
        <v>0</v>
      </c>
      <c r="F532" s="83" t="b">
        <v>1</v>
      </c>
      <c r="G532" s="83" t="b">
        <v>0</v>
      </c>
    </row>
    <row r="533" spans="1:7" ht="15">
      <c r="A533" s="84" t="s">
        <v>3231</v>
      </c>
      <c r="B533" s="83">
        <v>2</v>
      </c>
      <c r="C533" s="110">
        <v>0.0014312307639045199</v>
      </c>
      <c r="D533" s="83" t="s">
        <v>3362</v>
      </c>
      <c r="E533" s="83" t="b">
        <v>0</v>
      </c>
      <c r="F533" s="83" t="b">
        <v>0</v>
      </c>
      <c r="G533" s="83" t="b">
        <v>0</v>
      </c>
    </row>
    <row r="534" spans="1:7" ht="15">
      <c r="A534" s="84" t="s">
        <v>3232</v>
      </c>
      <c r="B534" s="83">
        <v>2</v>
      </c>
      <c r="C534" s="110">
        <v>0.0014312307639045199</v>
      </c>
      <c r="D534" s="83" t="s">
        <v>3362</v>
      </c>
      <c r="E534" s="83" t="b">
        <v>0</v>
      </c>
      <c r="F534" s="83" t="b">
        <v>0</v>
      </c>
      <c r="G534" s="83" t="b">
        <v>0</v>
      </c>
    </row>
    <row r="535" spans="1:7" ht="15">
      <c r="A535" s="84" t="s">
        <v>3233</v>
      </c>
      <c r="B535" s="83">
        <v>2</v>
      </c>
      <c r="C535" s="110">
        <v>0.0014312307639045199</v>
      </c>
      <c r="D535" s="83" t="s">
        <v>3362</v>
      </c>
      <c r="E535" s="83" t="b">
        <v>0</v>
      </c>
      <c r="F535" s="83" t="b">
        <v>0</v>
      </c>
      <c r="G535" s="83" t="b">
        <v>0</v>
      </c>
    </row>
    <row r="536" spans="1:7" ht="15">
      <c r="A536" s="84" t="s">
        <v>3234</v>
      </c>
      <c r="B536" s="83">
        <v>2</v>
      </c>
      <c r="C536" s="110">
        <v>0.0014312307639045199</v>
      </c>
      <c r="D536" s="83" t="s">
        <v>3362</v>
      </c>
      <c r="E536" s="83" t="b">
        <v>0</v>
      </c>
      <c r="F536" s="83" t="b">
        <v>0</v>
      </c>
      <c r="G536" s="83" t="b">
        <v>0</v>
      </c>
    </row>
    <row r="537" spans="1:7" ht="15">
      <c r="A537" s="84" t="s">
        <v>3235</v>
      </c>
      <c r="B537" s="83">
        <v>2</v>
      </c>
      <c r="C537" s="110">
        <v>0.0014312307639045199</v>
      </c>
      <c r="D537" s="83" t="s">
        <v>3362</v>
      </c>
      <c r="E537" s="83" t="b">
        <v>0</v>
      </c>
      <c r="F537" s="83" t="b">
        <v>0</v>
      </c>
      <c r="G537" s="83" t="b">
        <v>0</v>
      </c>
    </row>
    <row r="538" spans="1:7" ht="15">
      <c r="A538" s="84" t="s">
        <v>3236</v>
      </c>
      <c r="B538" s="83">
        <v>2</v>
      </c>
      <c r="C538" s="110">
        <v>0.0014312307639045199</v>
      </c>
      <c r="D538" s="83" t="s">
        <v>3362</v>
      </c>
      <c r="E538" s="83" t="b">
        <v>0</v>
      </c>
      <c r="F538" s="83" t="b">
        <v>0</v>
      </c>
      <c r="G538" s="83" t="b">
        <v>0</v>
      </c>
    </row>
    <row r="539" spans="1:7" ht="15">
      <c r="A539" s="84" t="s">
        <v>3237</v>
      </c>
      <c r="B539" s="83">
        <v>2</v>
      </c>
      <c r="C539" s="110">
        <v>0.0014312307639045199</v>
      </c>
      <c r="D539" s="83" t="s">
        <v>3362</v>
      </c>
      <c r="E539" s="83" t="b">
        <v>0</v>
      </c>
      <c r="F539" s="83" t="b">
        <v>0</v>
      </c>
      <c r="G539" s="83" t="b">
        <v>0</v>
      </c>
    </row>
    <row r="540" spans="1:7" ht="15">
      <c r="A540" s="84" t="s">
        <v>3238</v>
      </c>
      <c r="B540" s="83">
        <v>2</v>
      </c>
      <c r="C540" s="110">
        <v>0.0014312307639045199</v>
      </c>
      <c r="D540" s="83" t="s">
        <v>3362</v>
      </c>
      <c r="E540" s="83" t="b">
        <v>0</v>
      </c>
      <c r="F540" s="83" t="b">
        <v>0</v>
      </c>
      <c r="G540" s="83" t="b">
        <v>0</v>
      </c>
    </row>
    <row r="541" spans="1:7" ht="15">
      <c r="A541" s="84" t="s">
        <v>3239</v>
      </c>
      <c r="B541" s="83">
        <v>2</v>
      </c>
      <c r="C541" s="110">
        <v>0.0014312307639045199</v>
      </c>
      <c r="D541" s="83" t="s">
        <v>3362</v>
      </c>
      <c r="E541" s="83" t="b">
        <v>0</v>
      </c>
      <c r="F541" s="83" t="b">
        <v>0</v>
      </c>
      <c r="G541" s="83" t="b">
        <v>0</v>
      </c>
    </row>
    <row r="542" spans="1:7" ht="15">
      <c r="A542" s="84" t="s">
        <v>3240</v>
      </c>
      <c r="B542" s="83">
        <v>2</v>
      </c>
      <c r="C542" s="110">
        <v>0.0012819103295473864</v>
      </c>
      <c r="D542" s="83" t="s">
        <v>3362</v>
      </c>
      <c r="E542" s="83" t="b">
        <v>0</v>
      </c>
      <c r="F542" s="83" t="b">
        <v>0</v>
      </c>
      <c r="G542" s="83" t="b">
        <v>0</v>
      </c>
    </row>
    <row r="543" spans="1:7" ht="15">
      <c r="A543" s="84" t="s">
        <v>3241</v>
      </c>
      <c r="B543" s="83">
        <v>2</v>
      </c>
      <c r="C543" s="110">
        <v>0.0012819103295473864</v>
      </c>
      <c r="D543" s="83" t="s">
        <v>3362</v>
      </c>
      <c r="E543" s="83" t="b">
        <v>0</v>
      </c>
      <c r="F543" s="83" t="b">
        <v>0</v>
      </c>
      <c r="G543" s="83" t="b">
        <v>0</v>
      </c>
    </row>
    <row r="544" spans="1:7" ht="15">
      <c r="A544" s="84" t="s">
        <v>3242</v>
      </c>
      <c r="B544" s="83">
        <v>2</v>
      </c>
      <c r="C544" s="110">
        <v>0.0012819103295473864</v>
      </c>
      <c r="D544" s="83" t="s">
        <v>3362</v>
      </c>
      <c r="E544" s="83" t="b">
        <v>0</v>
      </c>
      <c r="F544" s="83" t="b">
        <v>0</v>
      </c>
      <c r="G544" s="83" t="b">
        <v>0</v>
      </c>
    </row>
    <row r="545" spans="1:7" ht="15">
      <c r="A545" s="84" t="s">
        <v>3243</v>
      </c>
      <c r="B545" s="83">
        <v>2</v>
      </c>
      <c r="C545" s="110">
        <v>0.0012819103295473864</v>
      </c>
      <c r="D545" s="83" t="s">
        <v>3362</v>
      </c>
      <c r="E545" s="83" t="b">
        <v>0</v>
      </c>
      <c r="F545" s="83" t="b">
        <v>0</v>
      </c>
      <c r="G545" s="83" t="b">
        <v>0</v>
      </c>
    </row>
    <row r="546" spans="1:7" ht="15">
      <c r="A546" s="84" t="s">
        <v>3244</v>
      </c>
      <c r="B546" s="83">
        <v>2</v>
      </c>
      <c r="C546" s="110">
        <v>0.0012819103295473864</v>
      </c>
      <c r="D546" s="83" t="s">
        <v>3362</v>
      </c>
      <c r="E546" s="83" t="b">
        <v>0</v>
      </c>
      <c r="F546" s="83" t="b">
        <v>0</v>
      </c>
      <c r="G546" s="83" t="b">
        <v>0</v>
      </c>
    </row>
    <row r="547" spans="1:7" ht="15">
      <c r="A547" s="84" t="s">
        <v>3245</v>
      </c>
      <c r="B547" s="83">
        <v>2</v>
      </c>
      <c r="C547" s="110">
        <v>0.0012819103295473864</v>
      </c>
      <c r="D547" s="83" t="s">
        <v>3362</v>
      </c>
      <c r="E547" s="83" t="b">
        <v>0</v>
      </c>
      <c r="F547" s="83" t="b">
        <v>0</v>
      </c>
      <c r="G547" s="83" t="b">
        <v>0</v>
      </c>
    </row>
    <row r="548" spans="1:7" ht="15">
      <c r="A548" s="84" t="s">
        <v>3246</v>
      </c>
      <c r="B548" s="83">
        <v>2</v>
      </c>
      <c r="C548" s="110">
        <v>0.0012819103295473864</v>
      </c>
      <c r="D548" s="83" t="s">
        <v>3362</v>
      </c>
      <c r="E548" s="83" t="b">
        <v>0</v>
      </c>
      <c r="F548" s="83" t="b">
        <v>0</v>
      </c>
      <c r="G548" s="83" t="b">
        <v>0</v>
      </c>
    </row>
    <row r="549" spans="1:7" ht="15">
      <c r="A549" s="84" t="s">
        <v>3247</v>
      </c>
      <c r="B549" s="83">
        <v>2</v>
      </c>
      <c r="C549" s="110">
        <v>0.0012819103295473864</v>
      </c>
      <c r="D549" s="83" t="s">
        <v>3362</v>
      </c>
      <c r="E549" s="83" t="b">
        <v>0</v>
      </c>
      <c r="F549" s="83" t="b">
        <v>0</v>
      </c>
      <c r="G549" s="83" t="b">
        <v>0</v>
      </c>
    </row>
    <row r="550" spans="1:7" ht="15">
      <c r="A550" s="84" t="s">
        <v>3248</v>
      </c>
      <c r="B550" s="83">
        <v>2</v>
      </c>
      <c r="C550" s="110">
        <v>0.0012819103295473864</v>
      </c>
      <c r="D550" s="83" t="s">
        <v>3362</v>
      </c>
      <c r="E550" s="83" t="b">
        <v>0</v>
      </c>
      <c r="F550" s="83" t="b">
        <v>0</v>
      </c>
      <c r="G550" s="83" t="b">
        <v>0</v>
      </c>
    </row>
    <row r="551" spans="1:7" ht="15">
      <c r="A551" s="84" t="s">
        <v>3249</v>
      </c>
      <c r="B551" s="83">
        <v>2</v>
      </c>
      <c r="C551" s="110">
        <v>0.0012819103295473864</v>
      </c>
      <c r="D551" s="83" t="s">
        <v>3362</v>
      </c>
      <c r="E551" s="83" t="b">
        <v>0</v>
      </c>
      <c r="F551" s="83" t="b">
        <v>0</v>
      </c>
      <c r="G551" s="83" t="b">
        <v>0</v>
      </c>
    </row>
    <row r="552" spans="1:7" ht="15">
      <c r="A552" s="84" t="s">
        <v>3250</v>
      </c>
      <c r="B552" s="83">
        <v>2</v>
      </c>
      <c r="C552" s="110">
        <v>0.0014312307639045199</v>
      </c>
      <c r="D552" s="83" t="s">
        <v>3362</v>
      </c>
      <c r="E552" s="83" t="b">
        <v>0</v>
      </c>
      <c r="F552" s="83" t="b">
        <v>0</v>
      </c>
      <c r="G552" s="83" t="b">
        <v>0</v>
      </c>
    </row>
    <row r="553" spans="1:7" ht="15">
      <c r="A553" s="84" t="s">
        <v>3251</v>
      </c>
      <c r="B553" s="83">
        <v>2</v>
      </c>
      <c r="C553" s="110">
        <v>0.0012819103295473864</v>
      </c>
      <c r="D553" s="83" t="s">
        <v>3362</v>
      </c>
      <c r="E553" s="83" t="b">
        <v>0</v>
      </c>
      <c r="F553" s="83" t="b">
        <v>0</v>
      </c>
      <c r="G553" s="83" t="b">
        <v>0</v>
      </c>
    </row>
    <row r="554" spans="1:7" ht="15">
      <c r="A554" s="84" t="s">
        <v>3252</v>
      </c>
      <c r="B554" s="83">
        <v>2</v>
      </c>
      <c r="C554" s="110">
        <v>0.0012819103295473864</v>
      </c>
      <c r="D554" s="83" t="s">
        <v>3362</v>
      </c>
      <c r="E554" s="83" t="b">
        <v>0</v>
      </c>
      <c r="F554" s="83" t="b">
        <v>1</v>
      </c>
      <c r="G554" s="83" t="b">
        <v>0</v>
      </c>
    </row>
    <row r="555" spans="1:7" ht="15">
      <c r="A555" s="84" t="s">
        <v>3253</v>
      </c>
      <c r="B555" s="83">
        <v>2</v>
      </c>
      <c r="C555" s="110">
        <v>0.0012819103295473864</v>
      </c>
      <c r="D555" s="83" t="s">
        <v>3362</v>
      </c>
      <c r="E555" s="83" t="b">
        <v>0</v>
      </c>
      <c r="F555" s="83" t="b">
        <v>0</v>
      </c>
      <c r="G555" s="83" t="b">
        <v>0</v>
      </c>
    </row>
    <row r="556" spans="1:7" ht="15">
      <c r="A556" s="84" t="s">
        <v>3254</v>
      </c>
      <c r="B556" s="83">
        <v>2</v>
      </c>
      <c r="C556" s="110">
        <v>0.0012819103295473864</v>
      </c>
      <c r="D556" s="83" t="s">
        <v>3362</v>
      </c>
      <c r="E556" s="83" t="b">
        <v>0</v>
      </c>
      <c r="F556" s="83" t="b">
        <v>0</v>
      </c>
      <c r="G556" s="83" t="b">
        <v>0</v>
      </c>
    </row>
    <row r="557" spans="1:7" ht="15">
      <c r="A557" s="84" t="s">
        <v>3255</v>
      </c>
      <c r="B557" s="83">
        <v>2</v>
      </c>
      <c r="C557" s="110">
        <v>0.0012819103295473864</v>
      </c>
      <c r="D557" s="83" t="s">
        <v>3362</v>
      </c>
      <c r="E557" s="83" t="b">
        <v>0</v>
      </c>
      <c r="F557" s="83" t="b">
        <v>0</v>
      </c>
      <c r="G557" s="83" t="b">
        <v>0</v>
      </c>
    </row>
    <row r="558" spans="1:7" ht="15">
      <c r="A558" s="84" t="s">
        <v>3256</v>
      </c>
      <c r="B558" s="83">
        <v>2</v>
      </c>
      <c r="C558" s="110">
        <v>0.0012819103295473864</v>
      </c>
      <c r="D558" s="83" t="s">
        <v>3362</v>
      </c>
      <c r="E558" s="83" t="b">
        <v>0</v>
      </c>
      <c r="F558" s="83" t="b">
        <v>0</v>
      </c>
      <c r="G558" s="83" t="b">
        <v>0</v>
      </c>
    </row>
    <row r="559" spans="1:7" ht="15">
      <c r="A559" s="84" t="s">
        <v>3257</v>
      </c>
      <c r="B559" s="83">
        <v>2</v>
      </c>
      <c r="C559" s="110">
        <v>0.0012819103295473864</v>
      </c>
      <c r="D559" s="83" t="s">
        <v>3362</v>
      </c>
      <c r="E559" s="83" t="b">
        <v>0</v>
      </c>
      <c r="F559" s="83" t="b">
        <v>0</v>
      </c>
      <c r="G559" s="83" t="b">
        <v>0</v>
      </c>
    </row>
    <row r="560" spans="1:7" ht="15">
      <c r="A560" s="84" t="s">
        <v>3258</v>
      </c>
      <c r="B560" s="83">
        <v>2</v>
      </c>
      <c r="C560" s="110">
        <v>0.0014312307639045199</v>
      </c>
      <c r="D560" s="83" t="s">
        <v>3362</v>
      </c>
      <c r="E560" s="83" t="b">
        <v>1</v>
      </c>
      <c r="F560" s="83" t="b">
        <v>0</v>
      </c>
      <c r="G560" s="83" t="b">
        <v>0</v>
      </c>
    </row>
    <row r="561" spans="1:7" ht="15">
      <c r="A561" s="84" t="s">
        <v>3259</v>
      </c>
      <c r="B561" s="83">
        <v>2</v>
      </c>
      <c r="C561" s="110">
        <v>0.0014312307639045199</v>
      </c>
      <c r="D561" s="83" t="s">
        <v>3362</v>
      </c>
      <c r="E561" s="83" t="b">
        <v>0</v>
      </c>
      <c r="F561" s="83" t="b">
        <v>0</v>
      </c>
      <c r="G561" s="83" t="b">
        <v>0</v>
      </c>
    </row>
    <row r="562" spans="1:7" ht="15">
      <c r="A562" s="84" t="s">
        <v>3260</v>
      </c>
      <c r="B562" s="83">
        <v>2</v>
      </c>
      <c r="C562" s="110">
        <v>0.0012819103295473864</v>
      </c>
      <c r="D562" s="83" t="s">
        <v>3362</v>
      </c>
      <c r="E562" s="83" t="b">
        <v>0</v>
      </c>
      <c r="F562" s="83" t="b">
        <v>0</v>
      </c>
      <c r="G562" s="83" t="b">
        <v>0</v>
      </c>
    </row>
    <row r="563" spans="1:7" ht="15">
      <c r="A563" s="84" t="s">
        <v>3261</v>
      </c>
      <c r="B563" s="83">
        <v>2</v>
      </c>
      <c r="C563" s="110">
        <v>0.0014312307639045199</v>
      </c>
      <c r="D563" s="83" t="s">
        <v>3362</v>
      </c>
      <c r="E563" s="83" t="b">
        <v>0</v>
      </c>
      <c r="F563" s="83" t="b">
        <v>1</v>
      </c>
      <c r="G563" s="83" t="b">
        <v>0</v>
      </c>
    </row>
    <row r="564" spans="1:7" ht="15">
      <c r="A564" s="84" t="s">
        <v>3262</v>
      </c>
      <c r="B564" s="83">
        <v>2</v>
      </c>
      <c r="C564" s="110">
        <v>0.0012819103295473864</v>
      </c>
      <c r="D564" s="83" t="s">
        <v>3362</v>
      </c>
      <c r="E564" s="83" t="b">
        <v>0</v>
      </c>
      <c r="F564" s="83" t="b">
        <v>0</v>
      </c>
      <c r="G564" s="83" t="b">
        <v>0</v>
      </c>
    </row>
    <row r="565" spans="1:7" ht="15">
      <c r="A565" s="84" t="s">
        <v>3263</v>
      </c>
      <c r="B565" s="83">
        <v>2</v>
      </c>
      <c r="C565" s="110">
        <v>0.0014312307639045199</v>
      </c>
      <c r="D565" s="83" t="s">
        <v>3362</v>
      </c>
      <c r="E565" s="83" t="b">
        <v>0</v>
      </c>
      <c r="F565" s="83" t="b">
        <v>0</v>
      </c>
      <c r="G565" s="83" t="b">
        <v>0</v>
      </c>
    </row>
    <row r="566" spans="1:7" ht="15">
      <c r="A566" s="84" t="s">
        <v>3264</v>
      </c>
      <c r="B566" s="83">
        <v>2</v>
      </c>
      <c r="C566" s="110">
        <v>0.0014312307639045199</v>
      </c>
      <c r="D566" s="83" t="s">
        <v>3362</v>
      </c>
      <c r="E566" s="83" t="b">
        <v>1</v>
      </c>
      <c r="F566" s="83" t="b">
        <v>0</v>
      </c>
      <c r="G566" s="83" t="b">
        <v>0</v>
      </c>
    </row>
    <row r="567" spans="1:7" ht="15">
      <c r="A567" s="84" t="s">
        <v>3265</v>
      </c>
      <c r="B567" s="83">
        <v>2</v>
      </c>
      <c r="C567" s="110">
        <v>0.0014312307639045199</v>
      </c>
      <c r="D567" s="83" t="s">
        <v>3362</v>
      </c>
      <c r="E567" s="83" t="b">
        <v>0</v>
      </c>
      <c r="F567" s="83" t="b">
        <v>0</v>
      </c>
      <c r="G567" s="83" t="b">
        <v>0</v>
      </c>
    </row>
    <row r="568" spans="1:7" ht="15">
      <c r="A568" s="84" t="s">
        <v>3266</v>
      </c>
      <c r="B568" s="83">
        <v>2</v>
      </c>
      <c r="C568" s="110">
        <v>0.0012819103295473864</v>
      </c>
      <c r="D568" s="83" t="s">
        <v>3362</v>
      </c>
      <c r="E568" s="83" t="b">
        <v>0</v>
      </c>
      <c r="F568" s="83" t="b">
        <v>0</v>
      </c>
      <c r="G568" s="83" t="b">
        <v>0</v>
      </c>
    </row>
    <row r="569" spans="1:7" ht="15">
      <c r="A569" s="84" t="s">
        <v>3267</v>
      </c>
      <c r="B569" s="83">
        <v>2</v>
      </c>
      <c r="C569" s="110">
        <v>0.0012819103295473864</v>
      </c>
      <c r="D569" s="83" t="s">
        <v>3362</v>
      </c>
      <c r="E569" s="83" t="b">
        <v>0</v>
      </c>
      <c r="F569" s="83" t="b">
        <v>0</v>
      </c>
      <c r="G569" s="83" t="b">
        <v>0</v>
      </c>
    </row>
    <row r="570" spans="1:7" ht="15">
      <c r="A570" s="84" t="s">
        <v>3268</v>
      </c>
      <c r="B570" s="83">
        <v>2</v>
      </c>
      <c r="C570" s="110">
        <v>0.0014312307639045199</v>
      </c>
      <c r="D570" s="83" t="s">
        <v>3362</v>
      </c>
      <c r="E570" s="83" t="b">
        <v>0</v>
      </c>
      <c r="F570" s="83" t="b">
        <v>0</v>
      </c>
      <c r="G570" s="83" t="b">
        <v>0</v>
      </c>
    </row>
    <row r="571" spans="1:7" ht="15">
      <c r="A571" s="84" t="s">
        <v>3269</v>
      </c>
      <c r="B571" s="83">
        <v>2</v>
      </c>
      <c r="C571" s="110">
        <v>0.0012819103295473864</v>
      </c>
      <c r="D571" s="83" t="s">
        <v>3362</v>
      </c>
      <c r="E571" s="83" t="b">
        <v>0</v>
      </c>
      <c r="F571" s="83" t="b">
        <v>0</v>
      </c>
      <c r="G571" s="83" t="b">
        <v>0</v>
      </c>
    </row>
    <row r="572" spans="1:7" ht="15">
      <c r="A572" s="84" t="s">
        <v>3270</v>
      </c>
      <c r="B572" s="83">
        <v>2</v>
      </c>
      <c r="C572" s="110">
        <v>0.0012819103295473864</v>
      </c>
      <c r="D572" s="83" t="s">
        <v>3362</v>
      </c>
      <c r="E572" s="83" t="b">
        <v>0</v>
      </c>
      <c r="F572" s="83" t="b">
        <v>0</v>
      </c>
      <c r="G572" s="83" t="b">
        <v>0</v>
      </c>
    </row>
    <row r="573" spans="1:7" ht="15">
      <c r="A573" s="84" t="s">
        <v>3271</v>
      </c>
      <c r="B573" s="83">
        <v>2</v>
      </c>
      <c r="C573" s="110">
        <v>0.0012819103295473864</v>
      </c>
      <c r="D573" s="83" t="s">
        <v>3362</v>
      </c>
      <c r="E573" s="83" t="b">
        <v>0</v>
      </c>
      <c r="F573" s="83" t="b">
        <v>0</v>
      </c>
      <c r="G573" s="83" t="b">
        <v>0</v>
      </c>
    </row>
    <row r="574" spans="1:7" ht="15">
      <c r="A574" s="84" t="s">
        <v>3272</v>
      </c>
      <c r="B574" s="83">
        <v>2</v>
      </c>
      <c r="C574" s="110">
        <v>0.0012819103295473864</v>
      </c>
      <c r="D574" s="83" t="s">
        <v>3362</v>
      </c>
      <c r="E574" s="83" t="b">
        <v>0</v>
      </c>
      <c r="F574" s="83" t="b">
        <v>0</v>
      </c>
      <c r="G574" s="83" t="b">
        <v>0</v>
      </c>
    </row>
    <row r="575" spans="1:7" ht="15">
      <c r="A575" s="84" t="s">
        <v>3273</v>
      </c>
      <c r="B575" s="83">
        <v>2</v>
      </c>
      <c r="C575" s="110">
        <v>0.0012819103295473864</v>
      </c>
      <c r="D575" s="83" t="s">
        <v>3362</v>
      </c>
      <c r="E575" s="83" t="b">
        <v>0</v>
      </c>
      <c r="F575" s="83" t="b">
        <v>0</v>
      </c>
      <c r="G575" s="83" t="b">
        <v>0</v>
      </c>
    </row>
    <row r="576" spans="1:7" ht="15">
      <c r="A576" s="84" t="s">
        <v>3274</v>
      </c>
      <c r="B576" s="83">
        <v>2</v>
      </c>
      <c r="C576" s="110">
        <v>0.0012819103295473864</v>
      </c>
      <c r="D576" s="83" t="s">
        <v>3362</v>
      </c>
      <c r="E576" s="83" t="b">
        <v>0</v>
      </c>
      <c r="F576" s="83" t="b">
        <v>0</v>
      </c>
      <c r="G576" s="83" t="b">
        <v>0</v>
      </c>
    </row>
    <row r="577" spans="1:7" ht="15">
      <c r="A577" s="84" t="s">
        <v>3275</v>
      </c>
      <c r="B577" s="83">
        <v>2</v>
      </c>
      <c r="C577" s="110">
        <v>0.0012819103295473864</v>
      </c>
      <c r="D577" s="83" t="s">
        <v>3362</v>
      </c>
      <c r="E577" s="83" t="b">
        <v>0</v>
      </c>
      <c r="F577" s="83" t="b">
        <v>0</v>
      </c>
      <c r="G577" s="83" t="b">
        <v>0</v>
      </c>
    </row>
    <row r="578" spans="1:7" ht="15">
      <c r="A578" s="84" t="s">
        <v>3276</v>
      </c>
      <c r="B578" s="83">
        <v>2</v>
      </c>
      <c r="C578" s="110">
        <v>0.0012819103295473864</v>
      </c>
      <c r="D578" s="83" t="s">
        <v>3362</v>
      </c>
      <c r="E578" s="83" t="b">
        <v>0</v>
      </c>
      <c r="F578" s="83" t="b">
        <v>0</v>
      </c>
      <c r="G578" s="83" t="b">
        <v>0</v>
      </c>
    </row>
    <row r="579" spans="1:7" ht="15">
      <c r="A579" s="84" t="s">
        <v>3277</v>
      </c>
      <c r="B579" s="83">
        <v>2</v>
      </c>
      <c r="C579" s="110">
        <v>0.0012819103295473864</v>
      </c>
      <c r="D579" s="83" t="s">
        <v>3362</v>
      </c>
      <c r="E579" s="83" t="b">
        <v>0</v>
      </c>
      <c r="F579" s="83" t="b">
        <v>0</v>
      </c>
      <c r="G579" s="83" t="b">
        <v>0</v>
      </c>
    </row>
    <row r="580" spans="1:7" ht="15">
      <c r="A580" s="84" t="s">
        <v>3278</v>
      </c>
      <c r="B580" s="83">
        <v>2</v>
      </c>
      <c r="C580" s="110">
        <v>0.0012819103295473864</v>
      </c>
      <c r="D580" s="83" t="s">
        <v>3362</v>
      </c>
      <c r="E580" s="83" t="b">
        <v>0</v>
      </c>
      <c r="F580" s="83" t="b">
        <v>0</v>
      </c>
      <c r="G580" s="83" t="b">
        <v>0</v>
      </c>
    </row>
    <row r="581" spans="1:7" ht="15">
      <c r="A581" s="84" t="s">
        <v>3279</v>
      </c>
      <c r="B581" s="83">
        <v>2</v>
      </c>
      <c r="C581" s="110">
        <v>0.0014312307639045199</v>
      </c>
      <c r="D581" s="83" t="s">
        <v>3362</v>
      </c>
      <c r="E581" s="83" t="b">
        <v>0</v>
      </c>
      <c r="F581" s="83" t="b">
        <v>0</v>
      </c>
      <c r="G581" s="83" t="b">
        <v>0</v>
      </c>
    </row>
    <row r="582" spans="1:7" ht="15">
      <c r="A582" s="84" t="s">
        <v>3280</v>
      </c>
      <c r="B582" s="83">
        <v>2</v>
      </c>
      <c r="C582" s="110">
        <v>0.0012819103295473864</v>
      </c>
      <c r="D582" s="83" t="s">
        <v>3362</v>
      </c>
      <c r="E582" s="83" t="b">
        <v>0</v>
      </c>
      <c r="F582" s="83" t="b">
        <v>0</v>
      </c>
      <c r="G582" s="83" t="b">
        <v>0</v>
      </c>
    </row>
    <row r="583" spans="1:7" ht="15">
      <c r="A583" s="84" t="s">
        <v>3281</v>
      </c>
      <c r="B583" s="83">
        <v>2</v>
      </c>
      <c r="C583" s="110">
        <v>0.0014312307639045199</v>
      </c>
      <c r="D583" s="83" t="s">
        <v>3362</v>
      </c>
      <c r="E583" s="83" t="b">
        <v>0</v>
      </c>
      <c r="F583" s="83" t="b">
        <v>0</v>
      </c>
      <c r="G583" s="83" t="b">
        <v>0</v>
      </c>
    </row>
    <row r="584" spans="1:7" ht="15">
      <c r="A584" s="84" t="s">
        <v>3282</v>
      </c>
      <c r="B584" s="83">
        <v>2</v>
      </c>
      <c r="C584" s="110">
        <v>0.0012819103295473864</v>
      </c>
      <c r="D584" s="83" t="s">
        <v>3362</v>
      </c>
      <c r="E584" s="83" t="b">
        <v>0</v>
      </c>
      <c r="F584" s="83" t="b">
        <v>0</v>
      </c>
      <c r="G584" s="83" t="b">
        <v>0</v>
      </c>
    </row>
    <row r="585" spans="1:7" ht="15">
      <c r="A585" s="84" t="s">
        <v>3283</v>
      </c>
      <c r="B585" s="83">
        <v>2</v>
      </c>
      <c r="C585" s="110">
        <v>0.0012819103295473864</v>
      </c>
      <c r="D585" s="83" t="s">
        <v>3362</v>
      </c>
      <c r="E585" s="83" t="b">
        <v>0</v>
      </c>
      <c r="F585" s="83" t="b">
        <v>0</v>
      </c>
      <c r="G585" s="83" t="b">
        <v>0</v>
      </c>
    </row>
    <row r="586" spans="1:7" ht="15">
      <c r="A586" s="84" t="s">
        <v>3284</v>
      </c>
      <c r="B586" s="83">
        <v>2</v>
      </c>
      <c r="C586" s="110">
        <v>0.0012819103295473864</v>
      </c>
      <c r="D586" s="83" t="s">
        <v>3362</v>
      </c>
      <c r="E586" s="83" t="b">
        <v>0</v>
      </c>
      <c r="F586" s="83" t="b">
        <v>0</v>
      </c>
      <c r="G586" s="83" t="b">
        <v>0</v>
      </c>
    </row>
    <row r="587" spans="1:7" ht="15">
      <c r="A587" s="84" t="s">
        <v>3285</v>
      </c>
      <c r="B587" s="83">
        <v>2</v>
      </c>
      <c r="C587" s="110">
        <v>0.0012819103295473864</v>
      </c>
      <c r="D587" s="83" t="s">
        <v>3362</v>
      </c>
      <c r="E587" s="83" t="b">
        <v>0</v>
      </c>
      <c r="F587" s="83" t="b">
        <v>0</v>
      </c>
      <c r="G587" s="83" t="b">
        <v>0</v>
      </c>
    </row>
    <row r="588" spans="1:7" ht="15">
      <c r="A588" s="84" t="s">
        <v>3286</v>
      </c>
      <c r="B588" s="83">
        <v>2</v>
      </c>
      <c r="C588" s="110">
        <v>0.0014312307639045199</v>
      </c>
      <c r="D588" s="83" t="s">
        <v>3362</v>
      </c>
      <c r="E588" s="83" t="b">
        <v>0</v>
      </c>
      <c r="F588" s="83" t="b">
        <v>0</v>
      </c>
      <c r="G588" s="83" t="b">
        <v>0</v>
      </c>
    </row>
    <row r="589" spans="1:7" ht="15">
      <c r="A589" s="84" t="s">
        <v>3287</v>
      </c>
      <c r="B589" s="83">
        <v>2</v>
      </c>
      <c r="C589" s="110">
        <v>0.0014312307639045199</v>
      </c>
      <c r="D589" s="83" t="s">
        <v>3362</v>
      </c>
      <c r="E589" s="83" t="b">
        <v>0</v>
      </c>
      <c r="F589" s="83" t="b">
        <v>0</v>
      </c>
      <c r="G589" s="83" t="b">
        <v>0</v>
      </c>
    </row>
    <row r="590" spans="1:7" ht="15">
      <c r="A590" s="84" t="s">
        <v>3288</v>
      </c>
      <c r="B590" s="83">
        <v>2</v>
      </c>
      <c r="C590" s="110">
        <v>0.0014312307639045199</v>
      </c>
      <c r="D590" s="83" t="s">
        <v>3362</v>
      </c>
      <c r="E590" s="83" t="b">
        <v>0</v>
      </c>
      <c r="F590" s="83" t="b">
        <v>0</v>
      </c>
      <c r="G590" s="83" t="b">
        <v>0</v>
      </c>
    </row>
    <row r="591" spans="1:7" ht="15">
      <c r="A591" s="84" t="s">
        <v>3289</v>
      </c>
      <c r="B591" s="83">
        <v>2</v>
      </c>
      <c r="C591" s="110">
        <v>0.0012819103295473864</v>
      </c>
      <c r="D591" s="83" t="s">
        <v>3362</v>
      </c>
      <c r="E591" s="83" t="b">
        <v>0</v>
      </c>
      <c r="F591" s="83" t="b">
        <v>0</v>
      </c>
      <c r="G591" s="83" t="b">
        <v>0</v>
      </c>
    </row>
    <row r="592" spans="1:7" ht="15">
      <c r="A592" s="84" t="s">
        <v>3290</v>
      </c>
      <c r="B592" s="83">
        <v>2</v>
      </c>
      <c r="C592" s="110">
        <v>0.0012819103295473864</v>
      </c>
      <c r="D592" s="83" t="s">
        <v>3362</v>
      </c>
      <c r="E592" s="83" t="b">
        <v>0</v>
      </c>
      <c r="F592" s="83" t="b">
        <v>0</v>
      </c>
      <c r="G592" s="83" t="b">
        <v>0</v>
      </c>
    </row>
    <row r="593" spans="1:7" ht="15">
      <c r="A593" s="84" t="s">
        <v>3291</v>
      </c>
      <c r="B593" s="83">
        <v>2</v>
      </c>
      <c r="C593" s="110">
        <v>0.0012819103295473864</v>
      </c>
      <c r="D593" s="83" t="s">
        <v>3362</v>
      </c>
      <c r="E593" s="83" t="b">
        <v>1</v>
      </c>
      <c r="F593" s="83" t="b">
        <v>0</v>
      </c>
      <c r="G593" s="83" t="b">
        <v>0</v>
      </c>
    </row>
    <row r="594" spans="1:7" ht="15">
      <c r="A594" s="84" t="s">
        <v>3292</v>
      </c>
      <c r="B594" s="83">
        <v>2</v>
      </c>
      <c r="C594" s="110">
        <v>0.0012819103295473864</v>
      </c>
      <c r="D594" s="83" t="s">
        <v>3362</v>
      </c>
      <c r="E594" s="83" t="b">
        <v>0</v>
      </c>
      <c r="F594" s="83" t="b">
        <v>0</v>
      </c>
      <c r="G594" s="83" t="b">
        <v>0</v>
      </c>
    </row>
    <row r="595" spans="1:7" ht="15">
      <c r="A595" s="84" t="s">
        <v>3293</v>
      </c>
      <c r="B595" s="83">
        <v>2</v>
      </c>
      <c r="C595" s="110">
        <v>0.0014312307639045199</v>
      </c>
      <c r="D595" s="83" t="s">
        <v>3362</v>
      </c>
      <c r="E595" s="83" t="b">
        <v>0</v>
      </c>
      <c r="F595" s="83" t="b">
        <v>0</v>
      </c>
      <c r="G595" s="83" t="b">
        <v>0</v>
      </c>
    </row>
    <row r="596" spans="1:7" ht="15">
      <c r="A596" s="84" t="s">
        <v>3294</v>
      </c>
      <c r="B596" s="83">
        <v>2</v>
      </c>
      <c r="C596" s="110">
        <v>0.0012819103295473864</v>
      </c>
      <c r="D596" s="83" t="s">
        <v>3362</v>
      </c>
      <c r="E596" s="83" t="b">
        <v>0</v>
      </c>
      <c r="F596" s="83" t="b">
        <v>0</v>
      </c>
      <c r="G596" s="83" t="b">
        <v>0</v>
      </c>
    </row>
    <row r="597" spans="1:7" ht="15">
      <c r="A597" s="84" t="s">
        <v>3295</v>
      </c>
      <c r="B597" s="83">
        <v>2</v>
      </c>
      <c r="C597" s="110">
        <v>0.0012819103295473864</v>
      </c>
      <c r="D597" s="83" t="s">
        <v>3362</v>
      </c>
      <c r="E597" s="83" t="b">
        <v>0</v>
      </c>
      <c r="F597" s="83" t="b">
        <v>0</v>
      </c>
      <c r="G597" s="83" t="b">
        <v>0</v>
      </c>
    </row>
    <row r="598" spans="1:7" ht="15">
      <c r="A598" s="84" t="s">
        <v>3296</v>
      </c>
      <c r="B598" s="83">
        <v>2</v>
      </c>
      <c r="C598" s="110">
        <v>0.0014312307639045199</v>
      </c>
      <c r="D598" s="83" t="s">
        <v>3362</v>
      </c>
      <c r="E598" s="83" t="b">
        <v>0</v>
      </c>
      <c r="F598" s="83" t="b">
        <v>0</v>
      </c>
      <c r="G598" s="83" t="b">
        <v>0</v>
      </c>
    </row>
    <row r="599" spans="1:7" ht="15">
      <c r="A599" s="84" t="s">
        <v>3297</v>
      </c>
      <c r="B599" s="83">
        <v>2</v>
      </c>
      <c r="C599" s="110">
        <v>0.0012819103295473864</v>
      </c>
      <c r="D599" s="83" t="s">
        <v>3362</v>
      </c>
      <c r="E599" s="83" t="b">
        <v>0</v>
      </c>
      <c r="F599" s="83" t="b">
        <v>0</v>
      </c>
      <c r="G599" s="83" t="b">
        <v>0</v>
      </c>
    </row>
    <row r="600" spans="1:7" ht="15">
      <c r="A600" s="84" t="s">
        <v>3298</v>
      </c>
      <c r="B600" s="83">
        <v>2</v>
      </c>
      <c r="C600" s="110">
        <v>0.0012819103295473864</v>
      </c>
      <c r="D600" s="83" t="s">
        <v>3362</v>
      </c>
      <c r="E600" s="83" t="b">
        <v>0</v>
      </c>
      <c r="F600" s="83" t="b">
        <v>0</v>
      </c>
      <c r="G600" s="83" t="b">
        <v>0</v>
      </c>
    </row>
    <row r="601" spans="1:7" ht="15">
      <c r="A601" s="84" t="s">
        <v>3299</v>
      </c>
      <c r="B601" s="83">
        <v>2</v>
      </c>
      <c r="C601" s="110">
        <v>0.0014312307639045199</v>
      </c>
      <c r="D601" s="83" t="s">
        <v>3362</v>
      </c>
      <c r="E601" s="83" t="b">
        <v>0</v>
      </c>
      <c r="F601" s="83" t="b">
        <v>1</v>
      </c>
      <c r="G601" s="83" t="b">
        <v>0</v>
      </c>
    </row>
    <row r="602" spans="1:7" ht="15">
      <c r="A602" s="84" t="s">
        <v>3300</v>
      </c>
      <c r="B602" s="83">
        <v>2</v>
      </c>
      <c r="C602" s="110">
        <v>0.0014312307639045199</v>
      </c>
      <c r="D602" s="83" t="s">
        <v>3362</v>
      </c>
      <c r="E602" s="83" t="b">
        <v>0</v>
      </c>
      <c r="F602" s="83" t="b">
        <v>0</v>
      </c>
      <c r="G602" s="83" t="b">
        <v>0</v>
      </c>
    </row>
    <row r="603" spans="1:7" ht="15">
      <c r="A603" s="84" t="s">
        <v>3301</v>
      </c>
      <c r="B603" s="83">
        <v>2</v>
      </c>
      <c r="C603" s="110">
        <v>0.0012819103295473864</v>
      </c>
      <c r="D603" s="83" t="s">
        <v>3362</v>
      </c>
      <c r="E603" s="83" t="b">
        <v>0</v>
      </c>
      <c r="F603" s="83" t="b">
        <v>0</v>
      </c>
      <c r="G603" s="83" t="b">
        <v>0</v>
      </c>
    </row>
    <row r="604" spans="1:7" ht="15">
      <c r="A604" s="84" t="s">
        <v>3302</v>
      </c>
      <c r="B604" s="83">
        <v>2</v>
      </c>
      <c r="C604" s="110">
        <v>0.0014312307639045199</v>
      </c>
      <c r="D604" s="83" t="s">
        <v>3362</v>
      </c>
      <c r="E604" s="83" t="b">
        <v>0</v>
      </c>
      <c r="F604" s="83" t="b">
        <v>1</v>
      </c>
      <c r="G604" s="83" t="b">
        <v>0</v>
      </c>
    </row>
    <row r="605" spans="1:7" ht="15">
      <c r="A605" s="84" t="s">
        <v>3303</v>
      </c>
      <c r="B605" s="83">
        <v>2</v>
      </c>
      <c r="C605" s="110">
        <v>0.0012819103295473864</v>
      </c>
      <c r="D605" s="83" t="s">
        <v>3362</v>
      </c>
      <c r="E605" s="83" t="b">
        <v>0</v>
      </c>
      <c r="F605" s="83" t="b">
        <v>0</v>
      </c>
      <c r="G605" s="83" t="b">
        <v>0</v>
      </c>
    </row>
    <row r="606" spans="1:7" ht="15">
      <c r="A606" s="84" t="s">
        <v>3304</v>
      </c>
      <c r="B606" s="83">
        <v>2</v>
      </c>
      <c r="C606" s="110">
        <v>0.0012819103295473864</v>
      </c>
      <c r="D606" s="83" t="s">
        <v>3362</v>
      </c>
      <c r="E606" s="83" t="b">
        <v>0</v>
      </c>
      <c r="F606" s="83" t="b">
        <v>0</v>
      </c>
      <c r="G606" s="83" t="b">
        <v>0</v>
      </c>
    </row>
    <row r="607" spans="1:7" ht="15">
      <c r="A607" s="84" t="s">
        <v>3305</v>
      </c>
      <c r="B607" s="83">
        <v>2</v>
      </c>
      <c r="C607" s="110">
        <v>0.0014312307639045199</v>
      </c>
      <c r="D607" s="83" t="s">
        <v>3362</v>
      </c>
      <c r="E607" s="83" t="b">
        <v>0</v>
      </c>
      <c r="F607" s="83" t="b">
        <v>0</v>
      </c>
      <c r="G607" s="83" t="b">
        <v>0</v>
      </c>
    </row>
    <row r="608" spans="1:7" ht="15">
      <c r="A608" s="84" t="s">
        <v>3306</v>
      </c>
      <c r="B608" s="83">
        <v>2</v>
      </c>
      <c r="C608" s="110">
        <v>0.0012819103295473864</v>
      </c>
      <c r="D608" s="83" t="s">
        <v>3362</v>
      </c>
      <c r="E608" s="83" t="b">
        <v>0</v>
      </c>
      <c r="F608" s="83" t="b">
        <v>0</v>
      </c>
      <c r="G608" s="83" t="b">
        <v>0</v>
      </c>
    </row>
    <row r="609" spans="1:7" ht="15">
      <c r="A609" s="84" t="s">
        <v>3307</v>
      </c>
      <c r="B609" s="83">
        <v>2</v>
      </c>
      <c r="C609" s="110">
        <v>0.0012819103295473864</v>
      </c>
      <c r="D609" s="83" t="s">
        <v>3362</v>
      </c>
      <c r="E609" s="83" t="b">
        <v>0</v>
      </c>
      <c r="F609" s="83" t="b">
        <v>0</v>
      </c>
      <c r="G609" s="83" t="b">
        <v>0</v>
      </c>
    </row>
    <row r="610" spans="1:7" ht="15">
      <c r="A610" s="84" t="s">
        <v>3308</v>
      </c>
      <c r="B610" s="83">
        <v>2</v>
      </c>
      <c r="C610" s="110">
        <v>0.0012819103295473864</v>
      </c>
      <c r="D610" s="83" t="s">
        <v>3362</v>
      </c>
      <c r="E610" s="83" t="b">
        <v>0</v>
      </c>
      <c r="F610" s="83" t="b">
        <v>0</v>
      </c>
      <c r="G610" s="83" t="b">
        <v>0</v>
      </c>
    </row>
    <row r="611" spans="1:7" ht="15">
      <c r="A611" s="84" t="s">
        <v>3309</v>
      </c>
      <c r="B611" s="83">
        <v>2</v>
      </c>
      <c r="C611" s="110">
        <v>0.0014312307639045199</v>
      </c>
      <c r="D611" s="83" t="s">
        <v>3362</v>
      </c>
      <c r="E611" s="83" t="b">
        <v>0</v>
      </c>
      <c r="F611" s="83" t="b">
        <v>0</v>
      </c>
      <c r="G611" s="83" t="b">
        <v>0</v>
      </c>
    </row>
    <row r="612" spans="1:7" ht="15">
      <c r="A612" s="84" t="s">
        <v>3310</v>
      </c>
      <c r="B612" s="83">
        <v>2</v>
      </c>
      <c r="C612" s="110">
        <v>0.0012819103295473864</v>
      </c>
      <c r="D612" s="83" t="s">
        <v>3362</v>
      </c>
      <c r="E612" s="83" t="b">
        <v>0</v>
      </c>
      <c r="F612" s="83" t="b">
        <v>1</v>
      </c>
      <c r="G612" s="83" t="b">
        <v>0</v>
      </c>
    </row>
    <row r="613" spans="1:7" ht="15">
      <c r="A613" s="84" t="s">
        <v>3311</v>
      </c>
      <c r="B613" s="83">
        <v>2</v>
      </c>
      <c r="C613" s="110">
        <v>0.0012819103295473864</v>
      </c>
      <c r="D613" s="83" t="s">
        <v>3362</v>
      </c>
      <c r="E613" s="83" t="b">
        <v>0</v>
      </c>
      <c r="F613" s="83" t="b">
        <v>0</v>
      </c>
      <c r="G613" s="83" t="b">
        <v>0</v>
      </c>
    </row>
    <row r="614" spans="1:7" ht="15">
      <c r="A614" s="84" t="s">
        <v>3312</v>
      </c>
      <c r="B614" s="83">
        <v>2</v>
      </c>
      <c r="C614" s="110">
        <v>0.0012819103295473864</v>
      </c>
      <c r="D614" s="83" t="s">
        <v>3362</v>
      </c>
      <c r="E614" s="83" t="b">
        <v>0</v>
      </c>
      <c r="F614" s="83" t="b">
        <v>0</v>
      </c>
      <c r="G614" s="83" t="b">
        <v>0</v>
      </c>
    </row>
    <row r="615" spans="1:7" ht="15">
      <c r="A615" s="84" t="s">
        <v>3313</v>
      </c>
      <c r="B615" s="83">
        <v>2</v>
      </c>
      <c r="C615" s="110">
        <v>0.0012819103295473864</v>
      </c>
      <c r="D615" s="83" t="s">
        <v>3362</v>
      </c>
      <c r="E615" s="83" t="b">
        <v>0</v>
      </c>
      <c r="F615" s="83" t="b">
        <v>0</v>
      </c>
      <c r="G615" s="83" t="b">
        <v>0</v>
      </c>
    </row>
    <row r="616" spans="1:7" ht="15">
      <c r="A616" s="84" t="s">
        <v>3314</v>
      </c>
      <c r="B616" s="83">
        <v>2</v>
      </c>
      <c r="C616" s="110">
        <v>0.0012819103295473864</v>
      </c>
      <c r="D616" s="83" t="s">
        <v>3362</v>
      </c>
      <c r="E616" s="83" t="b">
        <v>0</v>
      </c>
      <c r="F616" s="83" t="b">
        <v>0</v>
      </c>
      <c r="G616" s="83" t="b">
        <v>0</v>
      </c>
    </row>
    <row r="617" spans="1:7" ht="15">
      <c r="A617" s="84" t="s">
        <v>3315</v>
      </c>
      <c r="B617" s="83">
        <v>2</v>
      </c>
      <c r="C617" s="110">
        <v>0.0012819103295473864</v>
      </c>
      <c r="D617" s="83" t="s">
        <v>3362</v>
      </c>
      <c r="E617" s="83" t="b">
        <v>0</v>
      </c>
      <c r="F617" s="83" t="b">
        <v>0</v>
      </c>
      <c r="G617" s="83" t="b">
        <v>0</v>
      </c>
    </row>
    <row r="618" spans="1:7" ht="15">
      <c r="A618" s="84" t="s">
        <v>3316</v>
      </c>
      <c r="B618" s="83">
        <v>2</v>
      </c>
      <c r="C618" s="110">
        <v>0.0012819103295473864</v>
      </c>
      <c r="D618" s="83" t="s">
        <v>3362</v>
      </c>
      <c r="E618" s="83" t="b">
        <v>0</v>
      </c>
      <c r="F618" s="83" t="b">
        <v>0</v>
      </c>
      <c r="G618" s="83" t="b">
        <v>0</v>
      </c>
    </row>
    <row r="619" spans="1:7" ht="15">
      <c r="A619" s="84" t="s">
        <v>3317</v>
      </c>
      <c r="B619" s="83">
        <v>2</v>
      </c>
      <c r="C619" s="110">
        <v>0.0012819103295473864</v>
      </c>
      <c r="D619" s="83" t="s">
        <v>3362</v>
      </c>
      <c r="E619" s="83" t="b">
        <v>1</v>
      </c>
      <c r="F619" s="83" t="b">
        <v>0</v>
      </c>
      <c r="G619" s="83" t="b">
        <v>0</v>
      </c>
    </row>
    <row r="620" spans="1:7" ht="15">
      <c r="A620" s="84" t="s">
        <v>3318</v>
      </c>
      <c r="B620" s="83">
        <v>2</v>
      </c>
      <c r="C620" s="110">
        <v>0.0012819103295473864</v>
      </c>
      <c r="D620" s="83" t="s">
        <v>3362</v>
      </c>
      <c r="E620" s="83" t="b">
        <v>0</v>
      </c>
      <c r="F620" s="83" t="b">
        <v>0</v>
      </c>
      <c r="G620" s="83" t="b">
        <v>0</v>
      </c>
    </row>
    <row r="621" spans="1:7" ht="15">
      <c r="A621" s="84" t="s">
        <v>3319</v>
      </c>
      <c r="B621" s="83">
        <v>2</v>
      </c>
      <c r="C621" s="110">
        <v>0.0014312307639045199</v>
      </c>
      <c r="D621" s="83" t="s">
        <v>3362</v>
      </c>
      <c r="E621" s="83" t="b">
        <v>0</v>
      </c>
      <c r="F621" s="83" t="b">
        <v>0</v>
      </c>
      <c r="G621" s="83" t="b">
        <v>0</v>
      </c>
    </row>
    <row r="622" spans="1:7" ht="15">
      <c r="A622" s="84" t="s">
        <v>3320</v>
      </c>
      <c r="B622" s="83">
        <v>2</v>
      </c>
      <c r="C622" s="110">
        <v>0.0012819103295473864</v>
      </c>
      <c r="D622" s="83" t="s">
        <v>3362</v>
      </c>
      <c r="E622" s="83" t="b">
        <v>1</v>
      </c>
      <c r="F622" s="83" t="b">
        <v>0</v>
      </c>
      <c r="G622" s="83" t="b">
        <v>0</v>
      </c>
    </row>
    <row r="623" spans="1:7" ht="15">
      <c r="A623" s="84" t="s">
        <v>3321</v>
      </c>
      <c r="B623" s="83">
        <v>2</v>
      </c>
      <c r="C623" s="110">
        <v>0.0012819103295473864</v>
      </c>
      <c r="D623" s="83" t="s">
        <v>3362</v>
      </c>
      <c r="E623" s="83" t="b">
        <v>1</v>
      </c>
      <c r="F623" s="83" t="b">
        <v>0</v>
      </c>
      <c r="G623" s="83" t="b">
        <v>0</v>
      </c>
    </row>
    <row r="624" spans="1:7" ht="15">
      <c r="A624" s="84" t="s">
        <v>3322</v>
      </c>
      <c r="B624" s="83">
        <v>2</v>
      </c>
      <c r="C624" s="110">
        <v>0.0012819103295473864</v>
      </c>
      <c r="D624" s="83" t="s">
        <v>3362</v>
      </c>
      <c r="E624" s="83" t="b">
        <v>0</v>
      </c>
      <c r="F624" s="83" t="b">
        <v>0</v>
      </c>
      <c r="G624" s="83" t="b">
        <v>0</v>
      </c>
    </row>
    <row r="625" spans="1:7" ht="15">
      <c r="A625" s="84" t="s">
        <v>3323</v>
      </c>
      <c r="B625" s="83">
        <v>2</v>
      </c>
      <c r="C625" s="110">
        <v>0.0012819103295473864</v>
      </c>
      <c r="D625" s="83" t="s">
        <v>3362</v>
      </c>
      <c r="E625" s="83" t="b">
        <v>0</v>
      </c>
      <c r="F625" s="83" t="b">
        <v>0</v>
      </c>
      <c r="G625" s="83" t="b">
        <v>0</v>
      </c>
    </row>
    <row r="626" spans="1:7" ht="15">
      <c r="A626" s="84" t="s">
        <v>3324</v>
      </c>
      <c r="B626" s="83">
        <v>2</v>
      </c>
      <c r="C626" s="110">
        <v>0.0012819103295473864</v>
      </c>
      <c r="D626" s="83" t="s">
        <v>3362</v>
      </c>
      <c r="E626" s="83" t="b">
        <v>0</v>
      </c>
      <c r="F626" s="83" t="b">
        <v>0</v>
      </c>
      <c r="G626" s="83" t="b">
        <v>0</v>
      </c>
    </row>
    <row r="627" spans="1:7" ht="15">
      <c r="A627" s="84" t="s">
        <v>3325</v>
      </c>
      <c r="B627" s="83">
        <v>2</v>
      </c>
      <c r="C627" s="110">
        <v>0.0014312307639045199</v>
      </c>
      <c r="D627" s="83" t="s">
        <v>3362</v>
      </c>
      <c r="E627" s="83" t="b">
        <v>0</v>
      </c>
      <c r="F627" s="83" t="b">
        <v>0</v>
      </c>
      <c r="G627" s="83" t="b">
        <v>0</v>
      </c>
    </row>
    <row r="628" spans="1:7" ht="15">
      <c r="A628" s="84" t="s">
        <v>3326</v>
      </c>
      <c r="B628" s="83">
        <v>2</v>
      </c>
      <c r="C628" s="110">
        <v>0.0014312307639045199</v>
      </c>
      <c r="D628" s="83" t="s">
        <v>3362</v>
      </c>
      <c r="E628" s="83" t="b">
        <v>0</v>
      </c>
      <c r="F628" s="83" t="b">
        <v>0</v>
      </c>
      <c r="G628" s="83" t="b">
        <v>0</v>
      </c>
    </row>
    <row r="629" spans="1:7" ht="15">
      <c r="A629" s="84" t="s">
        <v>3327</v>
      </c>
      <c r="B629" s="83">
        <v>2</v>
      </c>
      <c r="C629" s="110">
        <v>0.0012819103295473864</v>
      </c>
      <c r="D629" s="83" t="s">
        <v>3362</v>
      </c>
      <c r="E629" s="83" t="b">
        <v>0</v>
      </c>
      <c r="F629" s="83" t="b">
        <v>0</v>
      </c>
      <c r="G629" s="83" t="b">
        <v>0</v>
      </c>
    </row>
    <row r="630" spans="1:7" ht="15">
      <c r="A630" s="84" t="s">
        <v>3328</v>
      </c>
      <c r="B630" s="83">
        <v>2</v>
      </c>
      <c r="C630" s="110">
        <v>0.0012819103295473864</v>
      </c>
      <c r="D630" s="83" t="s">
        <v>3362</v>
      </c>
      <c r="E630" s="83" t="b">
        <v>0</v>
      </c>
      <c r="F630" s="83" t="b">
        <v>0</v>
      </c>
      <c r="G630" s="83" t="b">
        <v>0</v>
      </c>
    </row>
    <row r="631" spans="1:7" ht="15">
      <c r="A631" s="84" t="s">
        <v>3329</v>
      </c>
      <c r="B631" s="83">
        <v>2</v>
      </c>
      <c r="C631" s="110">
        <v>0.0012819103295473864</v>
      </c>
      <c r="D631" s="83" t="s">
        <v>3362</v>
      </c>
      <c r="E631" s="83" t="b">
        <v>0</v>
      </c>
      <c r="F631" s="83" t="b">
        <v>0</v>
      </c>
      <c r="G631" s="83" t="b">
        <v>0</v>
      </c>
    </row>
    <row r="632" spans="1:7" ht="15">
      <c r="A632" s="84" t="s">
        <v>3330</v>
      </c>
      <c r="B632" s="83">
        <v>2</v>
      </c>
      <c r="C632" s="110">
        <v>0.0012819103295473864</v>
      </c>
      <c r="D632" s="83" t="s">
        <v>3362</v>
      </c>
      <c r="E632" s="83" t="b">
        <v>0</v>
      </c>
      <c r="F632" s="83" t="b">
        <v>0</v>
      </c>
      <c r="G632" s="83" t="b">
        <v>0</v>
      </c>
    </row>
    <row r="633" spans="1:7" ht="15">
      <c r="A633" s="84" t="s">
        <v>3331</v>
      </c>
      <c r="B633" s="83">
        <v>2</v>
      </c>
      <c r="C633" s="110">
        <v>0.0012819103295473864</v>
      </c>
      <c r="D633" s="83" t="s">
        <v>3362</v>
      </c>
      <c r="E633" s="83" t="b">
        <v>0</v>
      </c>
      <c r="F633" s="83" t="b">
        <v>0</v>
      </c>
      <c r="G633" s="83" t="b">
        <v>0</v>
      </c>
    </row>
    <row r="634" spans="1:7" ht="15">
      <c r="A634" s="84" t="s">
        <v>3332</v>
      </c>
      <c r="B634" s="83">
        <v>2</v>
      </c>
      <c r="C634" s="110">
        <v>0.0014312307639045199</v>
      </c>
      <c r="D634" s="83" t="s">
        <v>3362</v>
      </c>
      <c r="E634" s="83" t="b">
        <v>0</v>
      </c>
      <c r="F634" s="83" t="b">
        <v>0</v>
      </c>
      <c r="G634" s="83" t="b">
        <v>0</v>
      </c>
    </row>
    <row r="635" spans="1:7" ht="15">
      <c r="A635" s="84" t="s">
        <v>3333</v>
      </c>
      <c r="B635" s="83">
        <v>2</v>
      </c>
      <c r="C635" s="110">
        <v>0.0014312307639045199</v>
      </c>
      <c r="D635" s="83" t="s">
        <v>3362</v>
      </c>
      <c r="E635" s="83" t="b">
        <v>0</v>
      </c>
      <c r="F635" s="83" t="b">
        <v>0</v>
      </c>
      <c r="G635" s="83" t="b">
        <v>0</v>
      </c>
    </row>
    <row r="636" spans="1:7" ht="15">
      <c r="A636" s="84" t="s">
        <v>3334</v>
      </c>
      <c r="B636" s="83">
        <v>2</v>
      </c>
      <c r="C636" s="110">
        <v>0.0014312307639045199</v>
      </c>
      <c r="D636" s="83" t="s">
        <v>3362</v>
      </c>
      <c r="E636" s="83" t="b">
        <v>0</v>
      </c>
      <c r="F636" s="83" t="b">
        <v>0</v>
      </c>
      <c r="G636" s="83" t="b">
        <v>0</v>
      </c>
    </row>
    <row r="637" spans="1:7" ht="15">
      <c r="A637" s="84" t="s">
        <v>3335</v>
      </c>
      <c r="B637" s="83">
        <v>2</v>
      </c>
      <c r="C637" s="110">
        <v>0.0012819103295473864</v>
      </c>
      <c r="D637" s="83" t="s">
        <v>3362</v>
      </c>
      <c r="E637" s="83" t="b">
        <v>0</v>
      </c>
      <c r="F637" s="83" t="b">
        <v>0</v>
      </c>
      <c r="G637" s="83" t="b">
        <v>0</v>
      </c>
    </row>
    <row r="638" spans="1:7" ht="15">
      <c r="A638" s="84" t="s">
        <v>3336</v>
      </c>
      <c r="B638" s="83">
        <v>2</v>
      </c>
      <c r="C638" s="110">
        <v>0.0014312307639045199</v>
      </c>
      <c r="D638" s="83" t="s">
        <v>3362</v>
      </c>
      <c r="E638" s="83" t="b">
        <v>0</v>
      </c>
      <c r="F638" s="83" t="b">
        <v>0</v>
      </c>
      <c r="G638" s="83" t="b">
        <v>0</v>
      </c>
    </row>
    <row r="639" spans="1:7" ht="15">
      <c r="A639" s="84" t="s">
        <v>3337</v>
      </c>
      <c r="B639" s="83">
        <v>2</v>
      </c>
      <c r="C639" s="110">
        <v>0.0012819103295473864</v>
      </c>
      <c r="D639" s="83" t="s">
        <v>3362</v>
      </c>
      <c r="E639" s="83" t="b">
        <v>0</v>
      </c>
      <c r="F639" s="83" t="b">
        <v>1</v>
      </c>
      <c r="G639" s="83" t="b">
        <v>0</v>
      </c>
    </row>
    <row r="640" spans="1:7" ht="15">
      <c r="A640" s="84" t="s">
        <v>3338</v>
      </c>
      <c r="B640" s="83">
        <v>2</v>
      </c>
      <c r="C640" s="110">
        <v>0.0012819103295473864</v>
      </c>
      <c r="D640" s="83" t="s">
        <v>3362</v>
      </c>
      <c r="E640" s="83" t="b">
        <v>1</v>
      </c>
      <c r="F640" s="83" t="b">
        <v>0</v>
      </c>
      <c r="G640" s="83" t="b">
        <v>0</v>
      </c>
    </row>
    <row r="641" spans="1:7" ht="15">
      <c r="A641" s="84" t="s">
        <v>3339</v>
      </c>
      <c r="B641" s="83">
        <v>2</v>
      </c>
      <c r="C641" s="110">
        <v>0.0014312307639045199</v>
      </c>
      <c r="D641" s="83" t="s">
        <v>3362</v>
      </c>
      <c r="E641" s="83" t="b">
        <v>0</v>
      </c>
      <c r="F641" s="83" t="b">
        <v>0</v>
      </c>
      <c r="G641" s="83" t="b">
        <v>0</v>
      </c>
    </row>
    <row r="642" spans="1:7" ht="15">
      <c r="A642" s="84" t="s">
        <v>3340</v>
      </c>
      <c r="B642" s="83">
        <v>2</v>
      </c>
      <c r="C642" s="110">
        <v>0.0012819103295473864</v>
      </c>
      <c r="D642" s="83" t="s">
        <v>3362</v>
      </c>
      <c r="E642" s="83" t="b">
        <v>0</v>
      </c>
      <c r="F642" s="83" t="b">
        <v>0</v>
      </c>
      <c r="G642" s="83" t="b">
        <v>0</v>
      </c>
    </row>
    <row r="643" spans="1:7" ht="15">
      <c r="A643" s="84" t="s">
        <v>3341</v>
      </c>
      <c r="B643" s="83">
        <v>2</v>
      </c>
      <c r="C643" s="110">
        <v>0.0012819103295473864</v>
      </c>
      <c r="D643" s="83" t="s">
        <v>3362</v>
      </c>
      <c r="E643" s="83" t="b">
        <v>0</v>
      </c>
      <c r="F643" s="83" t="b">
        <v>0</v>
      </c>
      <c r="G643" s="83" t="b">
        <v>0</v>
      </c>
    </row>
    <row r="644" spans="1:7" ht="15">
      <c r="A644" s="84" t="s">
        <v>3342</v>
      </c>
      <c r="B644" s="83">
        <v>2</v>
      </c>
      <c r="C644" s="110">
        <v>0.0012819103295473864</v>
      </c>
      <c r="D644" s="83" t="s">
        <v>3362</v>
      </c>
      <c r="E644" s="83" t="b">
        <v>0</v>
      </c>
      <c r="F644" s="83" t="b">
        <v>0</v>
      </c>
      <c r="G644" s="83" t="b">
        <v>0</v>
      </c>
    </row>
    <row r="645" spans="1:7" ht="15">
      <c r="A645" s="84" t="s">
        <v>3343</v>
      </c>
      <c r="B645" s="83">
        <v>2</v>
      </c>
      <c r="C645" s="110">
        <v>0.0012819103295473864</v>
      </c>
      <c r="D645" s="83" t="s">
        <v>3362</v>
      </c>
      <c r="E645" s="83" t="b">
        <v>0</v>
      </c>
      <c r="F645" s="83" t="b">
        <v>0</v>
      </c>
      <c r="G645" s="83" t="b">
        <v>0</v>
      </c>
    </row>
    <row r="646" spans="1:7" ht="15">
      <c r="A646" s="84" t="s">
        <v>3344</v>
      </c>
      <c r="B646" s="83">
        <v>2</v>
      </c>
      <c r="C646" s="110">
        <v>0.0014312307639045199</v>
      </c>
      <c r="D646" s="83" t="s">
        <v>3362</v>
      </c>
      <c r="E646" s="83" t="b">
        <v>0</v>
      </c>
      <c r="F646" s="83" t="b">
        <v>0</v>
      </c>
      <c r="G646" s="83" t="b">
        <v>0</v>
      </c>
    </row>
    <row r="647" spans="1:7" ht="15">
      <c r="A647" s="84" t="s">
        <v>3345</v>
      </c>
      <c r="B647" s="83">
        <v>2</v>
      </c>
      <c r="C647" s="110">
        <v>0.0014312307639045199</v>
      </c>
      <c r="D647" s="83" t="s">
        <v>3362</v>
      </c>
      <c r="E647" s="83" t="b">
        <v>0</v>
      </c>
      <c r="F647" s="83" t="b">
        <v>0</v>
      </c>
      <c r="G647" s="83" t="b">
        <v>0</v>
      </c>
    </row>
    <row r="648" spans="1:7" ht="15">
      <c r="A648" s="84" t="s">
        <v>3346</v>
      </c>
      <c r="B648" s="83">
        <v>2</v>
      </c>
      <c r="C648" s="110">
        <v>0.0014312307639045199</v>
      </c>
      <c r="D648" s="83" t="s">
        <v>3362</v>
      </c>
      <c r="E648" s="83" t="b">
        <v>0</v>
      </c>
      <c r="F648" s="83" t="b">
        <v>0</v>
      </c>
      <c r="G648" s="83" t="b">
        <v>0</v>
      </c>
    </row>
    <row r="649" spans="1:7" ht="15">
      <c r="A649" s="84" t="s">
        <v>3347</v>
      </c>
      <c r="B649" s="83">
        <v>2</v>
      </c>
      <c r="C649" s="110">
        <v>0.0012819103295473864</v>
      </c>
      <c r="D649" s="83" t="s">
        <v>3362</v>
      </c>
      <c r="E649" s="83" t="b">
        <v>0</v>
      </c>
      <c r="F649" s="83" t="b">
        <v>0</v>
      </c>
      <c r="G649" s="83" t="b">
        <v>0</v>
      </c>
    </row>
    <row r="650" spans="1:7" ht="15">
      <c r="A650" s="84" t="s">
        <v>3348</v>
      </c>
      <c r="B650" s="83">
        <v>2</v>
      </c>
      <c r="C650" s="110">
        <v>0.0012819103295473864</v>
      </c>
      <c r="D650" s="83" t="s">
        <v>3362</v>
      </c>
      <c r="E650" s="83" t="b">
        <v>0</v>
      </c>
      <c r="F650" s="83" t="b">
        <v>0</v>
      </c>
      <c r="G650" s="83" t="b">
        <v>0</v>
      </c>
    </row>
    <row r="651" spans="1:7" ht="15">
      <c r="A651" s="84" t="s">
        <v>3349</v>
      </c>
      <c r="B651" s="83">
        <v>2</v>
      </c>
      <c r="C651" s="110">
        <v>0.0014312307639045199</v>
      </c>
      <c r="D651" s="83" t="s">
        <v>3362</v>
      </c>
      <c r="E651" s="83" t="b">
        <v>0</v>
      </c>
      <c r="F651" s="83" t="b">
        <v>0</v>
      </c>
      <c r="G651" s="83" t="b">
        <v>0</v>
      </c>
    </row>
    <row r="652" spans="1:7" ht="15">
      <c r="A652" s="84" t="s">
        <v>3350</v>
      </c>
      <c r="B652" s="83">
        <v>2</v>
      </c>
      <c r="C652" s="110">
        <v>0.0012819103295473864</v>
      </c>
      <c r="D652" s="83" t="s">
        <v>3362</v>
      </c>
      <c r="E652" s="83" t="b">
        <v>0</v>
      </c>
      <c r="F652" s="83" t="b">
        <v>0</v>
      </c>
      <c r="G652" s="83" t="b">
        <v>0</v>
      </c>
    </row>
    <row r="653" spans="1:7" ht="15">
      <c r="A653" s="84" t="s">
        <v>3351</v>
      </c>
      <c r="B653" s="83">
        <v>2</v>
      </c>
      <c r="C653" s="110">
        <v>0.0012819103295473864</v>
      </c>
      <c r="D653" s="83" t="s">
        <v>3362</v>
      </c>
      <c r="E653" s="83" t="b">
        <v>0</v>
      </c>
      <c r="F653" s="83" t="b">
        <v>0</v>
      </c>
      <c r="G653" s="83" t="b">
        <v>0</v>
      </c>
    </row>
    <row r="654" spans="1:7" ht="15">
      <c r="A654" s="84" t="s">
        <v>3352</v>
      </c>
      <c r="B654" s="83">
        <v>2</v>
      </c>
      <c r="C654" s="110">
        <v>0.0012819103295473864</v>
      </c>
      <c r="D654" s="83" t="s">
        <v>3362</v>
      </c>
      <c r="E654" s="83" t="b">
        <v>0</v>
      </c>
      <c r="F654" s="83" t="b">
        <v>0</v>
      </c>
      <c r="G654" s="83" t="b">
        <v>0</v>
      </c>
    </row>
    <row r="655" spans="1:7" ht="15">
      <c r="A655" s="84" t="s">
        <v>3353</v>
      </c>
      <c r="B655" s="83">
        <v>2</v>
      </c>
      <c r="C655" s="110">
        <v>0.0014312307639045199</v>
      </c>
      <c r="D655" s="83" t="s">
        <v>3362</v>
      </c>
      <c r="E655" s="83" t="b">
        <v>0</v>
      </c>
      <c r="F655" s="83" t="b">
        <v>0</v>
      </c>
      <c r="G655" s="83" t="b">
        <v>0</v>
      </c>
    </row>
    <row r="656" spans="1:7" ht="15">
      <c r="A656" s="84" t="s">
        <v>3354</v>
      </c>
      <c r="B656" s="83">
        <v>2</v>
      </c>
      <c r="C656" s="110">
        <v>0.0014312307639045199</v>
      </c>
      <c r="D656" s="83" t="s">
        <v>3362</v>
      </c>
      <c r="E656" s="83" t="b">
        <v>0</v>
      </c>
      <c r="F656" s="83" t="b">
        <v>0</v>
      </c>
      <c r="G656" s="83" t="b">
        <v>0</v>
      </c>
    </row>
    <row r="657" spans="1:7" ht="15">
      <c r="A657" s="84" t="s">
        <v>3355</v>
      </c>
      <c r="B657" s="83">
        <v>2</v>
      </c>
      <c r="C657" s="110">
        <v>0.0012819103295473864</v>
      </c>
      <c r="D657" s="83" t="s">
        <v>3362</v>
      </c>
      <c r="E657" s="83" t="b">
        <v>0</v>
      </c>
      <c r="F657" s="83" t="b">
        <v>0</v>
      </c>
      <c r="G657" s="83" t="b">
        <v>0</v>
      </c>
    </row>
    <row r="658" spans="1:7" ht="15">
      <c r="A658" s="84" t="s">
        <v>3356</v>
      </c>
      <c r="B658" s="83">
        <v>2</v>
      </c>
      <c r="C658" s="110">
        <v>0.0014312307639045199</v>
      </c>
      <c r="D658" s="83" t="s">
        <v>3362</v>
      </c>
      <c r="E658" s="83" t="b">
        <v>0</v>
      </c>
      <c r="F658" s="83" t="b">
        <v>0</v>
      </c>
      <c r="G658" s="83" t="b">
        <v>0</v>
      </c>
    </row>
    <row r="659" spans="1:7" ht="15">
      <c r="A659" s="84" t="s">
        <v>2728</v>
      </c>
      <c r="B659" s="83">
        <v>13</v>
      </c>
      <c r="C659" s="110">
        <v>0.021917337758309487</v>
      </c>
      <c r="D659" s="83" t="s">
        <v>2667</v>
      </c>
      <c r="E659" s="83" t="b">
        <v>0</v>
      </c>
      <c r="F659" s="83" t="b">
        <v>0</v>
      </c>
      <c r="G659" s="83" t="b">
        <v>0</v>
      </c>
    </row>
    <row r="660" spans="1:7" ht="15">
      <c r="A660" s="84" t="s">
        <v>1421</v>
      </c>
      <c r="B660" s="83">
        <v>13</v>
      </c>
      <c r="C660" s="110">
        <v>0.021917337758309487</v>
      </c>
      <c r="D660" s="83" t="s">
        <v>2667</v>
      </c>
      <c r="E660" s="83" t="b">
        <v>1</v>
      </c>
      <c r="F660" s="83" t="b">
        <v>0</v>
      </c>
      <c r="G660" s="83" t="b">
        <v>0</v>
      </c>
    </row>
    <row r="661" spans="1:7" ht="15">
      <c r="A661" s="84" t="s">
        <v>2739</v>
      </c>
      <c r="B661" s="83">
        <v>9</v>
      </c>
      <c r="C661" s="110">
        <v>0.01745498213737652</v>
      </c>
      <c r="D661" s="83" t="s">
        <v>2667</v>
      </c>
      <c r="E661" s="83" t="b">
        <v>1</v>
      </c>
      <c r="F661" s="83" t="b">
        <v>0</v>
      </c>
      <c r="G661" s="83" t="b">
        <v>0</v>
      </c>
    </row>
    <row r="662" spans="1:7" ht="15">
      <c r="A662" s="84" t="s">
        <v>2749</v>
      </c>
      <c r="B662" s="83">
        <v>8</v>
      </c>
      <c r="C662" s="110">
        <v>0.01875709529802746</v>
      </c>
      <c r="D662" s="83" t="s">
        <v>2667</v>
      </c>
      <c r="E662" s="83" t="b">
        <v>0</v>
      </c>
      <c r="F662" s="83" t="b">
        <v>0</v>
      </c>
      <c r="G662" s="83" t="b">
        <v>0</v>
      </c>
    </row>
    <row r="663" spans="1:7" ht="15">
      <c r="A663" s="84" t="s">
        <v>2767</v>
      </c>
      <c r="B663" s="83">
        <v>7</v>
      </c>
      <c r="C663" s="110">
        <v>0.014788813544904716</v>
      </c>
      <c r="D663" s="83" t="s">
        <v>2667</v>
      </c>
      <c r="E663" s="83" t="b">
        <v>0</v>
      </c>
      <c r="F663" s="83" t="b">
        <v>0</v>
      </c>
      <c r="G663" s="83" t="b">
        <v>0</v>
      </c>
    </row>
    <row r="664" spans="1:7" ht="15">
      <c r="A664" s="84" t="s">
        <v>2744</v>
      </c>
      <c r="B664" s="83">
        <v>7</v>
      </c>
      <c r="C664" s="110">
        <v>0.015532666763022642</v>
      </c>
      <c r="D664" s="83" t="s">
        <v>2667</v>
      </c>
      <c r="E664" s="83" t="b">
        <v>0</v>
      </c>
      <c r="F664" s="83" t="b">
        <v>0</v>
      </c>
      <c r="G664" s="83" t="b">
        <v>0</v>
      </c>
    </row>
    <row r="665" spans="1:7" ht="15">
      <c r="A665" s="84" t="s">
        <v>2751</v>
      </c>
      <c r="B665" s="83">
        <v>7</v>
      </c>
      <c r="C665" s="110">
        <v>0.014788813544904716</v>
      </c>
      <c r="D665" s="83" t="s">
        <v>2667</v>
      </c>
      <c r="E665" s="83" t="b">
        <v>0</v>
      </c>
      <c r="F665" s="83" t="b">
        <v>0</v>
      </c>
      <c r="G665" s="83" t="b">
        <v>0</v>
      </c>
    </row>
    <row r="666" spans="1:7" ht="15">
      <c r="A666" s="84" t="s">
        <v>2716</v>
      </c>
      <c r="B666" s="83">
        <v>7</v>
      </c>
      <c r="C666" s="110">
        <v>0.014788813544904716</v>
      </c>
      <c r="D666" s="83" t="s">
        <v>2667</v>
      </c>
      <c r="E666" s="83" t="b">
        <v>0</v>
      </c>
      <c r="F666" s="83" t="b">
        <v>0</v>
      </c>
      <c r="G666" s="83" t="b">
        <v>0</v>
      </c>
    </row>
    <row r="667" spans="1:7" ht="15">
      <c r="A667" s="84" t="s">
        <v>2644</v>
      </c>
      <c r="B667" s="83">
        <v>7</v>
      </c>
      <c r="C667" s="110">
        <v>0.014788813544904716</v>
      </c>
      <c r="D667" s="83" t="s">
        <v>2667</v>
      </c>
      <c r="E667" s="83" t="b">
        <v>0</v>
      </c>
      <c r="F667" s="83" t="b">
        <v>0</v>
      </c>
      <c r="G667" s="83" t="b">
        <v>0</v>
      </c>
    </row>
    <row r="668" spans="1:7" ht="15">
      <c r="A668" s="84" t="s">
        <v>2748</v>
      </c>
      <c r="B668" s="83">
        <v>6</v>
      </c>
      <c r="C668" s="110">
        <v>0.014067821473520595</v>
      </c>
      <c r="D668" s="83" t="s">
        <v>2667</v>
      </c>
      <c r="E668" s="83" t="b">
        <v>0</v>
      </c>
      <c r="F668" s="83" t="b">
        <v>0</v>
      </c>
      <c r="G668" s="83" t="b">
        <v>0</v>
      </c>
    </row>
    <row r="669" spans="1:7" ht="15">
      <c r="A669" s="84" t="s">
        <v>2768</v>
      </c>
      <c r="B669" s="83">
        <v>6</v>
      </c>
      <c r="C669" s="110">
        <v>0.013313714368305122</v>
      </c>
      <c r="D669" s="83" t="s">
        <v>2667</v>
      </c>
      <c r="E669" s="83" t="b">
        <v>0</v>
      </c>
      <c r="F669" s="83" t="b">
        <v>0</v>
      </c>
      <c r="G669" s="83" t="b">
        <v>0</v>
      </c>
    </row>
    <row r="670" spans="1:7" ht="15">
      <c r="A670" s="84" t="s">
        <v>2820</v>
      </c>
      <c r="B670" s="83">
        <v>6</v>
      </c>
      <c r="C670" s="110">
        <v>0.014067821473520595</v>
      </c>
      <c r="D670" s="83" t="s">
        <v>2667</v>
      </c>
      <c r="E670" s="83" t="b">
        <v>0</v>
      </c>
      <c r="F670" s="83" t="b">
        <v>0</v>
      </c>
      <c r="G670" s="83" t="b">
        <v>0</v>
      </c>
    </row>
    <row r="671" spans="1:7" ht="15">
      <c r="A671" s="84" t="s">
        <v>2766</v>
      </c>
      <c r="B671" s="83">
        <v>6</v>
      </c>
      <c r="C671" s="110">
        <v>0.014067821473520595</v>
      </c>
      <c r="D671" s="83" t="s">
        <v>2667</v>
      </c>
      <c r="E671" s="83" t="b">
        <v>0</v>
      </c>
      <c r="F671" s="83" t="b">
        <v>0</v>
      </c>
      <c r="G671" s="83" t="b">
        <v>0</v>
      </c>
    </row>
    <row r="672" spans="1:7" ht="15">
      <c r="A672" s="84" t="s">
        <v>2798</v>
      </c>
      <c r="B672" s="83">
        <v>6</v>
      </c>
      <c r="C672" s="110">
        <v>0.013313714368305122</v>
      </c>
      <c r="D672" s="83" t="s">
        <v>2667</v>
      </c>
      <c r="E672" s="83" t="b">
        <v>0</v>
      </c>
      <c r="F672" s="83" t="b">
        <v>0</v>
      </c>
      <c r="G672" s="83" t="b">
        <v>0</v>
      </c>
    </row>
    <row r="673" spans="1:7" ht="15">
      <c r="A673" s="84" t="s">
        <v>2717</v>
      </c>
      <c r="B673" s="83">
        <v>6</v>
      </c>
      <c r="C673" s="110">
        <v>0.014067821473520595</v>
      </c>
      <c r="D673" s="83" t="s">
        <v>2667</v>
      </c>
      <c r="E673" s="83" t="b">
        <v>0</v>
      </c>
      <c r="F673" s="83" t="b">
        <v>0</v>
      </c>
      <c r="G673" s="83" t="b">
        <v>0</v>
      </c>
    </row>
    <row r="674" spans="1:7" ht="15">
      <c r="A674" s="84" t="s">
        <v>2771</v>
      </c>
      <c r="B674" s="83">
        <v>6</v>
      </c>
      <c r="C674" s="110">
        <v>0.013313714368305122</v>
      </c>
      <c r="D674" s="83" t="s">
        <v>2667</v>
      </c>
      <c r="E674" s="83" t="b">
        <v>0</v>
      </c>
      <c r="F674" s="83" t="b">
        <v>0</v>
      </c>
      <c r="G674" s="83" t="b">
        <v>0</v>
      </c>
    </row>
    <row r="675" spans="1:7" ht="15">
      <c r="A675" s="84" t="s">
        <v>2838</v>
      </c>
      <c r="B675" s="83">
        <v>5</v>
      </c>
      <c r="C675" s="110">
        <v>0.012492311648632688</v>
      </c>
      <c r="D675" s="83" t="s">
        <v>2667</v>
      </c>
      <c r="E675" s="83" t="b">
        <v>0</v>
      </c>
      <c r="F675" s="83" t="b">
        <v>0</v>
      </c>
      <c r="G675" s="83" t="b">
        <v>0</v>
      </c>
    </row>
    <row r="676" spans="1:7" ht="15">
      <c r="A676" s="84" t="s">
        <v>2835</v>
      </c>
      <c r="B676" s="83">
        <v>5</v>
      </c>
      <c r="C676" s="110">
        <v>0.01172318456126716</v>
      </c>
      <c r="D676" s="83" t="s">
        <v>2667</v>
      </c>
      <c r="E676" s="83" t="b">
        <v>0</v>
      </c>
      <c r="F676" s="83" t="b">
        <v>0</v>
      </c>
      <c r="G676" s="83" t="b">
        <v>0</v>
      </c>
    </row>
    <row r="677" spans="1:7" ht="15">
      <c r="A677" s="84" t="s">
        <v>2733</v>
      </c>
      <c r="B677" s="83">
        <v>5</v>
      </c>
      <c r="C677" s="110">
        <v>0.01172318456126716</v>
      </c>
      <c r="D677" s="83" t="s">
        <v>2667</v>
      </c>
      <c r="E677" s="83" t="b">
        <v>0</v>
      </c>
      <c r="F677" s="83" t="b">
        <v>0</v>
      </c>
      <c r="G677" s="83" t="b">
        <v>0</v>
      </c>
    </row>
    <row r="678" spans="1:7" ht="15">
      <c r="A678" s="84" t="s">
        <v>2718</v>
      </c>
      <c r="B678" s="83">
        <v>5</v>
      </c>
      <c r="C678" s="110">
        <v>0.012492311648632688</v>
      </c>
      <c r="D678" s="83" t="s">
        <v>2667</v>
      </c>
      <c r="E678" s="83" t="b">
        <v>0</v>
      </c>
      <c r="F678" s="83" t="b">
        <v>0</v>
      </c>
      <c r="G678" s="83" t="b">
        <v>0</v>
      </c>
    </row>
    <row r="679" spans="1:7" ht="15">
      <c r="A679" s="84" t="s">
        <v>2819</v>
      </c>
      <c r="B679" s="83">
        <v>5</v>
      </c>
      <c r="C679" s="110">
        <v>0.013483888923301735</v>
      </c>
      <c r="D679" s="83" t="s">
        <v>2667</v>
      </c>
      <c r="E679" s="83" t="b">
        <v>0</v>
      </c>
      <c r="F679" s="83" t="b">
        <v>0</v>
      </c>
      <c r="G679" s="83" t="b">
        <v>0</v>
      </c>
    </row>
    <row r="680" spans="1:7" ht="15">
      <c r="A680" s="84" t="s">
        <v>2891</v>
      </c>
      <c r="B680" s="83">
        <v>4</v>
      </c>
      <c r="C680" s="110">
        <v>0.010787111138641389</v>
      </c>
      <c r="D680" s="83" t="s">
        <v>2667</v>
      </c>
      <c r="E680" s="83" t="b">
        <v>0</v>
      </c>
      <c r="F680" s="83" t="b">
        <v>1</v>
      </c>
      <c r="G680" s="83" t="b">
        <v>0</v>
      </c>
    </row>
    <row r="681" spans="1:7" ht="15">
      <c r="A681" s="84" t="s">
        <v>2843</v>
      </c>
      <c r="B681" s="83">
        <v>4</v>
      </c>
      <c r="C681" s="110">
        <v>0.010787111138641389</v>
      </c>
      <c r="D681" s="83" t="s">
        <v>2667</v>
      </c>
      <c r="E681" s="83" t="b">
        <v>0</v>
      </c>
      <c r="F681" s="83" t="b">
        <v>0</v>
      </c>
      <c r="G681" s="83" t="b">
        <v>0</v>
      </c>
    </row>
    <row r="682" spans="1:7" ht="15">
      <c r="A682" s="84" t="s">
        <v>2890</v>
      </c>
      <c r="B682" s="83">
        <v>4</v>
      </c>
      <c r="C682" s="110">
        <v>0.00999384931890615</v>
      </c>
      <c r="D682" s="83" t="s">
        <v>2667</v>
      </c>
      <c r="E682" s="83" t="b">
        <v>0</v>
      </c>
      <c r="F682" s="83" t="b">
        <v>0</v>
      </c>
      <c r="G682" s="83" t="b">
        <v>0</v>
      </c>
    </row>
    <row r="683" spans="1:7" ht="15">
      <c r="A683" s="84" t="s">
        <v>2789</v>
      </c>
      <c r="B683" s="83">
        <v>4</v>
      </c>
      <c r="C683" s="110">
        <v>0.00999384931890615</v>
      </c>
      <c r="D683" s="83" t="s">
        <v>2667</v>
      </c>
      <c r="E683" s="83" t="b">
        <v>0</v>
      </c>
      <c r="F683" s="83" t="b">
        <v>0</v>
      </c>
      <c r="G683" s="83" t="b">
        <v>0</v>
      </c>
    </row>
    <row r="684" spans="1:7" ht="15">
      <c r="A684" s="84" t="s">
        <v>2757</v>
      </c>
      <c r="B684" s="83">
        <v>4</v>
      </c>
      <c r="C684" s="110">
        <v>0.00999384931890615</v>
      </c>
      <c r="D684" s="83" t="s">
        <v>2667</v>
      </c>
      <c r="E684" s="83" t="b">
        <v>0</v>
      </c>
      <c r="F684" s="83" t="b">
        <v>0</v>
      </c>
      <c r="G684" s="83" t="b">
        <v>0</v>
      </c>
    </row>
    <row r="685" spans="1:7" ht="15">
      <c r="A685" s="84" t="s">
        <v>2724</v>
      </c>
      <c r="B685" s="83">
        <v>4</v>
      </c>
      <c r="C685" s="110">
        <v>0.010787111138641389</v>
      </c>
      <c r="D685" s="83" t="s">
        <v>2667</v>
      </c>
      <c r="E685" s="83" t="b">
        <v>0</v>
      </c>
      <c r="F685" s="83" t="b">
        <v>0</v>
      </c>
      <c r="G685" s="83" t="b">
        <v>0</v>
      </c>
    </row>
    <row r="686" spans="1:7" ht="15">
      <c r="A686" s="84" t="s">
        <v>2765</v>
      </c>
      <c r="B686" s="83">
        <v>4</v>
      </c>
      <c r="C686" s="110">
        <v>0.00999384931890615</v>
      </c>
      <c r="D686" s="83" t="s">
        <v>2667</v>
      </c>
      <c r="E686" s="83" t="b">
        <v>0</v>
      </c>
      <c r="F686" s="83" t="b">
        <v>0</v>
      </c>
      <c r="G686" s="83" t="b">
        <v>0</v>
      </c>
    </row>
    <row r="687" spans="1:7" ht="15">
      <c r="A687" s="84" t="s">
        <v>2882</v>
      </c>
      <c r="B687" s="83">
        <v>4</v>
      </c>
      <c r="C687" s="110">
        <v>0.010787111138641389</v>
      </c>
      <c r="D687" s="83" t="s">
        <v>2667</v>
      </c>
      <c r="E687" s="83" t="b">
        <v>0</v>
      </c>
      <c r="F687" s="83" t="b">
        <v>0</v>
      </c>
      <c r="G687" s="83" t="b">
        <v>0</v>
      </c>
    </row>
    <row r="688" spans="1:7" ht="15">
      <c r="A688" s="84" t="s">
        <v>2839</v>
      </c>
      <c r="B688" s="83">
        <v>4</v>
      </c>
      <c r="C688" s="110">
        <v>0.010787111138641389</v>
      </c>
      <c r="D688" s="83" t="s">
        <v>2667</v>
      </c>
      <c r="E688" s="83" t="b">
        <v>0</v>
      </c>
      <c r="F688" s="83" t="b">
        <v>0</v>
      </c>
      <c r="G688" s="83" t="b">
        <v>0</v>
      </c>
    </row>
    <row r="689" spans="1:7" ht="15">
      <c r="A689" s="84" t="s">
        <v>2883</v>
      </c>
      <c r="B689" s="83">
        <v>4</v>
      </c>
      <c r="C689" s="110">
        <v>0.00999384931890615</v>
      </c>
      <c r="D689" s="83" t="s">
        <v>2667</v>
      </c>
      <c r="E689" s="83" t="b">
        <v>0</v>
      </c>
      <c r="F689" s="83" t="b">
        <v>0</v>
      </c>
      <c r="G689" s="83" t="b">
        <v>0</v>
      </c>
    </row>
    <row r="690" spans="1:7" ht="15">
      <c r="A690" s="84" t="s">
        <v>2799</v>
      </c>
      <c r="B690" s="83">
        <v>4</v>
      </c>
      <c r="C690" s="110">
        <v>0.00999384931890615</v>
      </c>
      <c r="D690" s="83" t="s">
        <v>2667</v>
      </c>
      <c r="E690" s="83" t="b">
        <v>0</v>
      </c>
      <c r="F690" s="83" t="b">
        <v>0</v>
      </c>
      <c r="G690" s="83" t="b">
        <v>0</v>
      </c>
    </row>
    <row r="691" spans="1:7" ht="15">
      <c r="A691" s="84" t="s">
        <v>2792</v>
      </c>
      <c r="B691" s="83">
        <v>4</v>
      </c>
      <c r="C691" s="110">
        <v>0.00999384931890615</v>
      </c>
      <c r="D691" s="83" t="s">
        <v>2667</v>
      </c>
      <c r="E691" s="83" t="b">
        <v>1</v>
      </c>
      <c r="F691" s="83" t="b">
        <v>0</v>
      </c>
      <c r="G691" s="83" t="b">
        <v>0</v>
      </c>
    </row>
    <row r="692" spans="1:7" ht="15">
      <c r="A692" s="84" t="s">
        <v>2981</v>
      </c>
      <c r="B692" s="83">
        <v>3</v>
      </c>
      <c r="C692" s="110">
        <v>0.008090333353981042</v>
      </c>
      <c r="D692" s="83" t="s">
        <v>2667</v>
      </c>
      <c r="E692" s="83" t="b">
        <v>0</v>
      </c>
      <c r="F692" s="83" t="b">
        <v>0</v>
      </c>
      <c r="G692" s="83" t="b">
        <v>0</v>
      </c>
    </row>
    <row r="693" spans="1:7" ht="15">
      <c r="A693" s="84" t="s">
        <v>2730</v>
      </c>
      <c r="B693" s="83">
        <v>3</v>
      </c>
      <c r="C693" s="110">
        <v>0.008090333353981042</v>
      </c>
      <c r="D693" s="83" t="s">
        <v>2667</v>
      </c>
      <c r="E693" s="83" t="b">
        <v>0</v>
      </c>
      <c r="F693" s="83" t="b">
        <v>1</v>
      </c>
      <c r="G693" s="83" t="b">
        <v>0</v>
      </c>
    </row>
    <row r="694" spans="1:7" ht="15">
      <c r="A694" s="84" t="s">
        <v>2746</v>
      </c>
      <c r="B694" s="83">
        <v>3</v>
      </c>
      <c r="C694" s="110">
        <v>0.008090333353981042</v>
      </c>
      <c r="D694" s="83" t="s">
        <v>2667</v>
      </c>
      <c r="E694" s="83" t="b">
        <v>1</v>
      </c>
      <c r="F694" s="83" t="b">
        <v>0</v>
      </c>
      <c r="G694" s="83" t="b">
        <v>0</v>
      </c>
    </row>
    <row r="695" spans="1:7" ht="15">
      <c r="A695" s="84" t="s">
        <v>2976</v>
      </c>
      <c r="B695" s="83">
        <v>3</v>
      </c>
      <c r="C695" s="110">
        <v>0.008090333353981042</v>
      </c>
      <c r="D695" s="83" t="s">
        <v>2667</v>
      </c>
      <c r="E695" s="83" t="b">
        <v>0</v>
      </c>
      <c r="F695" s="83" t="b">
        <v>0</v>
      </c>
      <c r="G695" s="83" t="b">
        <v>0</v>
      </c>
    </row>
    <row r="696" spans="1:7" ht="15">
      <c r="A696" s="84" t="s">
        <v>2810</v>
      </c>
      <c r="B696" s="83">
        <v>3</v>
      </c>
      <c r="C696" s="110">
        <v>0.008090333353981042</v>
      </c>
      <c r="D696" s="83" t="s">
        <v>2667</v>
      </c>
      <c r="E696" s="83" t="b">
        <v>1</v>
      </c>
      <c r="F696" s="83" t="b">
        <v>0</v>
      </c>
      <c r="G696" s="83" t="b">
        <v>0</v>
      </c>
    </row>
    <row r="697" spans="1:7" ht="15">
      <c r="A697" s="84" t="s">
        <v>2732</v>
      </c>
      <c r="B697" s="83">
        <v>3</v>
      </c>
      <c r="C697" s="110">
        <v>0.008090333353981042</v>
      </c>
      <c r="D697" s="83" t="s">
        <v>2667</v>
      </c>
      <c r="E697" s="83" t="b">
        <v>1</v>
      </c>
      <c r="F697" s="83" t="b">
        <v>0</v>
      </c>
      <c r="G697" s="83" t="b">
        <v>0</v>
      </c>
    </row>
    <row r="698" spans="1:7" ht="15">
      <c r="A698" s="84" t="s">
        <v>2879</v>
      </c>
      <c r="B698" s="83">
        <v>3</v>
      </c>
      <c r="C698" s="110">
        <v>0.008090333353981042</v>
      </c>
      <c r="D698" s="83" t="s">
        <v>2667</v>
      </c>
      <c r="E698" s="83" t="b">
        <v>0</v>
      </c>
      <c r="F698" s="83" t="b">
        <v>1</v>
      </c>
      <c r="G698" s="83" t="b">
        <v>0</v>
      </c>
    </row>
    <row r="699" spans="1:7" ht="15">
      <c r="A699" s="84" t="s">
        <v>2750</v>
      </c>
      <c r="B699" s="83">
        <v>3</v>
      </c>
      <c r="C699" s="110">
        <v>0.008090333353981042</v>
      </c>
      <c r="D699" s="83" t="s">
        <v>2667</v>
      </c>
      <c r="E699" s="83" t="b">
        <v>0</v>
      </c>
      <c r="F699" s="83" t="b">
        <v>0</v>
      </c>
      <c r="G699" s="83" t="b">
        <v>0</v>
      </c>
    </row>
    <row r="700" spans="1:7" ht="15">
      <c r="A700" s="84" t="s">
        <v>2761</v>
      </c>
      <c r="B700" s="83">
        <v>3</v>
      </c>
      <c r="C700" s="110">
        <v>0.008090333353981042</v>
      </c>
      <c r="D700" s="83" t="s">
        <v>2667</v>
      </c>
      <c r="E700" s="83" t="b">
        <v>0</v>
      </c>
      <c r="F700" s="83" t="b">
        <v>1</v>
      </c>
      <c r="G700" s="83" t="b">
        <v>0</v>
      </c>
    </row>
    <row r="701" spans="1:7" ht="15">
      <c r="A701" s="84" t="s">
        <v>2967</v>
      </c>
      <c r="B701" s="83">
        <v>3</v>
      </c>
      <c r="C701" s="110">
        <v>0.008090333353981042</v>
      </c>
      <c r="D701" s="83" t="s">
        <v>2667</v>
      </c>
      <c r="E701" s="83" t="b">
        <v>0</v>
      </c>
      <c r="F701" s="83" t="b">
        <v>0</v>
      </c>
      <c r="G701" s="83" t="b">
        <v>0</v>
      </c>
    </row>
    <row r="702" spans="1:7" ht="15">
      <c r="A702" s="84" t="s">
        <v>2726</v>
      </c>
      <c r="B702" s="83">
        <v>3</v>
      </c>
      <c r="C702" s="110">
        <v>0.008090333353981042</v>
      </c>
      <c r="D702" s="83" t="s">
        <v>2667</v>
      </c>
      <c r="E702" s="83" t="b">
        <v>1</v>
      </c>
      <c r="F702" s="83" t="b">
        <v>0</v>
      </c>
      <c r="G702" s="83" t="b">
        <v>0</v>
      </c>
    </row>
    <row r="703" spans="1:7" ht="15">
      <c r="A703" s="84" t="s">
        <v>2842</v>
      </c>
      <c r="B703" s="83">
        <v>3</v>
      </c>
      <c r="C703" s="110">
        <v>0.008090333353981042</v>
      </c>
      <c r="D703" s="83" t="s">
        <v>2667</v>
      </c>
      <c r="E703" s="83" t="b">
        <v>0</v>
      </c>
      <c r="F703" s="83" t="b">
        <v>0</v>
      </c>
      <c r="G703" s="83" t="b">
        <v>0</v>
      </c>
    </row>
    <row r="704" spans="1:7" ht="15">
      <c r="A704" s="84" t="s">
        <v>2722</v>
      </c>
      <c r="B704" s="83">
        <v>3</v>
      </c>
      <c r="C704" s="110">
        <v>0.008090333353981042</v>
      </c>
      <c r="D704" s="83" t="s">
        <v>2667</v>
      </c>
      <c r="E704" s="83" t="b">
        <v>0</v>
      </c>
      <c r="F704" s="83" t="b">
        <v>0</v>
      </c>
      <c r="G704" s="83" t="b">
        <v>0</v>
      </c>
    </row>
    <row r="705" spans="1:7" ht="15">
      <c r="A705" s="84" t="s">
        <v>2895</v>
      </c>
      <c r="B705" s="83">
        <v>3</v>
      </c>
      <c r="C705" s="110">
        <v>0.008090333353981042</v>
      </c>
      <c r="D705" s="83" t="s">
        <v>2667</v>
      </c>
      <c r="E705" s="83" t="b">
        <v>0</v>
      </c>
      <c r="F705" s="83" t="b">
        <v>1</v>
      </c>
      <c r="G705" s="83" t="b">
        <v>0</v>
      </c>
    </row>
    <row r="706" spans="1:7" ht="15">
      <c r="A706" s="84" t="s">
        <v>1295</v>
      </c>
      <c r="B706" s="83">
        <v>3</v>
      </c>
      <c r="C706" s="110">
        <v>0.008090333353981042</v>
      </c>
      <c r="D706" s="83" t="s">
        <v>2667</v>
      </c>
      <c r="E706" s="83" t="b">
        <v>0</v>
      </c>
      <c r="F706" s="83" t="b">
        <v>0</v>
      </c>
      <c r="G706" s="83" t="b">
        <v>0</v>
      </c>
    </row>
    <row r="707" spans="1:7" ht="15">
      <c r="A707" s="84" t="s">
        <v>2881</v>
      </c>
      <c r="B707" s="83">
        <v>2</v>
      </c>
      <c r="C707" s="110">
        <v>0.00595257543933873</v>
      </c>
      <c r="D707" s="83" t="s">
        <v>2667</v>
      </c>
      <c r="E707" s="83" t="b">
        <v>0</v>
      </c>
      <c r="F707" s="83" t="b">
        <v>0</v>
      </c>
      <c r="G707" s="83" t="b">
        <v>0</v>
      </c>
    </row>
    <row r="708" spans="1:7" ht="15">
      <c r="A708" s="84" t="s">
        <v>3123</v>
      </c>
      <c r="B708" s="83">
        <v>2</v>
      </c>
      <c r="C708" s="110">
        <v>0.00595257543933873</v>
      </c>
      <c r="D708" s="83" t="s">
        <v>2667</v>
      </c>
      <c r="E708" s="83" t="b">
        <v>0</v>
      </c>
      <c r="F708" s="83" t="b">
        <v>0</v>
      </c>
      <c r="G708" s="83" t="b">
        <v>0</v>
      </c>
    </row>
    <row r="709" spans="1:7" ht="15">
      <c r="A709" s="84" t="s">
        <v>3150</v>
      </c>
      <c r="B709" s="83">
        <v>2</v>
      </c>
      <c r="C709" s="110">
        <v>0.00595257543933873</v>
      </c>
      <c r="D709" s="83" t="s">
        <v>2667</v>
      </c>
      <c r="E709" s="83" t="b">
        <v>0</v>
      </c>
      <c r="F709" s="83" t="b">
        <v>0</v>
      </c>
      <c r="G709" s="83" t="b">
        <v>0</v>
      </c>
    </row>
    <row r="710" spans="1:7" ht="15">
      <c r="A710" s="84" t="s">
        <v>3155</v>
      </c>
      <c r="B710" s="83">
        <v>2</v>
      </c>
      <c r="C710" s="110">
        <v>0.006908226219224385</v>
      </c>
      <c r="D710" s="83" t="s">
        <v>2667</v>
      </c>
      <c r="E710" s="83" t="b">
        <v>0</v>
      </c>
      <c r="F710" s="83" t="b">
        <v>0</v>
      </c>
      <c r="G710" s="83" t="b">
        <v>0</v>
      </c>
    </row>
    <row r="711" spans="1:7" ht="15">
      <c r="A711" s="84" t="s">
        <v>3156</v>
      </c>
      <c r="B711" s="83">
        <v>2</v>
      </c>
      <c r="C711" s="110">
        <v>0.00595257543933873</v>
      </c>
      <c r="D711" s="83" t="s">
        <v>2667</v>
      </c>
      <c r="E711" s="83" t="b">
        <v>0</v>
      </c>
      <c r="F711" s="83" t="b">
        <v>0</v>
      </c>
      <c r="G711" s="83" t="b">
        <v>0</v>
      </c>
    </row>
    <row r="712" spans="1:7" ht="15">
      <c r="A712" s="84" t="s">
        <v>2892</v>
      </c>
      <c r="B712" s="83">
        <v>2</v>
      </c>
      <c r="C712" s="110">
        <v>0.00595257543933873</v>
      </c>
      <c r="D712" s="83" t="s">
        <v>2667</v>
      </c>
      <c r="E712" s="83" t="b">
        <v>0</v>
      </c>
      <c r="F712" s="83" t="b">
        <v>0</v>
      </c>
      <c r="G712" s="83" t="b">
        <v>0</v>
      </c>
    </row>
    <row r="713" spans="1:7" ht="15">
      <c r="A713" s="84" t="s">
        <v>3153</v>
      </c>
      <c r="B713" s="83">
        <v>2</v>
      </c>
      <c r="C713" s="110">
        <v>0.00595257543933873</v>
      </c>
      <c r="D713" s="83" t="s">
        <v>2667</v>
      </c>
      <c r="E713" s="83" t="b">
        <v>0</v>
      </c>
      <c r="F713" s="83" t="b">
        <v>0</v>
      </c>
      <c r="G713" s="83" t="b">
        <v>0</v>
      </c>
    </row>
    <row r="714" spans="1:7" ht="15">
      <c r="A714" s="84" t="s">
        <v>3149</v>
      </c>
      <c r="B714" s="83">
        <v>2</v>
      </c>
      <c r="C714" s="110">
        <v>0.00595257543933873</v>
      </c>
      <c r="D714" s="83" t="s">
        <v>2667</v>
      </c>
      <c r="E714" s="83" t="b">
        <v>0</v>
      </c>
      <c r="F714" s="83" t="b">
        <v>0</v>
      </c>
      <c r="G714" s="83" t="b">
        <v>0</v>
      </c>
    </row>
    <row r="715" spans="1:7" ht="15">
      <c r="A715" s="84" t="s">
        <v>2752</v>
      </c>
      <c r="B715" s="83">
        <v>2</v>
      </c>
      <c r="C715" s="110">
        <v>0.006908226219224385</v>
      </c>
      <c r="D715" s="83" t="s">
        <v>2667</v>
      </c>
      <c r="E715" s="83" t="b">
        <v>1</v>
      </c>
      <c r="F715" s="83" t="b">
        <v>0</v>
      </c>
      <c r="G715" s="83" t="b">
        <v>0</v>
      </c>
    </row>
    <row r="716" spans="1:7" ht="15">
      <c r="A716" s="84" t="s">
        <v>3118</v>
      </c>
      <c r="B716" s="83">
        <v>2</v>
      </c>
      <c r="C716" s="110">
        <v>0.00595257543933873</v>
      </c>
      <c r="D716" s="83" t="s">
        <v>2667</v>
      </c>
      <c r="E716" s="83" t="b">
        <v>0</v>
      </c>
      <c r="F716" s="83" t="b">
        <v>0</v>
      </c>
      <c r="G716" s="83" t="b">
        <v>0</v>
      </c>
    </row>
    <row r="717" spans="1:7" ht="15">
      <c r="A717" s="84" t="s">
        <v>3119</v>
      </c>
      <c r="B717" s="83">
        <v>2</v>
      </c>
      <c r="C717" s="110">
        <v>0.00595257543933873</v>
      </c>
      <c r="D717" s="83" t="s">
        <v>2667</v>
      </c>
      <c r="E717" s="83" t="b">
        <v>0</v>
      </c>
      <c r="F717" s="83" t="b">
        <v>0</v>
      </c>
      <c r="G717" s="83" t="b">
        <v>0</v>
      </c>
    </row>
    <row r="718" spans="1:7" ht="15">
      <c r="A718" s="84" t="s">
        <v>3120</v>
      </c>
      <c r="B718" s="83">
        <v>2</v>
      </c>
      <c r="C718" s="110">
        <v>0.00595257543933873</v>
      </c>
      <c r="D718" s="83" t="s">
        <v>2667</v>
      </c>
      <c r="E718" s="83" t="b">
        <v>0</v>
      </c>
      <c r="F718" s="83" t="b">
        <v>0</v>
      </c>
      <c r="G718" s="83" t="b">
        <v>0</v>
      </c>
    </row>
    <row r="719" spans="1:7" ht="15">
      <c r="A719" s="84" t="s">
        <v>2745</v>
      </c>
      <c r="B719" s="83">
        <v>2</v>
      </c>
      <c r="C719" s="110">
        <v>0.00595257543933873</v>
      </c>
      <c r="D719" s="83" t="s">
        <v>2667</v>
      </c>
      <c r="E719" s="83" t="b">
        <v>0</v>
      </c>
      <c r="F719" s="83" t="b">
        <v>0</v>
      </c>
      <c r="G719" s="83" t="b">
        <v>0</v>
      </c>
    </row>
    <row r="720" spans="1:7" ht="15">
      <c r="A720" s="84" t="s">
        <v>2963</v>
      </c>
      <c r="B720" s="83">
        <v>2</v>
      </c>
      <c r="C720" s="110">
        <v>0.00595257543933873</v>
      </c>
      <c r="D720" s="83" t="s">
        <v>2667</v>
      </c>
      <c r="E720" s="83" t="b">
        <v>0</v>
      </c>
      <c r="F720" s="83" t="b">
        <v>0</v>
      </c>
      <c r="G720" s="83" t="b">
        <v>0</v>
      </c>
    </row>
    <row r="721" spans="1:7" ht="15">
      <c r="A721" s="84" t="s">
        <v>2836</v>
      </c>
      <c r="B721" s="83">
        <v>2</v>
      </c>
      <c r="C721" s="110">
        <v>0.00595257543933873</v>
      </c>
      <c r="D721" s="83" t="s">
        <v>2667</v>
      </c>
      <c r="E721" s="83" t="b">
        <v>0</v>
      </c>
      <c r="F721" s="83" t="b">
        <v>0</v>
      </c>
      <c r="G721" s="83" t="b">
        <v>0</v>
      </c>
    </row>
    <row r="722" spans="1:7" ht="15">
      <c r="A722" s="84" t="s">
        <v>2809</v>
      </c>
      <c r="B722" s="83">
        <v>2</v>
      </c>
      <c r="C722" s="110">
        <v>0.006908226219224385</v>
      </c>
      <c r="D722" s="83" t="s">
        <v>2667</v>
      </c>
      <c r="E722" s="83" t="b">
        <v>0</v>
      </c>
      <c r="F722" s="83" t="b">
        <v>0</v>
      </c>
      <c r="G722" s="83" t="b">
        <v>0</v>
      </c>
    </row>
    <row r="723" spans="1:7" ht="15">
      <c r="A723" s="84" t="s">
        <v>2837</v>
      </c>
      <c r="B723" s="83">
        <v>2</v>
      </c>
      <c r="C723" s="110">
        <v>0.00595257543933873</v>
      </c>
      <c r="D723" s="83" t="s">
        <v>2667</v>
      </c>
      <c r="E723" s="83" t="b">
        <v>0</v>
      </c>
      <c r="F723" s="83" t="b">
        <v>0</v>
      </c>
      <c r="G723" s="83" t="b">
        <v>0</v>
      </c>
    </row>
    <row r="724" spans="1:7" ht="15">
      <c r="A724" s="84" t="s">
        <v>2775</v>
      </c>
      <c r="B724" s="83">
        <v>2</v>
      </c>
      <c r="C724" s="110">
        <v>0.00595257543933873</v>
      </c>
      <c r="D724" s="83" t="s">
        <v>2667</v>
      </c>
      <c r="E724" s="83" t="b">
        <v>0</v>
      </c>
      <c r="F724" s="83" t="b">
        <v>0</v>
      </c>
      <c r="G724" s="83" t="b">
        <v>0</v>
      </c>
    </row>
    <row r="725" spans="1:7" ht="15">
      <c r="A725" s="84" t="s">
        <v>2938</v>
      </c>
      <c r="B725" s="83">
        <v>2</v>
      </c>
      <c r="C725" s="110">
        <v>0.00595257543933873</v>
      </c>
      <c r="D725" s="83" t="s">
        <v>2667</v>
      </c>
      <c r="E725" s="83" t="b">
        <v>0</v>
      </c>
      <c r="F725" s="83" t="b">
        <v>1</v>
      </c>
      <c r="G725" s="83" t="b">
        <v>0</v>
      </c>
    </row>
    <row r="726" spans="1:7" ht="15">
      <c r="A726" s="84" t="s">
        <v>2804</v>
      </c>
      <c r="B726" s="83">
        <v>2</v>
      </c>
      <c r="C726" s="110">
        <v>0.00595257543933873</v>
      </c>
      <c r="D726" s="83" t="s">
        <v>2667</v>
      </c>
      <c r="E726" s="83" t="b">
        <v>0</v>
      </c>
      <c r="F726" s="83" t="b">
        <v>0</v>
      </c>
      <c r="G726" s="83" t="b">
        <v>0</v>
      </c>
    </row>
    <row r="727" spans="1:7" ht="15">
      <c r="A727" s="84" t="s">
        <v>3124</v>
      </c>
      <c r="B727" s="83">
        <v>2</v>
      </c>
      <c r="C727" s="110">
        <v>0.00595257543933873</v>
      </c>
      <c r="D727" s="83" t="s">
        <v>2667</v>
      </c>
      <c r="E727" s="83" t="b">
        <v>0</v>
      </c>
      <c r="F727" s="83" t="b">
        <v>0</v>
      </c>
      <c r="G727" s="83" t="b">
        <v>0</v>
      </c>
    </row>
    <row r="728" spans="1:7" ht="15">
      <c r="A728" s="84" t="s">
        <v>3125</v>
      </c>
      <c r="B728" s="83">
        <v>2</v>
      </c>
      <c r="C728" s="110">
        <v>0.006908226219224385</v>
      </c>
      <c r="D728" s="83" t="s">
        <v>2667</v>
      </c>
      <c r="E728" s="83" t="b">
        <v>1</v>
      </c>
      <c r="F728" s="83" t="b">
        <v>0</v>
      </c>
      <c r="G728" s="83" t="b">
        <v>0</v>
      </c>
    </row>
    <row r="729" spans="1:7" ht="15">
      <c r="A729" s="84" t="s">
        <v>2968</v>
      </c>
      <c r="B729" s="83">
        <v>2</v>
      </c>
      <c r="C729" s="110">
        <v>0.00595257543933873</v>
      </c>
      <c r="D729" s="83" t="s">
        <v>2667</v>
      </c>
      <c r="E729" s="83" t="b">
        <v>0</v>
      </c>
      <c r="F729" s="83" t="b">
        <v>0</v>
      </c>
      <c r="G729" s="83" t="b">
        <v>0</v>
      </c>
    </row>
    <row r="730" spans="1:7" ht="15">
      <c r="A730" s="84" t="s">
        <v>3127</v>
      </c>
      <c r="B730" s="83">
        <v>2</v>
      </c>
      <c r="C730" s="110">
        <v>0.00595257543933873</v>
      </c>
      <c r="D730" s="83" t="s">
        <v>2667</v>
      </c>
      <c r="E730" s="83" t="b">
        <v>0</v>
      </c>
      <c r="F730" s="83" t="b">
        <v>0</v>
      </c>
      <c r="G730" s="83" t="b">
        <v>0</v>
      </c>
    </row>
    <row r="731" spans="1:7" ht="15">
      <c r="A731" s="84" t="s">
        <v>2994</v>
      </c>
      <c r="B731" s="83">
        <v>2</v>
      </c>
      <c r="C731" s="110">
        <v>0.00595257543933873</v>
      </c>
      <c r="D731" s="83" t="s">
        <v>2667</v>
      </c>
      <c r="E731" s="83" t="b">
        <v>0</v>
      </c>
      <c r="F731" s="83" t="b">
        <v>0</v>
      </c>
      <c r="G731" s="83" t="b">
        <v>0</v>
      </c>
    </row>
    <row r="732" spans="1:7" ht="15">
      <c r="A732" s="84" t="s">
        <v>3174</v>
      </c>
      <c r="B732" s="83">
        <v>2</v>
      </c>
      <c r="C732" s="110">
        <v>0.00595257543933873</v>
      </c>
      <c r="D732" s="83" t="s">
        <v>2667</v>
      </c>
      <c r="E732" s="83" t="b">
        <v>0</v>
      </c>
      <c r="F732" s="83" t="b">
        <v>0</v>
      </c>
      <c r="G732" s="83" t="b">
        <v>0</v>
      </c>
    </row>
    <row r="733" spans="1:7" ht="15">
      <c r="A733" s="84" t="s">
        <v>2743</v>
      </c>
      <c r="B733" s="83">
        <v>2</v>
      </c>
      <c r="C733" s="110">
        <v>0.00595257543933873</v>
      </c>
      <c r="D733" s="83" t="s">
        <v>2667</v>
      </c>
      <c r="E733" s="83" t="b">
        <v>0</v>
      </c>
      <c r="F733" s="83" t="b">
        <v>0</v>
      </c>
      <c r="G733" s="83" t="b">
        <v>0</v>
      </c>
    </row>
    <row r="734" spans="1:7" ht="15">
      <c r="A734" s="84" t="s">
        <v>2791</v>
      </c>
      <c r="B734" s="83">
        <v>2</v>
      </c>
      <c r="C734" s="110">
        <v>0.00595257543933873</v>
      </c>
      <c r="D734" s="83" t="s">
        <v>2667</v>
      </c>
      <c r="E734" s="83" t="b">
        <v>0</v>
      </c>
      <c r="F734" s="83" t="b">
        <v>0</v>
      </c>
      <c r="G734" s="83" t="b">
        <v>0</v>
      </c>
    </row>
    <row r="735" spans="1:7" ht="15">
      <c r="A735" s="84" t="s">
        <v>3132</v>
      </c>
      <c r="B735" s="83">
        <v>2</v>
      </c>
      <c r="C735" s="110">
        <v>0.00595257543933873</v>
      </c>
      <c r="D735" s="83" t="s">
        <v>2667</v>
      </c>
      <c r="E735" s="83" t="b">
        <v>0</v>
      </c>
      <c r="F735" s="83" t="b">
        <v>0</v>
      </c>
      <c r="G735" s="83" t="b">
        <v>0</v>
      </c>
    </row>
    <row r="736" spans="1:7" ht="15">
      <c r="A736" s="84" t="s">
        <v>2971</v>
      </c>
      <c r="B736" s="83">
        <v>2</v>
      </c>
      <c r="C736" s="110">
        <v>0.00595257543933873</v>
      </c>
      <c r="D736" s="83" t="s">
        <v>2667</v>
      </c>
      <c r="E736" s="83" t="b">
        <v>0</v>
      </c>
      <c r="F736" s="83" t="b">
        <v>1</v>
      </c>
      <c r="G736" s="83" t="b">
        <v>0</v>
      </c>
    </row>
    <row r="737" spans="1:7" ht="15">
      <c r="A737" s="84" t="s">
        <v>3138</v>
      </c>
      <c r="B737" s="83">
        <v>2</v>
      </c>
      <c r="C737" s="110">
        <v>0.00595257543933873</v>
      </c>
      <c r="D737" s="83" t="s">
        <v>2667</v>
      </c>
      <c r="E737" s="83" t="b">
        <v>0</v>
      </c>
      <c r="F737" s="83" t="b">
        <v>0</v>
      </c>
      <c r="G737" s="83" t="b">
        <v>0</v>
      </c>
    </row>
    <row r="738" spans="1:7" ht="15">
      <c r="A738" s="84" t="s">
        <v>3139</v>
      </c>
      <c r="B738" s="83">
        <v>2</v>
      </c>
      <c r="C738" s="110">
        <v>0.00595257543933873</v>
      </c>
      <c r="D738" s="83" t="s">
        <v>2667</v>
      </c>
      <c r="E738" s="83" t="b">
        <v>0</v>
      </c>
      <c r="F738" s="83" t="b">
        <v>0</v>
      </c>
      <c r="G738" s="83" t="b">
        <v>0</v>
      </c>
    </row>
    <row r="739" spans="1:7" ht="15">
      <c r="A739" s="84" t="s">
        <v>2779</v>
      </c>
      <c r="B739" s="83">
        <v>2</v>
      </c>
      <c r="C739" s="110">
        <v>0.006908226219224385</v>
      </c>
      <c r="D739" s="83" t="s">
        <v>2667</v>
      </c>
      <c r="E739" s="83" t="b">
        <v>0</v>
      </c>
      <c r="F739" s="83" t="b">
        <v>0</v>
      </c>
      <c r="G739" s="83" t="b">
        <v>0</v>
      </c>
    </row>
    <row r="740" spans="1:7" ht="15">
      <c r="A740" s="84" t="s">
        <v>3144</v>
      </c>
      <c r="B740" s="83">
        <v>2</v>
      </c>
      <c r="C740" s="110">
        <v>0.00595257543933873</v>
      </c>
      <c r="D740" s="83" t="s">
        <v>2667</v>
      </c>
      <c r="E740" s="83" t="b">
        <v>0</v>
      </c>
      <c r="F740" s="83" t="b">
        <v>1</v>
      </c>
      <c r="G740" s="83" t="b">
        <v>0</v>
      </c>
    </row>
    <row r="741" spans="1:7" ht="15">
      <c r="A741" s="84" t="s">
        <v>2841</v>
      </c>
      <c r="B741" s="83">
        <v>2</v>
      </c>
      <c r="C741" s="110">
        <v>0.00595257543933873</v>
      </c>
      <c r="D741" s="83" t="s">
        <v>2667</v>
      </c>
      <c r="E741" s="83" t="b">
        <v>0</v>
      </c>
      <c r="F741" s="83" t="b">
        <v>0</v>
      </c>
      <c r="G741" s="83" t="b">
        <v>0</v>
      </c>
    </row>
    <row r="742" spans="1:7" ht="15">
      <c r="A742" s="84" t="s">
        <v>2973</v>
      </c>
      <c r="B742" s="83">
        <v>2</v>
      </c>
      <c r="C742" s="110">
        <v>0.00595257543933873</v>
      </c>
      <c r="D742" s="83" t="s">
        <v>2667</v>
      </c>
      <c r="E742" s="83" t="b">
        <v>0</v>
      </c>
      <c r="F742" s="83" t="b">
        <v>0</v>
      </c>
      <c r="G742" s="83" t="b">
        <v>0</v>
      </c>
    </row>
    <row r="743" spans="1:7" ht="15">
      <c r="A743" s="84" t="s">
        <v>3146</v>
      </c>
      <c r="B743" s="83">
        <v>2</v>
      </c>
      <c r="C743" s="110">
        <v>0.00595257543933873</v>
      </c>
      <c r="D743" s="83" t="s">
        <v>2667</v>
      </c>
      <c r="E743" s="83" t="b">
        <v>0</v>
      </c>
      <c r="F743" s="83" t="b">
        <v>0</v>
      </c>
      <c r="G743" s="83" t="b">
        <v>0</v>
      </c>
    </row>
    <row r="744" spans="1:7" ht="15">
      <c r="A744" s="84" t="s">
        <v>2719</v>
      </c>
      <c r="B744" s="83">
        <v>2</v>
      </c>
      <c r="C744" s="110">
        <v>0.00595257543933873</v>
      </c>
      <c r="D744" s="83" t="s">
        <v>2667</v>
      </c>
      <c r="E744" s="83" t="b">
        <v>1</v>
      </c>
      <c r="F744" s="83" t="b">
        <v>0</v>
      </c>
      <c r="G744" s="83" t="b">
        <v>0</v>
      </c>
    </row>
    <row r="745" spans="1:7" ht="15">
      <c r="A745" s="84" t="s">
        <v>2814</v>
      </c>
      <c r="B745" s="83">
        <v>2</v>
      </c>
      <c r="C745" s="110">
        <v>0.00595257543933873</v>
      </c>
      <c r="D745" s="83" t="s">
        <v>2667</v>
      </c>
      <c r="E745" s="83" t="b">
        <v>0</v>
      </c>
      <c r="F745" s="83" t="b">
        <v>0</v>
      </c>
      <c r="G745" s="83" t="b">
        <v>0</v>
      </c>
    </row>
    <row r="746" spans="1:7" ht="15">
      <c r="A746" s="84" t="s">
        <v>3148</v>
      </c>
      <c r="B746" s="83">
        <v>2</v>
      </c>
      <c r="C746" s="110">
        <v>0.00595257543933873</v>
      </c>
      <c r="D746" s="83" t="s">
        <v>2667</v>
      </c>
      <c r="E746" s="83" t="b">
        <v>0</v>
      </c>
      <c r="F746" s="83" t="b">
        <v>0</v>
      </c>
      <c r="G746" s="83" t="b">
        <v>0</v>
      </c>
    </row>
    <row r="747" spans="1:7" ht="15">
      <c r="A747" s="84" t="s">
        <v>2977</v>
      </c>
      <c r="B747" s="83">
        <v>2</v>
      </c>
      <c r="C747" s="110">
        <v>0.006908226219224385</v>
      </c>
      <c r="D747" s="83" t="s">
        <v>2667</v>
      </c>
      <c r="E747" s="83" t="b">
        <v>0</v>
      </c>
      <c r="F747" s="83" t="b">
        <v>0</v>
      </c>
      <c r="G747" s="83" t="b">
        <v>0</v>
      </c>
    </row>
    <row r="748" spans="1:7" ht="15">
      <c r="A748" s="84" t="s">
        <v>2983</v>
      </c>
      <c r="B748" s="83">
        <v>2</v>
      </c>
      <c r="C748" s="110">
        <v>0.006908226219224385</v>
      </c>
      <c r="D748" s="83" t="s">
        <v>2667</v>
      </c>
      <c r="E748" s="83" t="b">
        <v>0</v>
      </c>
      <c r="F748" s="83" t="b">
        <v>0</v>
      </c>
      <c r="G748" s="83" t="b">
        <v>0</v>
      </c>
    </row>
    <row r="749" spans="1:7" ht="15">
      <c r="A749" s="84" t="s">
        <v>2815</v>
      </c>
      <c r="B749" s="83">
        <v>2</v>
      </c>
      <c r="C749" s="110">
        <v>0.00595257543933873</v>
      </c>
      <c r="D749" s="83" t="s">
        <v>2667</v>
      </c>
      <c r="E749" s="83" t="b">
        <v>0</v>
      </c>
      <c r="F749" s="83" t="b">
        <v>0</v>
      </c>
      <c r="G749" s="83" t="b">
        <v>0</v>
      </c>
    </row>
    <row r="750" spans="1:7" ht="15">
      <c r="A750" s="84" t="s">
        <v>2984</v>
      </c>
      <c r="B750" s="83">
        <v>2</v>
      </c>
      <c r="C750" s="110">
        <v>0.00595257543933873</v>
      </c>
      <c r="D750" s="83" t="s">
        <v>2667</v>
      </c>
      <c r="E750" s="83" t="b">
        <v>0</v>
      </c>
      <c r="F750" s="83" t="b">
        <v>0</v>
      </c>
      <c r="G750" s="83" t="b">
        <v>0</v>
      </c>
    </row>
    <row r="751" spans="1:7" ht="15">
      <c r="A751" s="84" t="s">
        <v>2800</v>
      </c>
      <c r="B751" s="83">
        <v>2</v>
      </c>
      <c r="C751" s="110">
        <v>0.00595257543933873</v>
      </c>
      <c r="D751" s="83" t="s">
        <v>2667</v>
      </c>
      <c r="E751" s="83" t="b">
        <v>0</v>
      </c>
      <c r="F751" s="83" t="b">
        <v>0</v>
      </c>
      <c r="G751" s="83" t="b">
        <v>0</v>
      </c>
    </row>
    <row r="752" spans="1:7" ht="15">
      <c r="A752" s="84" t="s">
        <v>3167</v>
      </c>
      <c r="B752" s="83">
        <v>2</v>
      </c>
      <c r="C752" s="110">
        <v>0.00595257543933873</v>
      </c>
      <c r="D752" s="83" t="s">
        <v>2667</v>
      </c>
      <c r="E752" s="83" t="b">
        <v>0</v>
      </c>
      <c r="F752" s="83" t="b">
        <v>0</v>
      </c>
      <c r="G752" s="83" t="b">
        <v>0</v>
      </c>
    </row>
    <row r="753" spans="1:7" ht="15">
      <c r="A753" s="84" t="s">
        <v>2987</v>
      </c>
      <c r="B753" s="83">
        <v>2</v>
      </c>
      <c r="C753" s="110">
        <v>0.00595257543933873</v>
      </c>
      <c r="D753" s="83" t="s">
        <v>2667</v>
      </c>
      <c r="E753" s="83" t="b">
        <v>0</v>
      </c>
      <c r="F753" s="83" t="b">
        <v>0</v>
      </c>
      <c r="G753" s="83" t="b">
        <v>0</v>
      </c>
    </row>
    <row r="754" spans="1:7" ht="15">
      <c r="A754" s="84" t="s">
        <v>2894</v>
      </c>
      <c r="B754" s="83">
        <v>2</v>
      </c>
      <c r="C754" s="110">
        <v>0.00595257543933873</v>
      </c>
      <c r="D754" s="83" t="s">
        <v>2667</v>
      </c>
      <c r="E754" s="83" t="b">
        <v>0</v>
      </c>
      <c r="F754" s="83" t="b">
        <v>0</v>
      </c>
      <c r="G754" s="83" t="b">
        <v>0</v>
      </c>
    </row>
    <row r="755" spans="1:7" ht="15">
      <c r="A755" s="84" t="s">
        <v>3169</v>
      </c>
      <c r="B755" s="83">
        <v>2</v>
      </c>
      <c r="C755" s="110">
        <v>0.00595257543933873</v>
      </c>
      <c r="D755" s="83" t="s">
        <v>2667</v>
      </c>
      <c r="E755" s="83" t="b">
        <v>0</v>
      </c>
      <c r="F755" s="83" t="b">
        <v>0</v>
      </c>
      <c r="G755" s="83" t="b">
        <v>0</v>
      </c>
    </row>
    <row r="756" spans="1:7" ht="15">
      <c r="A756" s="84" t="s">
        <v>3170</v>
      </c>
      <c r="B756" s="83">
        <v>2</v>
      </c>
      <c r="C756" s="110">
        <v>0.00595257543933873</v>
      </c>
      <c r="D756" s="83" t="s">
        <v>2667</v>
      </c>
      <c r="E756" s="83" t="b">
        <v>0</v>
      </c>
      <c r="F756" s="83" t="b">
        <v>0</v>
      </c>
      <c r="G756" s="83" t="b">
        <v>0</v>
      </c>
    </row>
    <row r="757" spans="1:7" ht="15">
      <c r="A757" s="84" t="s">
        <v>3171</v>
      </c>
      <c r="B757" s="83">
        <v>2</v>
      </c>
      <c r="C757" s="110">
        <v>0.006908226219224385</v>
      </c>
      <c r="D757" s="83" t="s">
        <v>2667</v>
      </c>
      <c r="E757" s="83" t="b">
        <v>0</v>
      </c>
      <c r="F757" s="83" t="b">
        <v>0</v>
      </c>
      <c r="G757" s="83" t="b">
        <v>0</v>
      </c>
    </row>
    <row r="758" spans="1:7" ht="15">
      <c r="A758" s="84" t="s">
        <v>3172</v>
      </c>
      <c r="B758" s="83">
        <v>2</v>
      </c>
      <c r="C758" s="110">
        <v>0.00595257543933873</v>
      </c>
      <c r="D758" s="83" t="s">
        <v>2667</v>
      </c>
      <c r="E758" s="83" t="b">
        <v>0</v>
      </c>
      <c r="F758" s="83" t="b">
        <v>0</v>
      </c>
      <c r="G758" s="83" t="b">
        <v>0</v>
      </c>
    </row>
    <row r="759" spans="1:7" ht="15">
      <c r="A759" s="84" t="s">
        <v>2995</v>
      </c>
      <c r="B759" s="83">
        <v>2</v>
      </c>
      <c r="C759" s="110">
        <v>0.00595257543933873</v>
      </c>
      <c r="D759" s="83" t="s">
        <v>2667</v>
      </c>
      <c r="E759" s="83" t="b">
        <v>0</v>
      </c>
      <c r="F759" s="83" t="b">
        <v>1</v>
      </c>
      <c r="G759" s="83" t="b">
        <v>0</v>
      </c>
    </row>
    <row r="760" spans="1:7" ht="15">
      <c r="A760" s="84" t="s">
        <v>3175</v>
      </c>
      <c r="B760" s="83">
        <v>2</v>
      </c>
      <c r="C760" s="110">
        <v>0.00595257543933873</v>
      </c>
      <c r="D760" s="83" t="s">
        <v>2667</v>
      </c>
      <c r="E760" s="83" t="b">
        <v>0</v>
      </c>
      <c r="F760" s="83" t="b">
        <v>1</v>
      </c>
      <c r="G760" s="83" t="b">
        <v>0</v>
      </c>
    </row>
    <row r="761" spans="1:7" ht="15">
      <c r="A761" s="84" t="s">
        <v>3178</v>
      </c>
      <c r="B761" s="83">
        <v>2</v>
      </c>
      <c r="C761" s="110">
        <v>0.00595257543933873</v>
      </c>
      <c r="D761" s="83" t="s">
        <v>2667</v>
      </c>
      <c r="E761" s="83" t="b">
        <v>0</v>
      </c>
      <c r="F761" s="83" t="b">
        <v>0</v>
      </c>
      <c r="G761" s="83" t="b">
        <v>0</v>
      </c>
    </row>
    <row r="762" spans="1:7" ht="15">
      <c r="A762" s="84" t="s">
        <v>2822</v>
      </c>
      <c r="B762" s="83">
        <v>2</v>
      </c>
      <c r="C762" s="110">
        <v>0.00595257543933873</v>
      </c>
      <c r="D762" s="83" t="s">
        <v>2667</v>
      </c>
      <c r="E762" s="83" t="b">
        <v>0</v>
      </c>
      <c r="F762" s="83" t="b">
        <v>0</v>
      </c>
      <c r="G762" s="83" t="b">
        <v>0</v>
      </c>
    </row>
    <row r="763" spans="1:7" ht="15">
      <c r="A763" s="84" t="s">
        <v>2845</v>
      </c>
      <c r="B763" s="83">
        <v>2</v>
      </c>
      <c r="C763" s="110">
        <v>0.00595257543933873</v>
      </c>
      <c r="D763" s="83" t="s">
        <v>2667</v>
      </c>
      <c r="E763" s="83" t="b">
        <v>0</v>
      </c>
      <c r="F763" s="83" t="b">
        <v>0</v>
      </c>
      <c r="G763" s="83" t="b">
        <v>0</v>
      </c>
    </row>
    <row r="764" spans="1:7" ht="15">
      <c r="A764" s="84" t="s">
        <v>2727</v>
      </c>
      <c r="B764" s="83">
        <v>12</v>
      </c>
      <c r="C764" s="110">
        <v>0.02217909666892431</v>
      </c>
      <c r="D764" s="83" t="s">
        <v>2668</v>
      </c>
      <c r="E764" s="83" t="b">
        <v>0</v>
      </c>
      <c r="F764" s="83" t="b">
        <v>0</v>
      </c>
      <c r="G764" s="83" t="b">
        <v>0</v>
      </c>
    </row>
    <row r="765" spans="1:7" ht="15">
      <c r="A765" s="84" t="s">
        <v>2720</v>
      </c>
      <c r="B765" s="83">
        <v>12</v>
      </c>
      <c r="C765" s="110">
        <v>0.032723212795325696</v>
      </c>
      <c r="D765" s="83" t="s">
        <v>2668</v>
      </c>
      <c r="E765" s="83" t="b">
        <v>0</v>
      </c>
      <c r="F765" s="83" t="b">
        <v>0</v>
      </c>
      <c r="G765" s="83" t="b">
        <v>0</v>
      </c>
    </row>
    <row r="766" spans="1:7" ht="15">
      <c r="A766" s="84" t="s">
        <v>2717</v>
      </c>
      <c r="B766" s="83">
        <v>12</v>
      </c>
      <c r="C766" s="110">
        <v>0.028831693258183567</v>
      </c>
      <c r="D766" s="83" t="s">
        <v>2668</v>
      </c>
      <c r="E766" s="83" t="b">
        <v>0</v>
      </c>
      <c r="F766" s="83" t="b">
        <v>0</v>
      </c>
      <c r="G766" s="83" t="b">
        <v>0</v>
      </c>
    </row>
    <row r="767" spans="1:7" ht="15">
      <c r="A767" s="84" t="s">
        <v>2734</v>
      </c>
      <c r="B767" s="83">
        <v>12</v>
      </c>
      <c r="C767" s="110">
        <v>0.028831693258183567</v>
      </c>
      <c r="D767" s="83" t="s">
        <v>2668</v>
      </c>
      <c r="E767" s="83" t="b">
        <v>0</v>
      </c>
      <c r="F767" s="83" t="b">
        <v>0</v>
      </c>
      <c r="G767" s="83" t="b">
        <v>0</v>
      </c>
    </row>
    <row r="768" spans="1:7" ht="15">
      <c r="A768" s="84" t="s">
        <v>2755</v>
      </c>
      <c r="B768" s="83">
        <v>10</v>
      </c>
      <c r="C768" s="110">
        <v>0.02726934399610475</v>
      </c>
      <c r="D768" s="83" t="s">
        <v>2668</v>
      </c>
      <c r="E768" s="83" t="b">
        <v>0</v>
      </c>
      <c r="F768" s="83" t="b">
        <v>0</v>
      </c>
      <c r="G768" s="83" t="b">
        <v>0</v>
      </c>
    </row>
    <row r="769" spans="1:7" ht="15">
      <c r="A769" s="84" t="s">
        <v>2719</v>
      </c>
      <c r="B769" s="83">
        <v>9</v>
      </c>
      <c r="C769" s="110">
        <v>0.01870513029078108</v>
      </c>
      <c r="D769" s="83" t="s">
        <v>2668</v>
      </c>
      <c r="E769" s="83" t="b">
        <v>1</v>
      </c>
      <c r="F769" s="83" t="b">
        <v>0</v>
      </c>
      <c r="G769" s="83" t="b">
        <v>0</v>
      </c>
    </row>
    <row r="770" spans="1:7" ht="15">
      <c r="A770" s="84" t="s">
        <v>2777</v>
      </c>
      <c r="B770" s="83">
        <v>8</v>
      </c>
      <c r="C770" s="110">
        <v>0.0218154751968838</v>
      </c>
      <c r="D770" s="83" t="s">
        <v>2668</v>
      </c>
      <c r="E770" s="83" t="b">
        <v>0</v>
      </c>
      <c r="F770" s="83" t="b">
        <v>0</v>
      </c>
      <c r="G770" s="83" t="b">
        <v>0</v>
      </c>
    </row>
    <row r="771" spans="1:7" ht="15">
      <c r="A771" s="84" t="s">
        <v>2718</v>
      </c>
      <c r="B771" s="83">
        <v>6</v>
      </c>
      <c r="C771" s="110">
        <v>0.014415846629091783</v>
      </c>
      <c r="D771" s="83" t="s">
        <v>2668</v>
      </c>
      <c r="E771" s="83" t="b">
        <v>0</v>
      </c>
      <c r="F771" s="83" t="b">
        <v>0</v>
      </c>
      <c r="G771" s="83" t="b">
        <v>0</v>
      </c>
    </row>
    <row r="772" spans="1:7" ht="15">
      <c r="A772" s="84" t="s">
        <v>2760</v>
      </c>
      <c r="B772" s="83">
        <v>5</v>
      </c>
      <c r="C772" s="110">
        <v>0.012742314603871376</v>
      </c>
      <c r="D772" s="83" t="s">
        <v>2668</v>
      </c>
      <c r="E772" s="83" t="b">
        <v>0</v>
      </c>
      <c r="F772" s="83" t="b">
        <v>0</v>
      </c>
      <c r="G772" s="83" t="b">
        <v>0</v>
      </c>
    </row>
    <row r="773" spans="1:7" ht="15">
      <c r="A773" s="84" t="s">
        <v>2752</v>
      </c>
      <c r="B773" s="83">
        <v>5</v>
      </c>
      <c r="C773" s="110">
        <v>0.012742314603871376</v>
      </c>
      <c r="D773" s="83" t="s">
        <v>2668</v>
      </c>
      <c r="E773" s="83" t="b">
        <v>1</v>
      </c>
      <c r="F773" s="83" t="b">
        <v>0</v>
      </c>
      <c r="G773" s="83" t="b">
        <v>0</v>
      </c>
    </row>
    <row r="774" spans="1:7" ht="15">
      <c r="A774" s="84" t="s">
        <v>2790</v>
      </c>
      <c r="B774" s="83">
        <v>5</v>
      </c>
      <c r="C774" s="110">
        <v>0.01640658724357706</v>
      </c>
      <c r="D774" s="83" t="s">
        <v>2668</v>
      </c>
      <c r="E774" s="83" t="b">
        <v>0</v>
      </c>
      <c r="F774" s="83" t="b">
        <v>0</v>
      </c>
      <c r="G774" s="83" t="b">
        <v>0</v>
      </c>
    </row>
    <row r="775" spans="1:7" ht="15">
      <c r="A775" s="84" t="s">
        <v>2860</v>
      </c>
      <c r="B775" s="83">
        <v>4</v>
      </c>
      <c r="C775" s="110">
        <v>0.0109077375984419</v>
      </c>
      <c r="D775" s="83" t="s">
        <v>2668</v>
      </c>
      <c r="E775" s="83" t="b">
        <v>0</v>
      </c>
      <c r="F775" s="83" t="b">
        <v>0</v>
      </c>
      <c r="G775" s="83" t="b">
        <v>0</v>
      </c>
    </row>
    <row r="776" spans="1:7" ht="15">
      <c r="A776" s="84" t="s">
        <v>2723</v>
      </c>
      <c r="B776" s="83">
        <v>4</v>
      </c>
      <c r="C776" s="110">
        <v>0.0109077375984419</v>
      </c>
      <c r="D776" s="83" t="s">
        <v>2668</v>
      </c>
      <c r="E776" s="83" t="b">
        <v>0</v>
      </c>
      <c r="F776" s="83" t="b">
        <v>0</v>
      </c>
      <c r="G776" s="83" t="b">
        <v>0</v>
      </c>
    </row>
    <row r="777" spans="1:7" ht="15">
      <c r="A777" s="84" t="s">
        <v>1110</v>
      </c>
      <c r="B777" s="83">
        <v>4</v>
      </c>
      <c r="C777" s="110">
        <v>0.0109077375984419</v>
      </c>
      <c r="D777" s="83" t="s">
        <v>2668</v>
      </c>
      <c r="E777" s="83" t="b">
        <v>1</v>
      </c>
      <c r="F777" s="83" t="b">
        <v>0</v>
      </c>
      <c r="G777" s="83" t="b">
        <v>0</v>
      </c>
    </row>
    <row r="778" spans="1:7" ht="15">
      <c r="A778" s="84" t="s">
        <v>2735</v>
      </c>
      <c r="B778" s="83">
        <v>4</v>
      </c>
      <c r="C778" s="110">
        <v>0.015342801991281402</v>
      </c>
      <c r="D778" s="83" t="s">
        <v>2668</v>
      </c>
      <c r="E778" s="83" t="b">
        <v>0</v>
      </c>
      <c r="F778" s="83" t="b">
        <v>0</v>
      </c>
      <c r="G778" s="83" t="b">
        <v>0</v>
      </c>
    </row>
    <row r="779" spans="1:7" ht="15">
      <c r="A779" s="84" t="s">
        <v>2754</v>
      </c>
      <c r="B779" s="83">
        <v>4</v>
      </c>
      <c r="C779" s="110">
        <v>0.0109077375984419</v>
      </c>
      <c r="D779" s="83" t="s">
        <v>2668</v>
      </c>
      <c r="E779" s="83" t="b">
        <v>1</v>
      </c>
      <c r="F779" s="83" t="b">
        <v>0</v>
      </c>
      <c r="G779" s="83" t="b">
        <v>0</v>
      </c>
    </row>
    <row r="780" spans="1:7" ht="15">
      <c r="A780" s="84" t="s">
        <v>2866</v>
      </c>
      <c r="B780" s="83">
        <v>4</v>
      </c>
      <c r="C780" s="110">
        <v>0.013125269794861649</v>
      </c>
      <c r="D780" s="83" t="s">
        <v>2668</v>
      </c>
      <c r="E780" s="83" t="b">
        <v>0</v>
      </c>
      <c r="F780" s="83" t="b">
        <v>0</v>
      </c>
      <c r="G780" s="83" t="b">
        <v>0</v>
      </c>
    </row>
    <row r="781" spans="1:7" ht="15">
      <c r="A781" s="84" t="s">
        <v>2869</v>
      </c>
      <c r="B781" s="83">
        <v>4</v>
      </c>
      <c r="C781" s="110">
        <v>0.013125269794861649</v>
      </c>
      <c r="D781" s="83" t="s">
        <v>2668</v>
      </c>
      <c r="E781" s="83" t="b">
        <v>0</v>
      </c>
      <c r="F781" s="83" t="b">
        <v>0</v>
      </c>
      <c r="G781" s="83" t="b">
        <v>0</v>
      </c>
    </row>
    <row r="782" spans="1:7" ht="15">
      <c r="A782" s="84" t="s">
        <v>2731</v>
      </c>
      <c r="B782" s="83">
        <v>3</v>
      </c>
      <c r="C782" s="110">
        <v>0.008871072461860705</v>
      </c>
      <c r="D782" s="83" t="s">
        <v>2668</v>
      </c>
      <c r="E782" s="83" t="b">
        <v>0</v>
      </c>
      <c r="F782" s="83" t="b">
        <v>0</v>
      </c>
      <c r="G782" s="83" t="b">
        <v>0</v>
      </c>
    </row>
    <row r="783" spans="1:7" ht="15">
      <c r="A783" s="84" t="s">
        <v>2922</v>
      </c>
      <c r="B783" s="83">
        <v>3</v>
      </c>
      <c r="C783" s="110">
        <v>0.01150710149346105</v>
      </c>
      <c r="D783" s="83" t="s">
        <v>2668</v>
      </c>
      <c r="E783" s="83" t="b">
        <v>0</v>
      </c>
      <c r="F783" s="83" t="b">
        <v>0</v>
      </c>
      <c r="G783" s="83" t="b">
        <v>0</v>
      </c>
    </row>
    <row r="784" spans="1:7" ht="15">
      <c r="A784" s="84" t="s">
        <v>2741</v>
      </c>
      <c r="B784" s="83">
        <v>3</v>
      </c>
      <c r="C784" s="110">
        <v>0.009843952346146236</v>
      </c>
      <c r="D784" s="83" t="s">
        <v>2668</v>
      </c>
      <c r="E784" s="83" t="b">
        <v>0</v>
      </c>
      <c r="F784" s="83" t="b">
        <v>0</v>
      </c>
      <c r="G784" s="83" t="b">
        <v>0</v>
      </c>
    </row>
    <row r="785" spans="1:7" ht="15">
      <c r="A785" s="84" t="s">
        <v>2859</v>
      </c>
      <c r="B785" s="83">
        <v>3</v>
      </c>
      <c r="C785" s="110">
        <v>0.009843952346146236</v>
      </c>
      <c r="D785" s="83" t="s">
        <v>2668</v>
      </c>
      <c r="E785" s="83" t="b">
        <v>0</v>
      </c>
      <c r="F785" s="83" t="b">
        <v>0</v>
      </c>
      <c r="G785" s="83" t="b">
        <v>0</v>
      </c>
    </row>
    <row r="786" spans="1:7" ht="15">
      <c r="A786" s="84" t="s">
        <v>2743</v>
      </c>
      <c r="B786" s="83">
        <v>3</v>
      </c>
      <c r="C786" s="110">
        <v>0.008871072461860705</v>
      </c>
      <c r="D786" s="83" t="s">
        <v>2668</v>
      </c>
      <c r="E786" s="83" t="b">
        <v>0</v>
      </c>
      <c r="F786" s="83" t="b">
        <v>0</v>
      </c>
      <c r="G786" s="83" t="b">
        <v>0</v>
      </c>
    </row>
    <row r="787" spans="1:7" ht="15">
      <c r="A787" s="84" t="s">
        <v>1421</v>
      </c>
      <c r="B787" s="83">
        <v>3</v>
      </c>
      <c r="C787" s="110">
        <v>0.008871072461860705</v>
      </c>
      <c r="D787" s="83" t="s">
        <v>2668</v>
      </c>
      <c r="E787" s="83" t="b">
        <v>1</v>
      </c>
      <c r="F787" s="83" t="b">
        <v>0</v>
      </c>
      <c r="G787" s="83" t="b">
        <v>0</v>
      </c>
    </row>
    <row r="788" spans="1:7" ht="15">
      <c r="A788" s="84" t="s">
        <v>2721</v>
      </c>
      <c r="B788" s="83">
        <v>3</v>
      </c>
      <c r="C788" s="110">
        <v>0.01150710149346105</v>
      </c>
      <c r="D788" s="83" t="s">
        <v>2668</v>
      </c>
      <c r="E788" s="83" t="b">
        <v>0</v>
      </c>
      <c r="F788" s="83" t="b">
        <v>0</v>
      </c>
      <c r="G788" s="83" t="b">
        <v>0</v>
      </c>
    </row>
    <row r="789" spans="1:7" ht="15">
      <c r="A789" s="84" t="s">
        <v>2926</v>
      </c>
      <c r="B789" s="83">
        <v>3</v>
      </c>
      <c r="C789" s="110">
        <v>0.01150710149346105</v>
      </c>
      <c r="D789" s="83" t="s">
        <v>2668</v>
      </c>
      <c r="E789" s="83" t="b">
        <v>0</v>
      </c>
      <c r="F789" s="83" t="b">
        <v>0</v>
      </c>
      <c r="G789" s="83" t="b">
        <v>0</v>
      </c>
    </row>
    <row r="790" spans="1:7" ht="15">
      <c r="A790" s="84" t="s">
        <v>2722</v>
      </c>
      <c r="B790" s="83">
        <v>3</v>
      </c>
      <c r="C790" s="110">
        <v>0.008871072461860705</v>
      </c>
      <c r="D790" s="83" t="s">
        <v>2668</v>
      </c>
      <c r="E790" s="83" t="b">
        <v>0</v>
      </c>
      <c r="F790" s="83" t="b">
        <v>0</v>
      </c>
      <c r="G790" s="83" t="b">
        <v>0</v>
      </c>
    </row>
    <row r="791" spans="1:7" ht="15">
      <c r="A791" s="84" t="s">
        <v>2726</v>
      </c>
      <c r="B791" s="83">
        <v>3</v>
      </c>
      <c r="C791" s="110">
        <v>0.009843952346146236</v>
      </c>
      <c r="D791" s="83" t="s">
        <v>2668</v>
      </c>
      <c r="E791" s="83" t="b">
        <v>1</v>
      </c>
      <c r="F791" s="83" t="b">
        <v>0</v>
      </c>
      <c r="G791" s="83" t="b">
        <v>0</v>
      </c>
    </row>
    <row r="792" spans="1:7" ht="15">
      <c r="A792" s="84" t="s">
        <v>2929</v>
      </c>
      <c r="B792" s="83">
        <v>3</v>
      </c>
      <c r="C792" s="110">
        <v>0.008871072461860705</v>
      </c>
      <c r="D792" s="83" t="s">
        <v>2668</v>
      </c>
      <c r="E792" s="83" t="b">
        <v>0</v>
      </c>
      <c r="F792" s="83" t="b">
        <v>0</v>
      </c>
      <c r="G792" s="83" t="b">
        <v>0</v>
      </c>
    </row>
    <row r="793" spans="1:7" ht="15">
      <c r="A793" s="84" t="s">
        <v>2865</v>
      </c>
      <c r="B793" s="83">
        <v>3</v>
      </c>
      <c r="C793" s="110">
        <v>0.008871072461860705</v>
      </c>
      <c r="D793" s="83" t="s">
        <v>2668</v>
      </c>
      <c r="E793" s="83" t="b">
        <v>0</v>
      </c>
      <c r="F793" s="83" t="b">
        <v>1</v>
      </c>
      <c r="G793" s="83" t="b">
        <v>0</v>
      </c>
    </row>
    <row r="794" spans="1:7" ht="15">
      <c r="A794" s="84" t="s">
        <v>2732</v>
      </c>
      <c r="B794" s="83">
        <v>3</v>
      </c>
      <c r="C794" s="110">
        <v>0.008871072461860705</v>
      </c>
      <c r="D794" s="83" t="s">
        <v>2668</v>
      </c>
      <c r="E794" s="83" t="b">
        <v>1</v>
      </c>
      <c r="F794" s="83" t="b">
        <v>0</v>
      </c>
      <c r="G794" s="83" t="b">
        <v>0</v>
      </c>
    </row>
    <row r="795" spans="1:7" ht="15">
      <c r="A795" s="84" t="s">
        <v>2762</v>
      </c>
      <c r="B795" s="83">
        <v>3</v>
      </c>
      <c r="C795" s="110">
        <v>0.008871072461860705</v>
      </c>
      <c r="D795" s="83" t="s">
        <v>2668</v>
      </c>
      <c r="E795" s="83" t="b">
        <v>0</v>
      </c>
      <c r="F795" s="83" t="b">
        <v>0</v>
      </c>
      <c r="G795" s="83" t="b">
        <v>0</v>
      </c>
    </row>
    <row r="796" spans="1:7" ht="15">
      <c r="A796" s="84" t="s">
        <v>2936</v>
      </c>
      <c r="B796" s="83">
        <v>3</v>
      </c>
      <c r="C796" s="110">
        <v>0.008871072461860705</v>
      </c>
      <c r="D796" s="83" t="s">
        <v>2668</v>
      </c>
      <c r="E796" s="83" t="b">
        <v>0</v>
      </c>
      <c r="F796" s="83" t="b">
        <v>0</v>
      </c>
      <c r="G796" s="83" t="b">
        <v>0</v>
      </c>
    </row>
    <row r="797" spans="1:7" ht="15">
      <c r="A797" s="84" t="s">
        <v>2937</v>
      </c>
      <c r="B797" s="83">
        <v>3</v>
      </c>
      <c r="C797" s="110">
        <v>0.008871072461860705</v>
      </c>
      <c r="D797" s="83" t="s">
        <v>2668</v>
      </c>
      <c r="E797" s="83" t="b">
        <v>0</v>
      </c>
      <c r="F797" s="83" t="b">
        <v>0</v>
      </c>
      <c r="G797" s="83" t="b">
        <v>0</v>
      </c>
    </row>
    <row r="798" spans="1:7" ht="15">
      <c r="A798" s="84" t="s">
        <v>2939</v>
      </c>
      <c r="B798" s="83">
        <v>3</v>
      </c>
      <c r="C798" s="110">
        <v>0.008871072461860705</v>
      </c>
      <c r="D798" s="83" t="s">
        <v>2668</v>
      </c>
      <c r="E798" s="83" t="b">
        <v>0</v>
      </c>
      <c r="F798" s="83" t="b">
        <v>0</v>
      </c>
      <c r="G798" s="83" t="b">
        <v>0</v>
      </c>
    </row>
    <row r="799" spans="1:7" ht="15">
      <c r="A799" s="84" t="s">
        <v>2942</v>
      </c>
      <c r="B799" s="83">
        <v>3</v>
      </c>
      <c r="C799" s="110">
        <v>0.01150710149346105</v>
      </c>
      <c r="D799" s="83" t="s">
        <v>2668</v>
      </c>
      <c r="E799" s="83" t="b">
        <v>0</v>
      </c>
      <c r="F799" s="83" t="b">
        <v>0</v>
      </c>
      <c r="G799" s="83" t="b">
        <v>0</v>
      </c>
    </row>
    <row r="800" spans="1:7" ht="15">
      <c r="A800" s="84" t="s">
        <v>3056</v>
      </c>
      <c r="B800" s="83">
        <v>2</v>
      </c>
      <c r="C800" s="110">
        <v>0.007671400995640701</v>
      </c>
      <c r="D800" s="83" t="s">
        <v>2668</v>
      </c>
      <c r="E800" s="83" t="b">
        <v>0</v>
      </c>
      <c r="F800" s="83" t="b">
        <v>0</v>
      </c>
      <c r="G800" s="83" t="b">
        <v>0</v>
      </c>
    </row>
    <row r="801" spans="1:7" ht="15">
      <c r="A801" s="84" t="s">
        <v>2921</v>
      </c>
      <c r="B801" s="83">
        <v>2</v>
      </c>
      <c r="C801" s="110">
        <v>0.007671400995640701</v>
      </c>
      <c r="D801" s="83" t="s">
        <v>2668</v>
      </c>
      <c r="E801" s="83" t="b">
        <v>0</v>
      </c>
      <c r="F801" s="83" t="b">
        <v>0</v>
      </c>
      <c r="G801" s="83" t="b">
        <v>0</v>
      </c>
    </row>
    <row r="802" spans="1:7" ht="15">
      <c r="A802" s="84" t="s">
        <v>2829</v>
      </c>
      <c r="B802" s="83">
        <v>2</v>
      </c>
      <c r="C802" s="110">
        <v>0.007671400995640701</v>
      </c>
      <c r="D802" s="83" t="s">
        <v>2668</v>
      </c>
      <c r="E802" s="83" t="b">
        <v>0</v>
      </c>
      <c r="F802" s="83" t="b">
        <v>0</v>
      </c>
      <c r="G802" s="83" t="b">
        <v>0</v>
      </c>
    </row>
    <row r="803" spans="1:7" ht="15">
      <c r="A803" s="84" t="s">
        <v>2759</v>
      </c>
      <c r="B803" s="83">
        <v>2</v>
      </c>
      <c r="C803" s="110">
        <v>0.007671400995640701</v>
      </c>
      <c r="D803" s="83" t="s">
        <v>2668</v>
      </c>
      <c r="E803" s="83" t="b">
        <v>0</v>
      </c>
      <c r="F803" s="83" t="b">
        <v>0</v>
      </c>
      <c r="G803" s="83" t="b">
        <v>0</v>
      </c>
    </row>
    <row r="804" spans="1:7" ht="15">
      <c r="A804" s="84" t="s">
        <v>2742</v>
      </c>
      <c r="B804" s="83">
        <v>2</v>
      </c>
      <c r="C804" s="110">
        <v>0.007671400995640701</v>
      </c>
      <c r="D804" s="83" t="s">
        <v>2668</v>
      </c>
      <c r="E804" s="83" t="b">
        <v>0</v>
      </c>
      <c r="F804" s="83" t="b">
        <v>0</v>
      </c>
      <c r="G804" s="83" t="b">
        <v>0</v>
      </c>
    </row>
    <row r="805" spans="1:7" ht="15">
      <c r="A805" s="84" t="s">
        <v>2802</v>
      </c>
      <c r="B805" s="83">
        <v>2</v>
      </c>
      <c r="C805" s="110">
        <v>0.007671400995640701</v>
      </c>
      <c r="D805" s="83" t="s">
        <v>2668</v>
      </c>
      <c r="E805" s="83" t="b">
        <v>0</v>
      </c>
      <c r="F805" s="83" t="b">
        <v>0</v>
      </c>
      <c r="G805" s="83" t="b">
        <v>0</v>
      </c>
    </row>
    <row r="806" spans="1:7" ht="15">
      <c r="A806" s="84" t="s">
        <v>2803</v>
      </c>
      <c r="B806" s="83">
        <v>2</v>
      </c>
      <c r="C806" s="110">
        <v>0.007671400995640701</v>
      </c>
      <c r="D806" s="83" t="s">
        <v>2668</v>
      </c>
      <c r="E806" s="83" t="b">
        <v>0</v>
      </c>
      <c r="F806" s="83" t="b">
        <v>0</v>
      </c>
      <c r="G806" s="83" t="b">
        <v>0</v>
      </c>
    </row>
    <row r="807" spans="1:7" ht="15">
      <c r="A807" s="84" t="s">
        <v>2725</v>
      </c>
      <c r="B807" s="83">
        <v>2</v>
      </c>
      <c r="C807" s="110">
        <v>0.0065626348974308244</v>
      </c>
      <c r="D807" s="83" t="s">
        <v>2668</v>
      </c>
      <c r="E807" s="83" t="b">
        <v>1</v>
      </c>
      <c r="F807" s="83" t="b">
        <v>0</v>
      </c>
      <c r="G807" s="83" t="b">
        <v>0</v>
      </c>
    </row>
    <row r="808" spans="1:7" ht="15">
      <c r="A808" s="84" t="s">
        <v>3066</v>
      </c>
      <c r="B808" s="83">
        <v>2</v>
      </c>
      <c r="C808" s="110">
        <v>0.0065626348974308244</v>
      </c>
      <c r="D808" s="83" t="s">
        <v>2668</v>
      </c>
      <c r="E808" s="83" t="b">
        <v>0</v>
      </c>
      <c r="F808" s="83" t="b">
        <v>0</v>
      </c>
      <c r="G808" s="83" t="b">
        <v>0</v>
      </c>
    </row>
    <row r="809" spans="1:7" ht="15">
      <c r="A809" s="84" t="s">
        <v>3067</v>
      </c>
      <c r="B809" s="83">
        <v>2</v>
      </c>
      <c r="C809" s="110">
        <v>0.0065626348974308244</v>
      </c>
      <c r="D809" s="83" t="s">
        <v>2668</v>
      </c>
      <c r="E809" s="83" t="b">
        <v>0</v>
      </c>
      <c r="F809" s="83" t="b">
        <v>0</v>
      </c>
      <c r="G809" s="83" t="b">
        <v>0</v>
      </c>
    </row>
    <row r="810" spans="1:7" ht="15">
      <c r="A810" s="84" t="s">
        <v>3071</v>
      </c>
      <c r="B810" s="83">
        <v>2</v>
      </c>
      <c r="C810" s="110">
        <v>0.0065626348974308244</v>
      </c>
      <c r="D810" s="83" t="s">
        <v>2668</v>
      </c>
      <c r="E810" s="83" t="b">
        <v>0</v>
      </c>
      <c r="F810" s="83" t="b">
        <v>0</v>
      </c>
      <c r="G810" s="83" t="b">
        <v>0</v>
      </c>
    </row>
    <row r="811" spans="1:7" ht="15">
      <c r="A811" s="84" t="s">
        <v>2729</v>
      </c>
      <c r="B811" s="83">
        <v>2</v>
      </c>
      <c r="C811" s="110">
        <v>0.0065626348974308244</v>
      </c>
      <c r="D811" s="83" t="s">
        <v>2668</v>
      </c>
      <c r="E811" s="83" t="b">
        <v>1</v>
      </c>
      <c r="F811" s="83" t="b">
        <v>0</v>
      </c>
      <c r="G811" s="83" t="b">
        <v>0</v>
      </c>
    </row>
    <row r="812" spans="1:7" ht="15">
      <c r="A812" s="84" t="s">
        <v>2861</v>
      </c>
      <c r="B812" s="83">
        <v>2</v>
      </c>
      <c r="C812" s="110">
        <v>0.007671400995640701</v>
      </c>
      <c r="D812" s="83" t="s">
        <v>2668</v>
      </c>
      <c r="E812" s="83" t="b">
        <v>0</v>
      </c>
      <c r="F812" s="83" t="b">
        <v>1</v>
      </c>
      <c r="G812" s="83" t="b">
        <v>0</v>
      </c>
    </row>
    <row r="813" spans="1:7" ht="15">
      <c r="A813" s="84" t="s">
        <v>2772</v>
      </c>
      <c r="B813" s="83">
        <v>2</v>
      </c>
      <c r="C813" s="110">
        <v>0.0065626348974308244</v>
      </c>
      <c r="D813" s="83" t="s">
        <v>2668</v>
      </c>
      <c r="E813" s="83" t="b">
        <v>0</v>
      </c>
      <c r="F813" s="83" t="b">
        <v>0</v>
      </c>
      <c r="G813" s="83" t="b">
        <v>0</v>
      </c>
    </row>
    <row r="814" spans="1:7" ht="15">
      <c r="A814" s="84" t="s">
        <v>2786</v>
      </c>
      <c r="B814" s="83">
        <v>2</v>
      </c>
      <c r="C814" s="110">
        <v>0.0065626348974308244</v>
      </c>
      <c r="D814" s="83" t="s">
        <v>2668</v>
      </c>
      <c r="E814" s="83" t="b">
        <v>0</v>
      </c>
      <c r="F814" s="83" t="b">
        <v>0</v>
      </c>
      <c r="G814" s="83" t="b">
        <v>0</v>
      </c>
    </row>
    <row r="815" spans="1:7" ht="15">
      <c r="A815" s="84" t="s">
        <v>2808</v>
      </c>
      <c r="B815" s="83">
        <v>2</v>
      </c>
      <c r="C815" s="110">
        <v>0.0065626348974308244</v>
      </c>
      <c r="D815" s="83" t="s">
        <v>2668</v>
      </c>
      <c r="E815" s="83" t="b">
        <v>0</v>
      </c>
      <c r="F815" s="83" t="b">
        <v>0</v>
      </c>
      <c r="G815" s="83" t="b">
        <v>0</v>
      </c>
    </row>
    <row r="816" spans="1:7" ht="15">
      <c r="A816" s="84" t="s">
        <v>2753</v>
      </c>
      <c r="B816" s="83">
        <v>2</v>
      </c>
      <c r="C816" s="110">
        <v>0.007671400995640701</v>
      </c>
      <c r="D816" s="83" t="s">
        <v>2668</v>
      </c>
      <c r="E816" s="83" t="b">
        <v>0</v>
      </c>
      <c r="F816" s="83" t="b">
        <v>0</v>
      </c>
      <c r="G816" s="83" t="b">
        <v>0</v>
      </c>
    </row>
    <row r="817" spans="1:7" ht="15">
      <c r="A817" s="84" t="s">
        <v>2788</v>
      </c>
      <c r="B817" s="83">
        <v>2</v>
      </c>
      <c r="C817" s="110">
        <v>0.0065626348974308244</v>
      </c>
      <c r="D817" s="83" t="s">
        <v>2668</v>
      </c>
      <c r="E817" s="83" t="b">
        <v>0</v>
      </c>
      <c r="F817" s="83" t="b">
        <v>1</v>
      </c>
      <c r="G817" s="83" t="b">
        <v>0</v>
      </c>
    </row>
    <row r="818" spans="1:7" ht="15">
      <c r="A818" s="84" t="s">
        <v>3099</v>
      </c>
      <c r="B818" s="83">
        <v>2</v>
      </c>
      <c r="C818" s="110">
        <v>0.0065626348974308244</v>
      </c>
      <c r="D818" s="83" t="s">
        <v>2668</v>
      </c>
      <c r="E818" s="83" t="b">
        <v>0</v>
      </c>
      <c r="F818" s="83" t="b">
        <v>0</v>
      </c>
      <c r="G818" s="83" t="b">
        <v>0</v>
      </c>
    </row>
    <row r="819" spans="1:7" ht="15">
      <c r="A819" s="84" t="s">
        <v>3100</v>
      </c>
      <c r="B819" s="83">
        <v>2</v>
      </c>
      <c r="C819" s="110">
        <v>0.0065626348974308244</v>
      </c>
      <c r="D819" s="83" t="s">
        <v>2668</v>
      </c>
      <c r="E819" s="83" t="b">
        <v>0</v>
      </c>
      <c r="F819" s="83" t="b">
        <v>0</v>
      </c>
      <c r="G819" s="83" t="b">
        <v>0</v>
      </c>
    </row>
    <row r="820" spans="1:7" ht="15">
      <c r="A820" s="84" t="s">
        <v>2949</v>
      </c>
      <c r="B820" s="83">
        <v>2</v>
      </c>
      <c r="C820" s="110">
        <v>0.0065626348974308244</v>
      </c>
      <c r="D820" s="83" t="s">
        <v>2668</v>
      </c>
      <c r="E820" s="83" t="b">
        <v>0</v>
      </c>
      <c r="F820" s="83" t="b">
        <v>0</v>
      </c>
      <c r="G820" s="83" t="b">
        <v>0</v>
      </c>
    </row>
    <row r="821" spans="1:7" ht="15">
      <c r="A821" s="84" t="s">
        <v>2789</v>
      </c>
      <c r="B821" s="83">
        <v>2</v>
      </c>
      <c r="C821" s="110">
        <v>0.0065626348974308244</v>
      </c>
      <c r="D821" s="83" t="s">
        <v>2668</v>
      </c>
      <c r="E821" s="83" t="b">
        <v>0</v>
      </c>
      <c r="F821" s="83" t="b">
        <v>0</v>
      </c>
      <c r="G821" s="83" t="b">
        <v>0</v>
      </c>
    </row>
    <row r="822" spans="1:7" ht="15">
      <c r="A822" s="84" t="s">
        <v>2862</v>
      </c>
      <c r="B822" s="83">
        <v>2</v>
      </c>
      <c r="C822" s="110">
        <v>0.0065626348974308244</v>
      </c>
      <c r="D822" s="83" t="s">
        <v>2668</v>
      </c>
      <c r="E822" s="83" t="b">
        <v>0</v>
      </c>
      <c r="F822" s="83" t="b">
        <v>1</v>
      </c>
      <c r="G822" s="83" t="b">
        <v>0</v>
      </c>
    </row>
    <row r="823" spans="1:7" ht="15">
      <c r="A823" s="84" t="s">
        <v>2863</v>
      </c>
      <c r="B823" s="83">
        <v>2</v>
      </c>
      <c r="C823" s="110">
        <v>0.0065626348974308244</v>
      </c>
      <c r="D823" s="83" t="s">
        <v>2668</v>
      </c>
      <c r="E823" s="83" t="b">
        <v>0</v>
      </c>
      <c r="F823" s="83" t="b">
        <v>1</v>
      </c>
      <c r="G823" s="83" t="b">
        <v>0</v>
      </c>
    </row>
    <row r="824" spans="1:7" ht="15">
      <c r="A824" s="84" t="s">
        <v>2733</v>
      </c>
      <c r="B824" s="83">
        <v>2</v>
      </c>
      <c r="C824" s="110">
        <v>0.0065626348974308244</v>
      </c>
      <c r="D824" s="83" t="s">
        <v>2668</v>
      </c>
      <c r="E824" s="83" t="b">
        <v>0</v>
      </c>
      <c r="F824" s="83" t="b">
        <v>0</v>
      </c>
      <c r="G824" s="83" t="b">
        <v>0</v>
      </c>
    </row>
    <row r="825" spans="1:7" ht="15">
      <c r="A825" s="84" t="s">
        <v>2745</v>
      </c>
      <c r="B825" s="83">
        <v>2</v>
      </c>
      <c r="C825" s="110">
        <v>0.0065626348974308244</v>
      </c>
      <c r="D825" s="83" t="s">
        <v>2668</v>
      </c>
      <c r="E825" s="83" t="b">
        <v>0</v>
      </c>
      <c r="F825" s="83" t="b">
        <v>0</v>
      </c>
      <c r="G825" s="83" t="b">
        <v>0</v>
      </c>
    </row>
    <row r="826" spans="1:7" ht="15">
      <c r="A826" s="84" t="s">
        <v>3081</v>
      </c>
      <c r="B826" s="83">
        <v>2</v>
      </c>
      <c r="C826" s="110">
        <v>0.007671400995640701</v>
      </c>
      <c r="D826" s="83" t="s">
        <v>2668</v>
      </c>
      <c r="E826" s="83" t="b">
        <v>0</v>
      </c>
      <c r="F826" s="83" t="b">
        <v>0</v>
      </c>
      <c r="G826" s="83" t="b">
        <v>0</v>
      </c>
    </row>
    <row r="827" spans="1:7" ht="15">
      <c r="A827" s="84" t="s">
        <v>3082</v>
      </c>
      <c r="B827" s="83">
        <v>2</v>
      </c>
      <c r="C827" s="110">
        <v>0.007671400995640701</v>
      </c>
      <c r="D827" s="83" t="s">
        <v>2668</v>
      </c>
      <c r="E827" s="83" t="b">
        <v>0</v>
      </c>
      <c r="F827" s="83" t="b">
        <v>1</v>
      </c>
      <c r="G827" s="83" t="b">
        <v>0</v>
      </c>
    </row>
    <row r="828" spans="1:7" ht="15">
      <c r="A828" s="84" t="s">
        <v>3083</v>
      </c>
      <c r="B828" s="83">
        <v>2</v>
      </c>
      <c r="C828" s="110">
        <v>0.007671400995640701</v>
      </c>
      <c r="D828" s="83" t="s">
        <v>2668</v>
      </c>
      <c r="E828" s="83" t="b">
        <v>0</v>
      </c>
      <c r="F828" s="83" t="b">
        <v>0</v>
      </c>
      <c r="G828" s="83" t="b">
        <v>0</v>
      </c>
    </row>
    <row r="829" spans="1:7" ht="15">
      <c r="A829" s="84" t="s">
        <v>3084</v>
      </c>
      <c r="B829" s="83">
        <v>2</v>
      </c>
      <c r="C829" s="110">
        <v>0.007671400995640701</v>
      </c>
      <c r="D829" s="83" t="s">
        <v>2668</v>
      </c>
      <c r="E829" s="83" t="b">
        <v>0</v>
      </c>
      <c r="F829" s="83" t="b">
        <v>0</v>
      </c>
      <c r="G829" s="83" t="b">
        <v>0</v>
      </c>
    </row>
    <row r="830" spans="1:7" ht="15">
      <c r="A830" s="84" t="s">
        <v>3085</v>
      </c>
      <c r="B830" s="83">
        <v>2</v>
      </c>
      <c r="C830" s="110">
        <v>0.0065626348974308244</v>
      </c>
      <c r="D830" s="83" t="s">
        <v>2668</v>
      </c>
      <c r="E830" s="83" t="b">
        <v>0</v>
      </c>
      <c r="F830" s="83" t="b">
        <v>0</v>
      </c>
      <c r="G830" s="83" t="b">
        <v>0</v>
      </c>
    </row>
    <row r="831" spans="1:7" ht="15">
      <c r="A831" s="84" t="s">
        <v>3088</v>
      </c>
      <c r="B831" s="83">
        <v>2</v>
      </c>
      <c r="C831" s="110">
        <v>0.007671400995640701</v>
      </c>
      <c r="D831" s="83" t="s">
        <v>2668</v>
      </c>
      <c r="E831" s="83" t="b">
        <v>0</v>
      </c>
      <c r="F831" s="83" t="b">
        <v>0</v>
      </c>
      <c r="G831" s="83" t="b">
        <v>0</v>
      </c>
    </row>
    <row r="832" spans="1:7" ht="15">
      <c r="A832" s="84" t="s">
        <v>3089</v>
      </c>
      <c r="B832" s="83">
        <v>2</v>
      </c>
      <c r="C832" s="110">
        <v>0.007671400995640701</v>
      </c>
      <c r="D832" s="83" t="s">
        <v>2668</v>
      </c>
      <c r="E832" s="83" t="b">
        <v>0</v>
      </c>
      <c r="F832" s="83" t="b">
        <v>0</v>
      </c>
      <c r="G832" s="83" t="b">
        <v>0</v>
      </c>
    </row>
    <row r="833" spans="1:7" ht="15">
      <c r="A833" s="84" t="s">
        <v>3091</v>
      </c>
      <c r="B833" s="83">
        <v>2</v>
      </c>
      <c r="C833" s="110">
        <v>0.007671400995640701</v>
      </c>
      <c r="D833" s="83" t="s">
        <v>2668</v>
      </c>
      <c r="E833" s="83" t="b">
        <v>0</v>
      </c>
      <c r="F833" s="83" t="b">
        <v>0</v>
      </c>
      <c r="G833" s="83" t="b">
        <v>0</v>
      </c>
    </row>
    <row r="834" spans="1:7" ht="15">
      <c r="A834" s="84" t="s">
        <v>2945</v>
      </c>
      <c r="B834" s="83">
        <v>2</v>
      </c>
      <c r="C834" s="110">
        <v>0.007671400995640701</v>
      </c>
      <c r="D834" s="83" t="s">
        <v>2668</v>
      </c>
      <c r="E834" s="83" t="b">
        <v>0</v>
      </c>
      <c r="F834" s="83" t="b">
        <v>0</v>
      </c>
      <c r="G834" s="83" t="b">
        <v>0</v>
      </c>
    </row>
    <row r="835" spans="1:7" ht="15">
      <c r="A835" s="84" t="s">
        <v>2946</v>
      </c>
      <c r="B835" s="83">
        <v>2</v>
      </c>
      <c r="C835" s="110">
        <v>0.007671400995640701</v>
      </c>
      <c r="D835" s="83" t="s">
        <v>2668</v>
      </c>
      <c r="E835" s="83" t="b">
        <v>0</v>
      </c>
      <c r="F835" s="83" t="b">
        <v>0</v>
      </c>
      <c r="G835" s="83" t="b">
        <v>0</v>
      </c>
    </row>
    <row r="836" spans="1:7" ht="15">
      <c r="A836" s="84" t="s">
        <v>3094</v>
      </c>
      <c r="B836" s="83">
        <v>2</v>
      </c>
      <c r="C836" s="110">
        <v>0.007671400995640701</v>
      </c>
      <c r="D836" s="83" t="s">
        <v>2668</v>
      </c>
      <c r="E836" s="83" t="b">
        <v>0</v>
      </c>
      <c r="F836" s="83" t="b">
        <v>1</v>
      </c>
      <c r="G836" s="83" t="b">
        <v>0</v>
      </c>
    </row>
    <row r="837" spans="1:7" ht="15">
      <c r="A837" s="84" t="s">
        <v>3095</v>
      </c>
      <c r="B837" s="83">
        <v>2</v>
      </c>
      <c r="C837" s="110">
        <v>0.007671400995640701</v>
      </c>
      <c r="D837" s="83" t="s">
        <v>2668</v>
      </c>
      <c r="E837" s="83" t="b">
        <v>0</v>
      </c>
      <c r="F837" s="83" t="b">
        <v>0</v>
      </c>
      <c r="G837" s="83" t="b">
        <v>0</v>
      </c>
    </row>
    <row r="838" spans="1:7" ht="15">
      <c r="A838" s="84" t="s">
        <v>2738</v>
      </c>
      <c r="B838" s="83">
        <v>2</v>
      </c>
      <c r="C838" s="110">
        <v>0.007671400995640701</v>
      </c>
      <c r="D838" s="83" t="s">
        <v>2668</v>
      </c>
      <c r="E838" s="83" t="b">
        <v>0</v>
      </c>
      <c r="F838" s="83" t="b">
        <v>0</v>
      </c>
      <c r="G838" s="83" t="b">
        <v>0</v>
      </c>
    </row>
    <row r="839" spans="1:7" ht="15">
      <c r="A839" s="84" t="s">
        <v>3102</v>
      </c>
      <c r="B839" s="83">
        <v>2</v>
      </c>
      <c r="C839" s="110">
        <v>0.007671400995640701</v>
      </c>
      <c r="D839" s="83" t="s">
        <v>2668</v>
      </c>
      <c r="E839" s="83" t="b">
        <v>0</v>
      </c>
      <c r="F839" s="83" t="b">
        <v>0</v>
      </c>
      <c r="G839" s="83" t="b">
        <v>0</v>
      </c>
    </row>
    <row r="840" spans="1:7" ht="15">
      <c r="A840" s="84" t="s">
        <v>2872</v>
      </c>
      <c r="B840" s="83">
        <v>2</v>
      </c>
      <c r="C840" s="110">
        <v>0.0065626348974308244</v>
      </c>
      <c r="D840" s="83" t="s">
        <v>2668</v>
      </c>
      <c r="E840" s="83" t="b">
        <v>1</v>
      </c>
      <c r="F840" s="83" t="b">
        <v>0</v>
      </c>
      <c r="G840" s="83" t="b">
        <v>0</v>
      </c>
    </row>
    <row r="841" spans="1:7" ht="15">
      <c r="A841" s="84" t="s">
        <v>2748</v>
      </c>
      <c r="B841" s="83">
        <v>2</v>
      </c>
      <c r="C841" s="110">
        <v>0.0065626348974308244</v>
      </c>
      <c r="D841" s="83" t="s">
        <v>2668</v>
      </c>
      <c r="E841" s="83" t="b">
        <v>0</v>
      </c>
      <c r="F841" s="83" t="b">
        <v>0</v>
      </c>
      <c r="G841" s="83" t="b">
        <v>0</v>
      </c>
    </row>
    <row r="842" spans="1:7" ht="15">
      <c r="A842" s="84" t="s">
        <v>2955</v>
      </c>
      <c r="B842" s="83">
        <v>2</v>
      </c>
      <c r="C842" s="110">
        <v>0.0065626348974308244</v>
      </c>
      <c r="D842" s="83" t="s">
        <v>2668</v>
      </c>
      <c r="E842" s="83" t="b">
        <v>0</v>
      </c>
      <c r="F842" s="83" t="b">
        <v>0</v>
      </c>
      <c r="G842" s="83" t="b">
        <v>0</v>
      </c>
    </row>
    <row r="843" spans="1:7" ht="15">
      <c r="A843" s="84" t="s">
        <v>2956</v>
      </c>
      <c r="B843" s="83">
        <v>2</v>
      </c>
      <c r="C843" s="110">
        <v>0.0065626348974308244</v>
      </c>
      <c r="D843" s="83" t="s">
        <v>2668</v>
      </c>
      <c r="E843" s="83" t="b">
        <v>0</v>
      </c>
      <c r="F843" s="83" t="b">
        <v>0</v>
      </c>
      <c r="G843" s="83" t="b">
        <v>0</v>
      </c>
    </row>
    <row r="844" spans="1:7" ht="15">
      <c r="A844" s="84" t="s">
        <v>3105</v>
      </c>
      <c r="B844" s="83">
        <v>2</v>
      </c>
      <c r="C844" s="110">
        <v>0.0065626348974308244</v>
      </c>
      <c r="D844" s="83" t="s">
        <v>2668</v>
      </c>
      <c r="E844" s="83" t="b">
        <v>0</v>
      </c>
      <c r="F844" s="83" t="b">
        <v>0</v>
      </c>
      <c r="G844" s="83" t="b">
        <v>0</v>
      </c>
    </row>
    <row r="845" spans="1:7" ht="15">
      <c r="A845" s="84" t="s">
        <v>2721</v>
      </c>
      <c r="B845" s="83">
        <v>12</v>
      </c>
      <c r="C845" s="110">
        <v>0.03135149317448483</v>
      </c>
      <c r="D845" s="83" t="s">
        <v>2669</v>
      </c>
      <c r="E845" s="83" t="b">
        <v>0</v>
      </c>
      <c r="F845" s="83" t="b">
        <v>0</v>
      </c>
      <c r="G845" s="83" t="b">
        <v>0</v>
      </c>
    </row>
    <row r="846" spans="1:7" ht="15">
      <c r="A846" s="84" t="s">
        <v>1421</v>
      </c>
      <c r="B846" s="83">
        <v>11</v>
      </c>
      <c r="C846" s="110">
        <v>0.019263065543017193</v>
      </c>
      <c r="D846" s="83" t="s">
        <v>2669</v>
      </c>
      <c r="E846" s="83" t="b">
        <v>1</v>
      </c>
      <c r="F846" s="83" t="b">
        <v>0</v>
      </c>
      <c r="G846" s="83" t="b">
        <v>0</v>
      </c>
    </row>
    <row r="847" spans="1:7" ht="15">
      <c r="A847" s="84" t="s">
        <v>2717</v>
      </c>
      <c r="B847" s="83">
        <v>9</v>
      </c>
      <c r="C847" s="110">
        <v>0.02040612707399866</v>
      </c>
      <c r="D847" s="83" t="s">
        <v>2669</v>
      </c>
      <c r="E847" s="83" t="b">
        <v>0</v>
      </c>
      <c r="F847" s="83" t="b">
        <v>0</v>
      </c>
      <c r="G847" s="83" t="b">
        <v>0</v>
      </c>
    </row>
    <row r="848" spans="1:7" ht="15">
      <c r="A848" s="84" t="s">
        <v>2729</v>
      </c>
      <c r="B848" s="83">
        <v>9</v>
      </c>
      <c r="C848" s="110">
        <v>0.02180344318072145</v>
      </c>
      <c r="D848" s="83" t="s">
        <v>2669</v>
      </c>
      <c r="E848" s="83" t="b">
        <v>1</v>
      </c>
      <c r="F848" s="83" t="b">
        <v>0</v>
      </c>
      <c r="G848" s="83" t="b">
        <v>0</v>
      </c>
    </row>
    <row r="849" spans="1:7" ht="15">
      <c r="A849" s="84" t="s">
        <v>2722</v>
      </c>
      <c r="B849" s="83">
        <v>8</v>
      </c>
      <c r="C849" s="110">
        <v>0.019380838382863513</v>
      </c>
      <c r="D849" s="83" t="s">
        <v>2669</v>
      </c>
      <c r="E849" s="83" t="b">
        <v>0</v>
      </c>
      <c r="F849" s="83" t="b">
        <v>0</v>
      </c>
      <c r="G849" s="83" t="b">
        <v>0</v>
      </c>
    </row>
    <row r="850" spans="1:7" ht="15">
      <c r="A850" s="84" t="s">
        <v>2723</v>
      </c>
      <c r="B850" s="83">
        <v>6</v>
      </c>
      <c r="C850" s="110">
        <v>0.013604084715999106</v>
      </c>
      <c r="D850" s="83" t="s">
        <v>2669</v>
      </c>
      <c r="E850" s="83" t="b">
        <v>0</v>
      </c>
      <c r="F850" s="83" t="b">
        <v>0</v>
      </c>
      <c r="G850" s="83" t="b">
        <v>0</v>
      </c>
    </row>
    <row r="851" spans="1:7" ht="15">
      <c r="A851" s="84" t="s">
        <v>2855</v>
      </c>
      <c r="B851" s="83">
        <v>5</v>
      </c>
      <c r="C851" s="110">
        <v>0.018965671090623214</v>
      </c>
      <c r="D851" s="83" t="s">
        <v>2669</v>
      </c>
      <c r="E851" s="83" t="b">
        <v>0</v>
      </c>
      <c r="F851" s="83" t="b">
        <v>0</v>
      </c>
      <c r="G851" s="83" t="b">
        <v>0</v>
      </c>
    </row>
    <row r="852" spans="1:7" ht="15">
      <c r="A852" s="84" t="s">
        <v>2735</v>
      </c>
      <c r="B852" s="83">
        <v>5</v>
      </c>
      <c r="C852" s="110">
        <v>0.013063122156035346</v>
      </c>
      <c r="D852" s="83" t="s">
        <v>2669</v>
      </c>
      <c r="E852" s="83" t="b">
        <v>0</v>
      </c>
      <c r="F852" s="83" t="b">
        <v>0</v>
      </c>
      <c r="G852" s="83" t="b">
        <v>0</v>
      </c>
    </row>
    <row r="853" spans="1:7" ht="15">
      <c r="A853" s="84" t="s">
        <v>2793</v>
      </c>
      <c r="B853" s="83">
        <v>5</v>
      </c>
      <c r="C853" s="110">
        <v>0.012113023989289696</v>
      </c>
      <c r="D853" s="83" t="s">
        <v>2669</v>
      </c>
      <c r="E853" s="83" t="b">
        <v>0</v>
      </c>
      <c r="F853" s="83" t="b">
        <v>0</v>
      </c>
      <c r="G853" s="83" t="b">
        <v>0</v>
      </c>
    </row>
    <row r="854" spans="1:7" ht="15">
      <c r="A854" s="84" t="s">
        <v>2724</v>
      </c>
      <c r="B854" s="83">
        <v>5</v>
      </c>
      <c r="C854" s="110">
        <v>0.012113023989289696</v>
      </c>
      <c r="D854" s="83" t="s">
        <v>2669</v>
      </c>
      <c r="E854" s="83" t="b">
        <v>0</v>
      </c>
      <c r="F854" s="83" t="b">
        <v>0</v>
      </c>
      <c r="G854" s="83" t="b">
        <v>0</v>
      </c>
    </row>
    <row r="855" spans="1:7" ht="15">
      <c r="A855" s="84" t="s">
        <v>2730</v>
      </c>
      <c r="B855" s="83">
        <v>5</v>
      </c>
      <c r="C855" s="110">
        <v>0.016014396623329277</v>
      </c>
      <c r="D855" s="83" t="s">
        <v>2669</v>
      </c>
      <c r="E855" s="83" t="b">
        <v>0</v>
      </c>
      <c r="F855" s="83" t="b">
        <v>1</v>
      </c>
      <c r="G855" s="83" t="b">
        <v>0</v>
      </c>
    </row>
    <row r="856" spans="1:7" ht="15">
      <c r="A856" s="84" t="s">
        <v>2719</v>
      </c>
      <c r="B856" s="83">
        <v>5</v>
      </c>
      <c r="C856" s="110">
        <v>0.012113023989289696</v>
      </c>
      <c r="D856" s="83" t="s">
        <v>2669</v>
      </c>
      <c r="E856" s="83" t="b">
        <v>1</v>
      </c>
      <c r="F856" s="83" t="b">
        <v>0</v>
      </c>
      <c r="G856" s="83" t="b">
        <v>0</v>
      </c>
    </row>
    <row r="857" spans="1:7" ht="15">
      <c r="A857" s="84" t="s">
        <v>2737</v>
      </c>
      <c r="B857" s="83">
        <v>4</v>
      </c>
      <c r="C857" s="110">
        <v>0.011430409384501218</v>
      </c>
      <c r="D857" s="83" t="s">
        <v>2669</v>
      </c>
      <c r="E857" s="83" t="b">
        <v>0</v>
      </c>
      <c r="F857" s="83" t="b">
        <v>0</v>
      </c>
      <c r="G857" s="83" t="b">
        <v>0</v>
      </c>
    </row>
    <row r="858" spans="1:7" ht="15">
      <c r="A858" s="84" t="s">
        <v>2914</v>
      </c>
      <c r="B858" s="83">
        <v>4</v>
      </c>
      <c r="C858" s="110">
        <v>0.011430409384501218</v>
      </c>
      <c r="D858" s="83" t="s">
        <v>2669</v>
      </c>
      <c r="E858" s="83" t="b">
        <v>0</v>
      </c>
      <c r="F858" s="83" t="b">
        <v>0</v>
      </c>
      <c r="G858" s="83" t="b">
        <v>0</v>
      </c>
    </row>
    <row r="859" spans="1:7" ht="15">
      <c r="A859" s="84" t="s">
        <v>2753</v>
      </c>
      <c r="B859" s="83">
        <v>4</v>
      </c>
      <c r="C859" s="110">
        <v>0.012811517298663424</v>
      </c>
      <c r="D859" s="83" t="s">
        <v>2669</v>
      </c>
      <c r="E859" s="83" t="b">
        <v>0</v>
      </c>
      <c r="F859" s="83" t="b">
        <v>0</v>
      </c>
      <c r="G859" s="83" t="b">
        <v>0</v>
      </c>
    </row>
    <row r="860" spans="1:7" ht="15">
      <c r="A860" s="84" t="s">
        <v>2774</v>
      </c>
      <c r="B860" s="83">
        <v>4</v>
      </c>
      <c r="C860" s="110">
        <v>0.010450497724828277</v>
      </c>
      <c r="D860" s="83" t="s">
        <v>2669</v>
      </c>
      <c r="E860" s="83" t="b">
        <v>0</v>
      </c>
      <c r="F860" s="83" t="b">
        <v>0</v>
      </c>
      <c r="G860" s="83" t="b">
        <v>0</v>
      </c>
    </row>
    <row r="861" spans="1:7" ht="15">
      <c r="A861" s="84" t="s">
        <v>2779</v>
      </c>
      <c r="B861" s="83">
        <v>4</v>
      </c>
      <c r="C861" s="110">
        <v>0.010450497724828277</v>
      </c>
      <c r="D861" s="83" t="s">
        <v>2669</v>
      </c>
      <c r="E861" s="83" t="b">
        <v>0</v>
      </c>
      <c r="F861" s="83" t="b">
        <v>0</v>
      </c>
      <c r="G861" s="83" t="b">
        <v>0</v>
      </c>
    </row>
    <row r="862" spans="1:7" ht="15">
      <c r="A862" s="84" t="s">
        <v>2915</v>
      </c>
      <c r="B862" s="83">
        <v>4</v>
      </c>
      <c r="C862" s="110">
        <v>0.01517253687249857</v>
      </c>
      <c r="D862" s="83" t="s">
        <v>2669</v>
      </c>
      <c r="E862" s="83" t="b">
        <v>0</v>
      </c>
      <c r="F862" s="83" t="b">
        <v>0</v>
      </c>
      <c r="G862" s="83" t="b">
        <v>0</v>
      </c>
    </row>
    <row r="863" spans="1:7" ht="15">
      <c r="A863" s="84" t="s">
        <v>2725</v>
      </c>
      <c r="B863" s="83">
        <v>4</v>
      </c>
      <c r="C863" s="110">
        <v>0.010450497724828277</v>
      </c>
      <c r="D863" s="83" t="s">
        <v>2669</v>
      </c>
      <c r="E863" s="83" t="b">
        <v>1</v>
      </c>
      <c r="F863" s="83" t="b">
        <v>0</v>
      </c>
      <c r="G863" s="83" t="b">
        <v>0</v>
      </c>
    </row>
    <row r="864" spans="1:7" ht="15">
      <c r="A864" s="84" t="s">
        <v>2727</v>
      </c>
      <c r="B864" s="83">
        <v>3</v>
      </c>
      <c r="C864" s="110">
        <v>0.008572807038375914</v>
      </c>
      <c r="D864" s="83" t="s">
        <v>2669</v>
      </c>
      <c r="E864" s="83" t="b">
        <v>0</v>
      </c>
      <c r="F864" s="83" t="b">
        <v>0</v>
      </c>
      <c r="G864" s="83" t="b">
        <v>0</v>
      </c>
    </row>
    <row r="865" spans="1:7" ht="15">
      <c r="A865" s="84" t="s">
        <v>3050</v>
      </c>
      <c r="B865" s="83">
        <v>3</v>
      </c>
      <c r="C865" s="110">
        <v>0.008572807038375914</v>
      </c>
      <c r="D865" s="83" t="s">
        <v>2669</v>
      </c>
      <c r="E865" s="83" t="b">
        <v>0</v>
      </c>
      <c r="F865" s="83" t="b">
        <v>0</v>
      </c>
      <c r="G865" s="83" t="b">
        <v>0</v>
      </c>
    </row>
    <row r="866" spans="1:7" ht="15">
      <c r="A866" s="84" t="s">
        <v>2785</v>
      </c>
      <c r="B866" s="83">
        <v>3</v>
      </c>
      <c r="C866" s="110">
        <v>0.009608637973997566</v>
      </c>
      <c r="D866" s="83" t="s">
        <v>2669</v>
      </c>
      <c r="E866" s="83" t="b">
        <v>0</v>
      </c>
      <c r="F866" s="83" t="b">
        <v>0</v>
      </c>
      <c r="G866" s="83" t="b">
        <v>0</v>
      </c>
    </row>
    <row r="867" spans="1:7" ht="15">
      <c r="A867" s="84" t="s">
        <v>2720</v>
      </c>
      <c r="B867" s="83">
        <v>3</v>
      </c>
      <c r="C867" s="110">
        <v>0.008572807038375914</v>
      </c>
      <c r="D867" s="83" t="s">
        <v>2669</v>
      </c>
      <c r="E867" s="83" t="b">
        <v>0</v>
      </c>
      <c r="F867" s="83" t="b">
        <v>0</v>
      </c>
      <c r="G867" s="83" t="b">
        <v>0</v>
      </c>
    </row>
    <row r="868" spans="1:7" ht="15">
      <c r="A868" s="84" t="s">
        <v>2778</v>
      </c>
      <c r="B868" s="83">
        <v>3</v>
      </c>
      <c r="C868" s="110">
        <v>0.008572807038375914</v>
      </c>
      <c r="D868" s="83" t="s">
        <v>2669</v>
      </c>
      <c r="E868" s="83" t="b">
        <v>0</v>
      </c>
      <c r="F868" s="83" t="b">
        <v>0</v>
      </c>
      <c r="G868" s="83" t="b">
        <v>0</v>
      </c>
    </row>
    <row r="869" spans="1:7" ht="15">
      <c r="A869" s="84" t="s">
        <v>2808</v>
      </c>
      <c r="B869" s="83">
        <v>3</v>
      </c>
      <c r="C869" s="110">
        <v>0.008572807038375914</v>
      </c>
      <c r="D869" s="83" t="s">
        <v>2669</v>
      </c>
      <c r="E869" s="83" t="b">
        <v>0</v>
      </c>
      <c r="F869" s="83" t="b">
        <v>0</v>
      </c>
      <c r="G869" s="83" t="b">
        <v>0</v>
      </c>
    </row>
    <row r="870" spans="1:7" ht="15">
      <c r="A870" s="84" t="s">
        <v>2745</v>
      </c>
      <c r="B870" s="83">
        <v>3</v>
      </c>
      <c r="C870" s="110">
        <v>0.008572807038375914</v>
      </c>
      <c r="D870" s="83" t="s">
        <v>2669</v>
      </c>
      <c r="E870" s="83" t="b">
        <v>0</v>
      </c>
      <c r="F870" s="83" t="b">
        <v>0</v>
      </c>
      <c r="G870" s="83" t="b">
        <v>0</v>
      </c>
    </row>
    <row r="871" spans="1:7" ht="15">
      <c r="A871" s="84" t="s">
        <v>2815</v>
      </c>
      <c r="B871" s="83">
        <v>3</v>
      </c>
      <c r="C871" s="110">
        <v>0.009608637973997566</v>
      </c>
      <c r="D871" s="83" t="s">
        <v>2669</v>
      </c>
      <c r="E871" s="83" t="b">
        <v>0</v>
      </c>
      <c r="F871" s="83" t="b">
        <v>0</v>
      </c>
      <c r="G871" s="83" t="b">
        <v>0</v>
      </c>
    </row>
    <row r="872" spans="1:7" ht="15">
      <c r="A872" s="84" t="s">
        <v>2761</v>
      </c>
      <c r="B872" s="83">
        <v>3</v>
      </c>
      <c r="C872" s="110">
        <v>0.008572807038375914</v>
      </c>
      <c r="D872" s="83" t="s">
        <v>2669</v>
      </c>
      <c r="E872" s="83" t="b">
        <v>0</v>
      </c>
      <c r="F872" s="83" t="b">
        <v>1</v>
      </c>
      <c r="G872" s="83" t="b">
        <v>0</v>
      </c>
    </row>
    <row r="873" spans="1:7" ht="15">
      <c r="A873" s="84" t="s">
        <v>2773</v>
      </c>
      <c r="B873" s="83">
        <v>3</v>
      </c>
      <c r="C873" s="110">
        <v>0.009608637973997566</v>
      </c>
      <c r="D873" s="83" t="s">
        <v>2669</v>
      </c>
      <c r="E873" s="83" t="b">
        <v>0</v>
      </c>
      <c r="F873" s="83" t="b">
        <v>0</v>
      </c>
      <c r="G873" s="83" t="b">
        <v>0</v>
      </c>
    </row>
    <row r="874" spans="1:7" ht="15">
      <c r="A874" s="84" t="s">
        <v>3051</v>
      </c>
      <c r="B874" s="83">
        <v>3</v>
      </c>
      <c r="C874" s="110">
        <v>0.009608637973997566</v>
      </c>
      <c r="D874" s="83" t="s">
        <v>2669</v>
      </c>
      <c r="E874" s="83" t="b">
        <v>0</v>
      </c>
      <c r="F874" s="83" t="b">
        <v>0</v>
      </c>
      <c r="G874" s="83" t="b">
        <v>0</v>
      </c>
    </row>
    <row r="875" spans="1:7" ht="15">
      <c r="A875" s="84" t="s">
        <v>2750</v>
      </c>
      <c r="B875" s="83">
        <v>3</v>
      </c>
      <c r="C875" s="110">
        <v>0.009608637973997566</v>
      </c>
      <c r="D875" s="83" t="s">
        <v>2669</v>
      </c>
      <c r="E875" s="83" t="b">
        <v>0</v>
      </c>
      <c r="F875" s="83" t="b">
        <v>0</v>
      </c>
      <c r="G875" s="83" t="b">
        <v>0</v>
      </c>
    </row>
    <row r="876" spans="1:7" ht="15">
      <c r="A876" s="84" t="s">
        <v>3052</v>
      </c>
      <c r="B876" s="83">
        <v>3</v>
      </c>
      <c r="C876" s="110">
        <v>0.011379402654373927</v>
      </c>
      <c r="D876" s="83" t="s">
        <v>2669</v>
      </c>
      <c r="E876" s="83" t="b">
        <v>0</v>
      </c>
      <c r="F876" s="83" t="b">
        <v>0</v>
      </c>
      <c r="G876" s="83" t="b">
        <v>0</v>
      </c>
    </row>
    <row r="877" spans="1:7" ht="15">
      <c r="A877" s="84" t="s">
        <v>3053</v>
      </c>
      <c r="B877" s="83">
        <v>3</v>
      </c>
      <c r="C877" s="110">
        <v>0.009608637973997566</v>
      </c>
      <c r="D877" s="83" t="s">
        <v>2669</v>
      </c>
      <c r="E877" s="83" t="b">
        <v>0</v>
      </c>
      <c r="F877" s="83" t="b">
        <v>0</v>
      </c>
      <c r="G877" s="83" t="b">
        <v>0</v>
      </c>
    </row>
    <row r="878" spans="1:7" ht="15">
      <c r="A878" s="84" t="s">
        <v>1110</v>
      </c>
      <c r="B878" s="83">
        <v>3</v>
      </c>
      <c r="C878" s="110">
        <v>0.008572807038375914</v>
      </c>
      <c r="D878" s="83" t="s">
        <v>2669</v>
      </c>
      <c r="E878" s="83" t="b">
        <v>1</v>
      </c>
      <c r="F878" s="83" t="b">
        <v>0</v>
      </c>
      <c r="G878" s="83" t="b">
        <v>0</v>
      </c>
    </row>
    <row r="879" spans="1:7" ht="15">
      <c r="A879" s="84" t="s">
        <v>2716</v>
      </c>
      <c r="B879" s="83">
        <v>3</v>
      </c>
      <c r="C879" s="110">
        <v>0.008572807038375914</v>
      </c>
      <c r="D879" s="83" t="s">
        <v>2669</v>
      </c>
      <c r="E879" s="83" t="b">
        <v>0</v>
      </c>
      <c r="F879" s="83" t="b">
        <v>0</v>
      </c>
      <c r="G879" s="83" t="b">
        <v>0</v>
      </c>
    </row>
    <row r="880" spans="1:7" ht="15">
      <c r="A880" s="84" t="s">
        <v>2743</v>
      </c>
      <c r="B880" s="83">
        <v>3</v>
      </c>
      <c r="C880" s="110">
        <v>0.008572807038375914</v>
      </c>
      <c r="D880" s="83" t="s">
        <v>2669</v>
      </c>
      <c r="E880" s="83" t="b">
        <v>0</v>
      </c>
      <c r="F880" s="83" t="b">
        <v>0</v>
      </c>
      <c r="G880" s="83" t="b">
        <v>0</v>
      </c>
    </row>
    <row r="881" spans="1:7" ht="15">
      <c r="A881" s="84" t="s">
        <v>3054</v>
      </c>
      <c r="B881" s="83">
        <v>3</v>
      </c>
      <c r="C881" s="110">
        <v>0.008572807038375914</v>
      </c>
      <c r="D881" s="83" t="s">
        <v>2669</v>
      </c>
      <c r="E881" s="83" t="b">
        <v>0</v>
      </c>
      <c r="F881" s="83" t="b">
        <v>0</v>
      </c>
      <c r="G881" s="83" t="b">
        <v>0</v>
      </c>
    </row>
    <row r="882" spans="1:7" ht="15">
      <c r="A882" s="84" t="s">
        <v>2731</v>
      </c>
      <c r="B882" s="83">
        <v>3</v>
      </c>
      <c r="C882" s="110">
        <v>0.008572807038375914</v>
      </c>
      <c r="D882" s="83" t="s">
        <v>2669</v>
      </c>
      <c r="E882" s="83" t="b">
        <v>0</v>
      </c>
      <c r="F882" s="83" t="b">
        <v>0</v>
      </c>
      <c r="G882" s="83" t="b">
        <v>0</v>
      </c>
    </row>
    <row r="883" spans="1:7" ht="15">
      <c r="A883" s="84" t="s">
        <v>2961</v>
      </c>
      <c r="B883" s="83">
        <v>2</v>
      </c>
      <c r="C883" s="110">
        <v>0.007586268436249285</v>
      </c>
      <c r="D883" s="83" t="s">
        <v>2669</v>
      </c>
      <c r="E883" s="83" t="b">
        <v>0</v>
      </c>
      <c r="F883" s="83" t="b">
        <v>0</v>
      </c>
      <c r="G883" s="83" t="b">
        <v>0</v>
      </c>
    </row>
    <row r="884" spans="1:7" ht="15">
      <c r="A884" s="84" t="s">
        <v>3008</v>
      </c>
      <c r="B884" s="83">
        <v>2</v>
      </c>
      <c r="C884" s="110">
        <v>0.006405758649331712</v>
      </c>
      <c r="D884" s="83" t="s">
        <v>2669</v>
      </c>
      <c r="E884" s="83" t="b">
        <v>0</v>
      </c>
      <c r="F884" s="83" t="b">
        <v>0</v>
      </c>
      <c r="G884" s="83" t="b">
        <v>0</v>
      </c>
    </row>
    <row r="885" spans="1:7" ht="15">
      <c r="A885" s="84" t="s">
        <v>2786</v>
      </c>
      <c r="B885" s="83">
        <v>2</v>
      </c>
      <c r="C885" s="110">
        <v>0.007586268436249285</v>
      </c>
      <c r="D885" s="83" t="s">
        <v>2669</v>
      </c>
      <c r="E885" s="83" t="b">
        <v>0</v>
      </c>
      <c r="F885" s="83" t="b">
        <v>0</v>
      </c>
      <c r="G885" s="83" t="b">
        <v>0</v>
      </c>
    </row>
    <row r="886" spans="1:7" ht="15">
      <c r="A886" s="84" t="s">
        <v>2823</v>
      </c>
      <c r="B886" s="83">
        <v>2</v>
      </c>
      <c r="C886" s="110">
        <v>0.006405758649331712</v>
      </c>
      <c r="D886" s="83" t="s">
        <v>2669</v>
      </c>
      <c r="E886" s="83" t="b">
        <v>0</v>
      </c>
      <c r="F886" s="83" t="b">
        <v>0</v>
      </c>
      <c r="G886" s="83" t="b">
        <v>0</v>
      </c>
    </row>
    <row r="887" spans="1:7" ht="15">
      <c r="A887" s="84" t="s">
        <v>2718</v>
      </c>
      <c r="B887" s="83">
        <v>2</v>
      </c>
      <c r="C887" s="110">
        <v>0.006405758649331712</v>
      </c>
      <c r="D887" s="83" t="s">
        <v>2669</v>
      </c>
      <c r="E887" s="83" t="b">
        <v>0</v>
      </c>
      <c r="F887" s="83" t="b">
        <v>0</v>
      </c>
      <c r="G887" s="83" t="b">
        <v>0</v>
      </c>
    </row>
    <row r="888" spans="1:7" ht="15">
      <c r="A888" s="84" t="s">
        <v>2780</v>
      </c>
      <c r="B888" s="83">
        <v>2</v>
      </c>
      <c r="C888" s="110">
        <v>0.007586268436249285</v>
      </c>
      <c r="D888" s="83" t="s">
        <v>2669</v>
      </c>
      <c r="E888" s="83" t="b">
        <v>0</v>
      </c>
      <c r="F888" s="83" t="b">
        <v>0</v>
      </c>
      <c r="G888" s="83" t="b">
        <v>0</v>
      </c>
    </row>
    <row r="889" spans="1:7" ht="15">
      <c r="A889" s="84" t="s">
        <v>3333</v>
      </c>
      <c r="B889" s="83">
        <v>2</v>
      </c>
      <c r="C889" s="110">
        <v>0.007586268436249285</v>
      </c>
      <c r="D889" s="83" t="s">
        <v>2669</v>
      </c>
      <c r="E889" s="83" t="b">
        <v>0</v>
      </c>
      <c r="F889" s="83" t="b">
        <v>0</v>
      </c>
      <c r="G889" s="83" t="b">
        <v>0</v>
      </c>
    </row>
    <row r="890" spans="1:7" ht="15">
      <c r="A890" s="84" t="s">
        <v>2885</v>
      </c>
      <c r="B890" s="83">
        <v>2</v>
      </c>
      <c r="C890" s="110">
        <v>0.006405758649331712</v>
      </c>
      <c r="D890" s="83" t="s">
        <v>2669</v>
      </c>
      <c r="E890" s="83" t="b">
        <v>0</v>
      </c>
      <c r="F890" s="83" t="b">
        <v>0</v>
      </c>
      <c r="G890" s="83" t="b">
        <v>0</v>
      </c>
    </row>
    <row r="891" spans="1:7" ht="15">
      <c r="A891" s="84" t="s">
        <v>2822</v>
      </c>
      <c r="B891" s="83">
        <v>2</v>
      </c>
      <c r="C891" s="110">
        <v>0.006405758649331712</v>
      </c>
      <c r="D891" s="83" t="s">
        <v>2669</v>
      </c>
      <c r="E891" s="83" t="b">
        <v>0</v>
      </c>
      <c r="F891" s="83" t="b">
        <v>0</v>
      </c>
      <c r="G891" s="83" t="b">
        <v>0</v>
      </c>
    </row>
    <row r="892" spans="1:7" ht="15">
      <c r="A892" s="84" t="s">
        <v>2744</v>
      </c>
      <c r="B892" s="83">
        <v>2</v>
      </c>
      <c r="C892" s="110">
        <v>0.006405758649331712</v>
      </c>
      <c r="D892" s="83" t="s">
        <v>2669</v>
      </c>
      <c r="E892" s="83" t="b">
        <v>0</v>
      </c>
      <c r="F892" s="83" t="b">
        <v>0</v>
      </c>
      <c r="G892" s="83" t="b">
        <v>0</v>
      </c>
    </row>
    <row r="893" spans="1:7" ht="15">
      <c r="A893" s="84" t="s">
        <v>2928</v>
      </c>
      <c r="B893" s="83">
        <v>2</v>
      </c>
      <c r="C893" s="110">
        <v>0.006405758649331712</v>
      </c>
      <c r="D893" s="83" t="s">
        <v>2669</v>
      </c>
      <c r="E893" s="83" t="b">
        <v>0</v>
      </c>
      <c r="F893" s="83" t="b">
        <v>0</v>
      </c>
      <c r="G893" s="83" t="b">
        <v>0</v>
      </c>
    </row>
    <row r="894" spans="1:7" ht="15">
      <c r="A894" s="84" t="s">
        <v>3044</v>
      </c>
      <c r="B894" s="83">
        <v>2</v>
      </c>
      <c r="C894" s="110">
        <v>0.006405758649331712</v>
      </c>
      <c r="D894" s="83" t="s">
        <v>2669</v>
      </c>
      <c r="E894" s="83" t="b">
        <v>0</v>
      </c>
      <c r="F894" s="83" t="b">
        <v>1</v>
      </c>
      <c r="G894" s="83" t="b">
        <v>0</v>
      </c>
    </row>
    <row r="895" spans="1:7" ht="15">
      <c r="A895" s="84" t="s">
        <v>3334</v>
      </c>
      <c r="B895" s="83">
        <v>2</v>
      </c>
      <c r="C895" s="110">
        <v>0.007586268436249285</v>
      </c>
      <c r="D895" s="83" t="s">
        <v>2669</v>
      </c>
      <c r="E895" s="83" t="b">
        <v>0</v>
      </c>
      <c r="F895" s="83" t="b">
        <v>0</v>
      </c>
      <c r="G895" s="83" t="b">
        <v>0</v>
      </c>
    </row>
    <row r="896" spans="1:7" ht="15">
      <c r="A896" s="84" t="s">
        <v>3335</v>
      </c>
      <c r="B896" s="83">
        <v>2</v>
      </c>
      <c r="C896" s="110">
        <v>0.006405758649331712</v>
      </c>
      <c r="D896" s="83" t="s">
        <v>2669</v>
      </c>
      <c r="E896" s="83" t="b">
        <v>0</v>
      </c>
      <c r="F896" s="83" t="b">
        <v>0</v>
      </c>
      <c r="G896" s="83" t="b">
        <v>0</v>
      </c>
    </row>
    <row r="897" spans="1:7" ht="15">
      <c r="A897" s="84" t="s">
        <v>2806</v>
      </c>
      <c r="B897" s="83">
        <v>2</v>
      </c>
      <c r="C897" s="110">
        <v>0.006405758649331712</v>
      </c>
      <c r="D897" s="83" t="s">
        <v>2669</v>
      </c>
      <c r="E897" s="83" t="b">
        <v>0</v>
      </c>
      <c r="F897" s="83" t="b">
        <v>0</v>
      </c>
      <c r="G897" s="83" t="b">
        <v>0</v>
      </c>
    </row>
    <row r="898" spans="1:7" ht="15">
      <c r="A898" s="84" t="s">
        <v>3336</v>
      </c>
      <c r="B898" s="83">
        <v>2</v>
      </c>
      <c r="C898" s="110">
        <v>0.007586268436249285</v>
      </c>
      <c r="D898" s="83" t="s">
        <v>2669</v>
      </c>
      <c r="E898" s="83" t="b">
        <v>0</v>
      </c>
      <c r="F898" s="83" t="b">
        <v>0</v>
      </c>
      <c r="G898" s="83" t="b">
        <v>0</v>
      </c>
    </row>
    <row r="899" spans="1:7" ht="15">
      <c r="A899" s="84" t="s">
        <v>3337</v>
      </c>
      <c r="B899" s="83">
        <v>2</v>
      </c>
      <c r="C899" s="110">
        <v>0.006405758649331712</v>
      </c>
      <c r="D899" s="83" t="s">
        <v>2669</v>
      </c>
      <c r="E899" s="83" t="b">
        <v>0</v>
      </c>
      <c r="F899" s="83" t="b">
        <v>1</v>
      </c>
      <c r="G899" s="83" t="b">
        <v>0</v>
      </c>
    </row>
    <row r="900" spans="1:7" ht="15">
      <c r="A900" s="84" t="s">
        <v>2754</v>
      </c>
      <c r="B900" s="83">
        <v>2</v>
      </c>
      <c r="C900" s="110">
        <v>0.006405758649331712</v>
      </c>
      <c r="D900" s="83" t="s">
        <v>2669</v>
      </c>
      <c r="E900" s="83" t="b">
        <v>1</v>
      </c>
      <c r="F900" s="83" t="b">
        <v>0</v>
      </c>
      <c r="G900" s="83" t="b">
        <v>0</v>
      </c>
    </row>
    <row r="901" spans="1:7" ht="15">
      <c r="A901" s="84" t="s">
        <v>2844</v>
      </c>
      <c r="B901" s="83">
        <v>2</v>
      </c>
      <c r="C901" s="110">
        <v>0.006405758649331712</v>
      </c>
      <c r="D901" s="83" t="s">
        <v>2669</v>
      </c>
      <c r="E901" s="83" t="b">
        <v>1</v>
      </c>
      <c r="F901" s="83" t="b">
        <v>0</v>
      </c>
      <c r="G901" s="83" t="b">
        <v>0</v>
      </c>
    </row>
    <row r="902" spans="1:7" ht="15">
      <c r="A902" s="84" t="s">
        <v>2893</v>
      </c>
      <c r="B902" s="83">
        <v>2</v>
      </c>
      <c r="C902" s="110">
        <v>0.006405758649331712</v>
      </c>
      <c r="D902" s="83" t="s">
        <v>2669</v>
      </c>
      <c r="E902" s="83" t="b">
        <v>0</v>
      </c>
      <c r="F902" s="83" t="b">
        <v>0</v>
      </c>
      <c r="G902" s="83" t="b">
        <v>0</v>
      </c>
    </row>
    <row r="903" spans="1:7" ht="15">
      <c r="A903" s="84" t="s">
        <v>3029</v>
      </c>
      <c r="B903" s="83">
        <v>2</v>
      </c>
      <c r="C903" s="110">
        <v>0.006405758649331712</v>
      </c>
      <c r="D903" s="83" t="s">
        <v>2669</v>
      </c>
      <c r="E903" s="83" t="b">
        <v>0</v>
      </c>
      <c r="F903" s="83" t="b">
        <v>0</v>
      </c>
      <c r="G903" s="83" t="b">
        <v>0</v>
      </c>
    </row>
    <row r="904" spans="1:7" ht="15">
      <c r="A904" s="84" t="s">
        <v>3338</v>
      </c>
      <c r="B904" s="83">
        <v>2</v>
      </c>
      <c r="C904" s="110">
        <v>0.006405758649331712</v>
      </c>
      <c r="D904" s="83" t="s">
        <v>2669</v>
      </c>
      <c r="E904" s="83" t="b">
        <v>1</v>
      </c>
      <c r="F904" s="83" t="b">
        <v>0</v>
      </c>
      <c r="G904" s="83" t="b">
        <v>0</v>
      </c>
    </row>
    <row r="905" spans="1:7" ht="15">
      <c r="A905" s="84" t="s">
        <v>2746</v>
      </c>
      <c r="B905" s="83">
        <v>2</v>
      </c>
      <c r="C905" s="110">
        <v>0.006405758649331712</v>
      </c>
      <c r="D905" s="83" t="s">
        <v>2669</v>
      </c>
      <c r="E905" s="83" t="b">
        <v>1</v>
      </c>
      <c r="F905" s="83" t="b">
        <v>0</v>
      </c>
      <c r="G905" s="83" t="b">
        <v>0</v>
      </c>
    </row>
    <row r="906" spans="1:7" ht="15">
      <c r="A906" s="84" t="s">
        <v>3339</v>
      </c>
      <c r="B906" s="83">
        <v>2</v>
      </c>
      <c r="C906" s="110">
        <v>0.007586268436249285</v>
      </c>
      <c r="D906" s="83" t="s">
        <v>2669</v>
      </c>
      <c r="E906" s="83" t="b">
        <v>0</v>
      </c>
      <c r="F906" s="83" t="b">
        <v>0</v>
      </c>
      <c r="G906" s="83" t="b">
        <v>0</v>
      </c>
    </row>
    <row r="907" spans="1:7" ht="15">
      <c r="A907" s="84" t="s">
        <v>2837</v>
      </c>
      <c r="B907" s="83">
        <v>2</v>
      </c>
      <c r="C907" s="110">
        <v>0.006405758649331712</v>
      </c>
      <c r="D907" s="83" t="s">
        <v>2669</v>
      </c>
      <c r="E907" s="83" t="b">
        <v>0</v>
      </c>
      <c r="F907" s="83" t="b">
        <v>0</v>
      </c>
      <c r="G907" s="83" t="b">
        <v>0</v>
      </c>
    </row>
    <row r="908" spans="1:7" ht="15">
      <c r="A908" s="84" t="s">
        <v>3340</v>
      </c>
      <c r="B908" s="83">
        <v>2</v>
      </c>
      <c r="C908" s="110">
        <v>0.006405758649331712</v>
      </c>
      <c r="D908" s="83" t="s">
        <v>2669</v>
      </c>
      <c r="E908" s="83" t="b">
        <v>0</v>
      </c>
      <c r="F908" s="83" t="b">
        <v>0</v>
      </c>
      <c r="G908" s="83" t="b">
        <v>0</v>
      </c>
    </row>
    <row r="909" spans="1:7" ht="15">
      <c r="A909" s="84" t="s">
        <v>2764</v>
      </c>
      <c r="B909" s="83">
        <v>2</v>
      </c>
      <c r="C909" s="110">
        <v>0.006405758649331712</v>
      </c>
      <c r="D909" s="83" t="s">
        <v>2669</v>
      </c>
      <c r="E909" s="83" t="b">
        <v>0</v>
      </c>
      <c r="F909" s="83" t="b">
        <v>0</v>
      </c>
      <c r="G909" s="83" t="b">
        <v>0</v>
      </c>
    </row>
    <row r="910" spans="1:7" ht="15">
      <c r="A910" s="84" t="s">
        <v>2836</v>
      </c>
      <c r="B910" s="83">
        <v>2</v>
      </c>
      <c r="C910" s="110">
        <v>0.006405758649331712</v>
      </c>
      <c r="D910" s="83" t="s">
        <v>2669</v>
      </c>
      <c r="E910" s="83" t="b">
        <v>0</v>
      </c>
      <c r="F910" s="83" t="b">
        <v>0</v>
      </c>
      <c r="G910" s="83" t="b">
        <v>0</v>
      </c>
    </row>
    <row r="911" spans="1:7" ht="15">
      <c r="A911" s="84" t="s">
        <v>2982</v>
      </c>
      <c r="B911" s="83">
        <v>2</v>
      </c>
      <c r="C911" s="110">
        <v>0.007586268436249285</v>
      </c>
      <c r="D911" s="83" t="s">
        <v>2669</v>
      </c>
      <c r="E911" s="83" t="b">
        <v>0</v>
      </c>
      <c r="F911" s="83" t="b">
        <v>0</v>
      </c>
      <c r="G911" s="83" t="b">
        <v>0</v>
      </c>
    </row>
    <row r="912" spans="1:7" ht="15">
      <c r="A912" s="84" t="s">
        <v>2740</v>
      </c>
      <c r="B912" s="83">
        <v>2</v>
      </c>
      <c r="C912" s="110">
        <v>0.006405758649331712</v>
      </c>
      <c r="D912" s="83" t="s">
        <v>2669</v>
      </c>
      <c r="E912" s="83" t="b">
        <v>0</v>
      </c>
      <c r="F912" s="83" t="b">
        <v>0</v>
      </c>
      <c r="G912" s="83" t="b">
        <v>0</v>
      </c>
    </row>
    <row r="913" spans="1:7" ht="15">
      <c r="A913" s="84" t="s">
        <v>2781</v>
      </c>
      <c r="B913" s="83">
        <v>2</v>
      </c>
      <c r="C913" s="110">
        <v>0.006405758649331712</v>
      </c>
      <c r="D913" s="83" t="s">
        <v>2669</v>
      </c>
      <c r="E913" s="83" t="b">
        <v>0</v>
      </c>
      <c r="F913" s="83" t="b">
        <v>0</v>
      </c>
      <c r="G913" s="83" t="b">
        <v>0</v>
      </c>
    </row>
    <row r="914" spans="1:7" ht="15">
      <c r="A914" s="84" t="s">
        <v>2887</v>
      </c>
      <c r="B914" s="83">
        <v>2</v>
      </c>
      <c r="C914" s="110">
        <v>0.006405758649331712</v>
      </c>
      <c r="D914" s="83" t="s">
        <v>2669</v>
      </c>
      <c r="E914" s="83" t="b">
        <v>0</v>
      </c>
      <c r="F914" s="83" t="b">
        <v>0</v>
      </c>
      <c r="G914" s="83" t="b">
        <v>0</v>
      </c>
    </row>
    <row r="915" spans="1:7" ht="15">
      <c r="A915" s="84" t="s">
        <v>2958</v>
      </c>
      <c r="B915" s="83">
        <v>2</v>
      </c>
      <c r="C915" s="110">
        <v>0.006405758649331712</v>
      </c>
      <c r="D915" s="83" t="s">
        <v>2669</v>
      </c>
      <c r="E915" s="83" t="b">
        <v>1</v>
      </c>
      <c r="F915" s="83" t="b">
        <v>0</v>
      </c>
      <c r="G915" s="83" t="b">
        <v>0</v>
      </c>
    </row>
    <row r="916" spans="1:7" ht="15">
      <c r="A916" s="84" t="s">
        <v>2990</v>
      </c>
      <c r="B916" s="83">
        <v>2</v>
      </c>
      <c r="C916" s="110">
        <v>0.006405758649331712</v>
      </c>
      <c r="D916" s="83" t="s">
        <v>2669</v>
      </c>
      <c r="E916" s="83" t="b">
        <v>0</v>
      </c>
      <c r="F916" s="83" t="b">
        <v>0</v>
      </c>
      <c r="G916" s="83" t="b">
        <v>0</v>
      </c>
    </row>
    <row r="917" spans="1:7" ht="15">
      <c r="A917" s="84" t="s">
        <v>2978</v>
      </c>
      <c r="B917" s="83">
        <v>2</v>
      </c>
      <c r="C917" s="110">
        <v>0.006405758649331712</v>
      </c>
      <c r="D917" s="83" t="s">
        <v>2669</v>
      </c>
      <c r="E917" s="83" t="b">
        <v>0</v>
      </c>
      <c r="F917" s="83" t="b">
        <v>0</v>
      </c>
      <c r="G917" s="83" t="b">
        <v>0</v>
      </c>
    </row>
    <row r="918" spans="1:7" ht="15">
      <c r="A918" s="84" t="s">
        <v>3341</v>
      </c>
      <c r="B918" s="83">
        <v>2</v>
      </c>
      <c r="C918" s="110">
        <v>0.006405758649331712</v>
      </c>
      <c r="D918" s="83" t="s">
        <v>2669</v>
      </c>
      <c r="E918" s="83" t="b">
        <v>0</v>
      </c>
      <c r="F918" s="83" t="b">
        <v>0</v>
      </c>
      <c r="G918" s="83" t="b">
        <v>0</v>
      </c>
    </row>
    <row r="919" spans="1:7" ht="15">
      <c r="A919" s="84" t="s">
        <v>3342</v>
      </c>
      <c r="B919" s="83">
        <v>2</v>
      </c>
      <c r="C919" s="110">
        <v>0.006405758649331712</v>
      </c>
      <c r="D919" s="83" t="s">
        <v>2669</v>
      </c>
      <c r="E919" s="83" t="b">
        <v>0</v>
      </c>
      <c r="F919" s="83" t="b">
        <v>0</v>
      </c>
      <c r="G919" s="83" t="b">
        <v>0</v>
      </c>
    </row>
    <row r="920" spans="1:7" ht="15">
      <c r="A920" s="84" t="s">
        <v>3343</v>
      </c>
      <c r="B920" s="83">
        <v>2</v>
      </c>
      <c r="C920" s="110">
        <v>0.006405758649331712</v>
      </c>
      <c r="D920" s="83" t="s">
        <v>2669</v>
      </c>
      <c r="E920" s="83" t="b">
        <v>0</v>
      </c>
      <c r="F920" s="83" t="b">
        <v>0</v>
      </c>
      <c r="G920" s="83" t="b">
        <v>0</v>
      </c>
    </row>
    <row r="921" spans="1:7" ht="15">
      <c r="A921" s="84" t="s">
        <v>2917</v>
      </c>
      <c r="B921" s="83">
        <v>2</v>
      </c>
      <c r="C921" s="110">
        <v>0.006405758649331712</v>
      </c>
      <c r="D921" s="83" t="s">
        <v>2669</v>
      </c>
      <c r="E921" s="83" t="b">
        <v>0</v>
      </c>
      <c r="F921" s="83" t="b">
        <v>0</v>
      </c>
      <c r="G921" s="83" t="b">
        <v>0</v>
      </c>
    </row>
    <row r="922" spans="1:7" ht="15">
      <c r="A922" s="84" t="s">
        <v>3344</v>
      </c>
      <c r="B922" s="83">
        <v>2</v>
      </c>
      <c r="C922" s="110">
        <v>0.007586268436249285</v>
      </c>
      <c r="D922" s="83" t="s">
        <v>2669</v>
      </c>
      <c r="E922" s="83" t="b">
        <v>0</v>
      </c>
      <c r="F922" s="83" t="b">
        <v>0</v>
      </c>
      <c r="G922" s="83" t="b">
        <v>0</v>
      </c>
    </row>
    <row r="923" spans="1:7" ht="15">
      <c r="A923" s="84" t="s">
        <v>3345</v>
      </c>
      <c r="B923" s="83">
        <v>2</v>
      </c>
      <c r="C923" s="110">
        <v>0.007586268436249285</v>
      </c>
      <c r="D923" s="83" t="s">
        <v>2669</v>
      </c>
      <c r="E923" s="83" t="b">
        <v>0</v>
      </c>
      <c r="F923" s="83" t="b">
        <v>0</v>
      </c>
      <c r="G923" s="83" t="b">
        <v>0</v>
      </c>
    </row>
    <row r="924" spans="1:7" ht="15">
      <c r="A924" s="84" t="s">
        <v>3022</v>
      </c>
      <c r="B924" s="83">
        <v>2</v>
      </c>
      <c r="C924" s="110">
        <v>0.007586268436249285</v>
      </c>
      <c r="D924" s="83" t="s">
        <v>2669</v>
      </c>
      <c r="E924" s="83" t="b">
        <v>0</v>
      </c>
      <c r="F924" s="83" t="b">
        <v>0</v>
      </c>
      <c r="G924" s="83" t="b">
        <v>0</v>
      </c>
    </row>
    <row r="925" spans="1:7" ht="15">
      <c r="A925" s="84" t="s">
        <v>3346</v>
      </c>
      <c r="B925" s="83">
        <v>2</v>
      </c>
      <c r="C925" s="110">
        <v>0.007586268436249285</v>
      </c>
      <c r="D925" s="83" t="s">
        <v>2669</v>
      </c>
      <c r="E925" s="83" t="b">
        <v>0</v>
      </c>
      <c r="F925" s="83" t="b">
        <v>0</v>
      </c>
      <c r="G925" s="83" t="b">
        <v>0</v>
      </c>
    </row>
    <row r="926" spans="1:7" ht="15">
      <c r="A926" s="84" t="s">
        <v>3347</v>
      </c>
      <c r="B926" s="83">
        <v>2</v>
      </c>
      <c r="C926" s="110">
        <v>0.006405758649331712</v>
      </c>
      <c r="D926" s="83" t="s">
        <v>2669</v>
      </c>
      <c r="E926" s="83" t="b">
        <v>0</v>
      </c>
      <c r="F926" s="83" t="b">
        <v>0</v>
      </c>
      <c r="G926" s="83" t="b">
        <v>0</v>
      </c>
    </row>
    <row r="927" spans="1:7" ht="15">
      <c r="A927" s="84" t="s">
        <v>2756</v>
      </c>
      <c r="B927" s="83">
        <v>6</v>
      </c>
      <c r="C927" s="110">
        <v>0.026451815514895366</v>
      </c>
      <c r="D927" s="83" t="s">
        <v>2670</v>
      </c>
      <c r="E927" s="83" t="b">
        <v>0</v>
      </c>
      <c r="F927" s="83" t="b">
        <v>0</v>
      </c>
      <c r="G927" s="83" t="b">
        <v>0</v>
      </c>
    </row>
    <row r="928" spans="1:7" ht="15">
      <c r="A928" s="84" t="s">
        <v>2827</v>
      </c>
      <c r="B928" s="83">
        <v>6</v>
      </c>
      <c r="C928" s="110">
        <v>0.026451815514895366</v>
      </c>
      <c r="D928" s="83" t="s">
        <v>2670</v>
      </c>
      <c r="E928" s="83" t="b">
        <v>0</v>
      </c>
      <c r="F928" s="83" t="b">
        <v>0</v>
      </c>
      <c r="G928" s="83" t="b">
        <v>0</v>
      </c>
    </row>
    <row r="929" spans="1:7" ht="15">
      <c r="A929" s="84" t="s">
        <v>2828</v>
      </c>
      <c r="B929" s="83">
        <v>6</v>
      </c>
      <c r="C929" s="110">
        <v>0.026451815514895366</v>
      </c>
      <c r="D929" s="83" t="s">
        <v>2670</v>
      </c>
      <c r="E929" s="83" t="b">
        <v>0</v>
      </c>
      <c r="F929" s="83" t="b">
        <v>0</v>
      </c>
      <c r="G929" s="83" t="b">
        <v>0</v>
      </c>
    </row>
    <row r="930" spans="1:7" ht="15">
      <c r="A930" s="84" t="s">
        <v>2796</v>
      </c>
      <c r="B930" s="83">
        <v>5</v>
      </c>
      <c r="C930" s="110">
        <v>0.023509498966998447</v>
      </c>
      <c r="D930" s="83" t="s">
        <v>2670</v>
      </c>
      <c r="E930" s="83" t="b">
        <v>0</v>
      </c>
      <c r="F930" s="83" t="b">
        <v>0</v>
      </c>
      <c r="G930" s="83" t="b">
        <v>0</v>
      </c>
    </row>
    <row r="931" spans="1:7" ht="15">
      <c r="A931" s="84" t="s">
        <v>2731</v>
      </c>
      <c r="B931" s="83">
        <v>5</v>
      </c>
      <c r="C931" s="110">
        <v>0.023509498966998447</v>
      </c>
      <c r="D931" s="83" t="s">
        <v>2670</v>
      </c>
      <c r="E931" s="83" t="b">
        <v>0</v>
      </c>
      <c r="F931" s="83" t="b">
        <v>0</v>
      </c>
      <c r="G931" s="83" t="b">
        <v>0</v>
      </c>
    </row>
    <row r="932" spans="1:7" ht="15">
      <c r="A932" s="84" t="s">
        <v>2730</v>
      </c>
      <c r="B932" s="83">
        <v>5</v>
      </c>
      <c r="C932" s="110">
        <v>0.027617809145079122</v>
      </c>
      <c r="D932" s="83" t="s">
        <v>2670</v>
      </c>
      <c r="E932" s="83" t="b">
        <v>0</v>
      </c>
      <c r="F932" s="83" t="b">
        <v>1</v>
      </c>
      <c r="G932" s="83" t="b">
        <v>0</v>
      </c>
    </row>
    <row r="933" spans="1:7" ht="15">
      <c r="A933" s="84" t="s">
        <v>2853</v>
      </c>
      <c r="B933" s="83">
        <v>5</v>
      </c>
      <c r="C933" s="110">
        <v>0.023509498966998447</v>
      </c>
      <c r="D933" s="83" t="s">
        <v>2670</v>
      </c>
      <c r="E933" s="83" t="b">
        <v>0</v>
      </c>
      <c r="F933" s="83" t="b">
        <v>0</v>
      </c>
      <c r="G933" s="83" t="b">
        <v>0</v>
      </c>
    </row>
    <row r="934" spans="1:7" ht="15">
      <c r="A934" s="84" t="s">
        <v>2854</v>
      </c>
      <c r="B934" s="83">
        <v>5</v>
      </c>
      <c r="C934" s="110">
        <v>0.023509498966998447</v>
      </c>
      <c r="D934" s="83" t="s">
        <v>2670</v>
      </c>
      <c r="E934" s="83" t="b">
        <v>0</v>
      </c>
      <c r="F934" s="83" t="b">
        <v>0</v>
      </c>
      <c r="G934" s="83" t="b">
        <v>0</v>
      </c>
    </row>
    <row r="935" spans="1:7" ht="15">
      <c r="A935" s="84" t="s">
        <v>2762</v>
      </c>
      <c r="B935" s="83">
        <v>4</v>
      </c>
      <c r="C935" s="110">
        <v>0.02024330307001441</v>
      </c>
      <c r="D935" s="83" t="s">
        <v>2670</v>
      </c>
      <c r="E935" s="83" t="b">
        <v>0</v>
      </c>
      <c r="F935" s="83" t="b">
        <v>0</v>
      </c>
      <c r="G935" s="83" t="b">
        <v>0</v>
      </c>
    </row>
    <row r="936" spans="1:7" ht="15">
      <c r="A936" s="84" t="s">
        <v>2725</v>
      </c>
      <c r="B936" s="83">
        <v>4</v>
      </c>
      <c r="C936" s="110">
        <v>0.02024330307001441</v>
      </c>
      <c r="D936" s="83" t="s">
        <v>2670</v>
      </c>
      <c r="E936" s="83" t="b">
        <v>1</v>
      </c>
      <c r="F936" s="83" t="b">
        <v>0</v>
      </c>
      <c r="G936" s="83" t="b">
        <v>0</v>
      </c>
    </row>
    <row r="937" spans="1:7" ht="15">
      <c r="A937" s="84" t="s">
        <v>2913</v>
      </c>
      <c r="B937" s="83">
        <v>4</v>
      </c>
      <c r="C937" s="110">
        <v>0.02024330307001441</v>
      </c>
      <c r="D937" s="83" t="s">
        <v>2670</v>
      </c>
      <c r="E937" s="83" t="b">
        <v>0</v>
      </c>
      <c r="F937" s="83" t="b">
        <v>0</v>
      </c>
      <c r="G937" s="83" t="b">
        <v>0</v>
      </c>
    </row>
    <row r="938" spans="1:7" ht="15">
      <c r="A938" s="84" t="s">
        <v>2718</v>
      </c>
      <c r="B938" s="83">
        <v>4</v>
      </c>
      <c r="C938" s="110">
        <v>0.02024330307001441</v>
      </c>
      <c r="D938" s="83" t="s">
        <v>2670</v>
      </c>
      <c r="E938" s="83" t="b">
        <v>0</v>
      </c>
      <c r="F938" s="83" t="b">
        <v>0</v>
      </c>
      <c r="G938" s="83" t="b">
        <v>0</v>
      </c>
    </row>
    <row r="939" spans="1:7" ht="15">
      <c r="A939" s="84" t="s">
        <v>2719</v>
      </c>
      <c r="B939" s="83">
        <v>4</v>
      </c>
      <c r="C939" s="110">
        <v>0.02024330307001441</v>
      </c>
      <c r="D939" s="83" t="s">
        <v>2670</v>
      </c>
      <c r="E939" s="83" t="b">
        <v>1</v>
      </c>
      <c r="F939" s="83" t="b">
        <v>0</v>
      </c>
      <c r="G939" s="83" t="b">
        <v>0</v>
      </c>
    </row>
    <row r="940" spans="1:7" ht="15">
      <c r="A940" s="84" t="s">
        <v>2723</v>
      </c>
      <c r="B940" s="83">
        <v>3</v>
      </c>
      <c r="C940" s="110">
        <v>0.018527255032110602</v>
      </c>
      <c r="D940" s="83" t="s">
        <v>2670</v>
      </c>
      <c r="E940" s="83" t="b">
        <v>0</v>
      </c>
      <c r="F940" s="83" t="b">
        <v>0</v>
      </c>
      <c r="G940" s="83" t="b">
        <v>0</v>
      </c>
    </row>
    <row r="941" spans="1:7" ht="15">
      <c r="A941" s="84" t="s">
        <v>2735</v>
      </c>
      <c r="B941" s="83">
        <v>3</v>
      </c>
      <c r="C941" s="110">
        <v>0.016570685487047473</v>
      </c>
      <c r="D941" s="83" t="s">
        <v>2670</v>
      </c>
      <c r="E941" s="83" t="b">
        <v>0</v>
      </c>
      <c r="F941" s="83" t="b">
        <v>0</v>
      </c>
      <c r="G941" s="83" t="b">
        <v>0</v>
      </c>
    </row>
    <row r="942" spans="1:7" ht="15">
      <c r="A942" s="84" t="s">
        <v>1030</v>
      </c>
      <c r="B942" s="83">
        <v>3</v>
      </c>
      <c r="C942" s="110">
        <v>0.016570685487047473</v>
      </c>
      <c r="D942" s="83" t="s">
        <v>2670</v>
      </c>
      <c r="E942" s="83" t="b">
        <v>1</v>
      </c>
      <c r="F942" s="83" t="b">
        <v>0</v>
      </c>
      <c r="G942" s="83" t="b">
        <v>0</v>
      </c>
    </row>
    <row r="943" spans="1:7" ht="15">
      <c r="A943" s="84" t="s">
        <v>2717</v>
      </c>
      <c r="B943" s="83">
        <v>2</v>
      </c>
      <c r="C943" s="110">
        <v>0.0123515033547404</v>
      </c>
      <c r="D943" s="83" t="s">
        <v>2670</v>
      </c>
      <c r="E943" s="83" t="b">
        <v>0</v>
      </c>
      <c r="F943" s="83" t="b">
        <v>0</v>
      </c>
      <c r="G943" s="83" t="b">
        <v>0</v>
      </c>
    </row>
    <row r="944" spans="1:7" ht="15">
      <c r="A944" s="84" t="s">
        <v>2721</v>
      </c>
      <c r="B944" s="83">
        <v>2</v>
      </c>
      <c r="C944" s="110">
        <v>0.0123515033547404</v>
      </c>
      <c r="D944" s="83" t="s">
        <v>2670</v>
      </c>
      <c r="E944" s="83" t="b">
        <v>0</v>
      </c>
      <c r="F944" s="83" t="b">
        <v>0</v>
      </c>
      <c r="G944" s="83" t="b">
        <v>0</v>
      </c>
    </row>
    <row r="945" spans="1:7" ht="15">
      <c r="A945" s="84" t="s">
        <v>2831</v>
      </c>
      <c r="B945" s="83">
        <v>2</v>
      </c>
      <c r="C945" s="110">
        <v>0.0123515033547404</v>
      </c>
      <c r="D945" s="83" t="s">
        <v>2670</v>
      </c>
      <c r="E945" s="83" t="b">
        <v>1</v>
      </c>
      <c r="F945" s="83" t="b">
        <v>0</v>
      </c>
      <c r="G945" s="83" t="b">
        <v>0</v>
      </c>
    </row>
    <row r="946" spans="1:7" ht="15">
      <c r="A946" s="84" t="s">
        <v>2797</v>
      </c>
      <c r="B946" s="83">
        <v>2</v>
      </c>
      <c r="C946" s="110">
        <v>0.0123515033547404</v>
      </c>
      <c r="D946" s="83" t="s">
        <v>2670</v>
      </c>
      <c r="E946" s="83" t="b">
        <v>0</v>
      </c>
      <c r="F946" s="83" t="b">
        <v>0</v>
      </c>
      <c r="G946" s="83" t="b">
        <v>0</v>
      </c>
    </row>
    <row r="947" spans="1:7" ht="15">
      <c r="A947" s="84" t="s">
        <v>3112</v>
      </c>
      <c r="B947" s="83">
        <v>2</v>
      </c>
      <c r="C947" s="110">
        <v>0.0123515033547404</v>
      </c>
      <c r="D947" s="83" t="s">
        <v>2670</v>
      </c>
      <c r="E947" s="83" t="b">
        <v>0</v>
      </c>
      <c r="F947" s="83" t="b">
        <v>0</v>
      </c>
      <c r="G947" s="83" t="b">
        <v>0</v>
      </c>
    </row>
    <row r="948" spans="1:7" ht="15">
      <c r="A948" s="84" t="s">
        <v>2810</v>
      </c>
      <c r="B948" s="83">
        <v>2</v>
      </c>
      <c r="C948" s="110">
        <v>0.0123515033547404</v>
      </c>
      <c r="D948" s="83" t="s">
        <v>2670</v>
      </c>
      <c r="E948" s="83" t="b">
        <v>1</v>
      </c>
      <c r="F948" s="83" t="b">
        <v>0</v>
      </c>
      <c r="G948" s="83" t="b">
        <v>0</v>
      </c>
    </row>
    <row r="949" spans="1:7" ht="15">
      <c r="A949" s="84" t="s">
        <v>3113</v>
      </c>
      <c r="B949" s="83">
        <v>2</v>
      </c>
      <c r="C949" s="110">
        <v>0.0123515033547404</v>
      </c>
      <c r="D949" s="83" t="s">
        <v>2670</v>
      </c>
      <c r="E949" s="83" t="b">
        <v>0</v>
      </c>
      <c r="F949" s="83" t="b">
        <v>0</v>
      </c>
      <c r="G949" s="83" t="b">
        <v>0</v>
      </c>
    </row>
    <row r="950" spans="1:7" ht="15">
      <c r="A950" s="84" t="s">
        <v>2960</v>
      </c>
      <c r="B950" s="83">
        <v>2</v>
      </c>
      <c r="C950" s="110">
        <v>0.0123515033547404</v>
      </c>
      <c r="D950" s="83" t="s">
        <v>2670</v>
      </c>
      <c r="E950" s="83" t="b">
        <v>0</v>
      </c>
      <c r="F950" s="83" t="b">
        <v>0</v>
      </c>
      <c r="G950" s="83" t="b">
        <v>0</v>
      </c>
    </row>
    <row r="951" spans="1:7" ht="15">
      <c r="A951" s="84" t="s">
        <v>2795</v>
      </c>
      <c r="B951" s="83">
        <v>2</v>
      </c>
      <c r="C951" s="110">
        <v>0.0123515033547404</v>
      </c>
      <c r="D951" s="83" t="s">
        <v>2670</v>
      </c>
      <c r="E951" s="83" t="b">
        <v>0</v>
      </c>
      <c r="F951" s="83" t="b">
        <v>0</v>
      </c>
      <c r="G951" s="83" t="b">
        <v>0</v>
      </c>
    </row>
    <row r="952" spans="1:7" ht="15">
      <c r="A952" s="84" t="s">
        <v>2778</v>
      </c>
      <c r="B952" s="83">
        <v>2</v>
      </c>
      <c r="C952" s="110">
        <v>0.0123515033547404</v>
      </c>
      <c r="D952" s="83" t="s">
        <v>2670</v>
      </c>
      <c r="E952" s="83" t="b">
        <v>0</v>
      </c>
      <c r="F952" s="83" t="b">
        <v>0</v>
      </c>
      <c r="G952" s="83" t="b">
        <v>0</v>
      </c>
    </row>
    <row r="953" spans="1:7" ht="15">
      <c r="A953" s="84" t="s">
        <v>2818</v>
      </c>
      <c r="B953" s="83">
        <v>2</v>
      </c>
      <c r="C953" s="110">
        <v>0.0123515033547404</v>
      </c>
      <c r="D953" s="83" t="s">
        <v>2670</v>
      </c>
      <c r="E953" s="83" t="b">
        <v>0</v>
      </c>
      <c r="F953" s="83" t="b">
        <v>0</v>
      </c>
      <c r="G953" s="83" t="b">
        <v>0</v>
      </c>
    </row>
    <row r="954" spans="1:7" ht="15">
      <c r="A954" s="84" t="s">
        <v>1110</v>
      </c>
      <c r="B954" s="83">
        <v>2</v>
      </c>
      <c r="C954" s="110">
        <v>0.0123515033547404</v>
      </c>
      <c r="D954" s="83" t="s">
        <v>2670</v>
      </c>
      <c r="E954" s="83" t="b">
        <v>1</v>
      </c>
      <c r="F954" s="83" t="b">
        <v>0</v>
      </c>
      <c r="G954" s="83" t="b">
        <v>0</v>
      </c>
    </row>
    <row r="955" spans="1:7" ht="15">
      <c r="A955" s="84" t="s">
        <v>2732</v>
      </c>
      <c r="B955" s="83">
        <v>2</v>
      </c>
      <c r="C955" s="110">
        <v>0.0123515033547404</v>
      </c>
      <c r="D955" s="83" t="s">
        <v>2670</v>
      </c>
      <c r="E955" s="83" t="b">
        <v>1</v>
      </c>
      <c r="F955" s="83" t="b">
        <v>0</v>
      </c>
      <c r="G955" s="83" t="b">
        <v>0</v>
      </c>
    </row>
    <row r="956" spans="1:7" ht="15">
      <c r="A956" s="84" t="s">
        <v>2877</v>
      </c>
      <c r="B956" s="83">
        <v>2</v>
      </c>
      <c r="C956" s="110">
        <v>0.0123515033547404</v>
      </c>
      <c r="D956" s="83" t="s">
        <v>2670</v>
      </c>
      <c r="E956" s="83" t="b">
        <v>1</v>
      </c>
      <c r="F956" s="83" t="b">
        <v>0</v>
      </c>
      <c r="G956" s="83" t="b">
        <v>0</v>
      </c>
    </row>
    <row r="957" spans="1:7" ht="15">
      <c r="A957" s="84" t="s">
        <v>3305</v>
      </c>
      <c r="B957" s="83">
        <v>2</v>
      </c>
      <c r="C957" s="110">
        <v>0.014581355174473593</v>
      </c>
      <c r="D957" s="83" t="s">
        <v>2670</v>
      </c>
      <c r="E957" s="83" t="b">
        <v>0</v>
      </c>
      <c r="F957" s="83" t="b">
        <v>0</v>
      </c>
      <c r="G957" s="83" t="b">
        <v>0</v>
      </c>
    </row>
    <row r="958" spans="1:7" ht="15">
      <c r="A958" s="84" t="s">
        <v>2769</v>
      </c>
      <c r="B958" s="83">
        <v>2</v>
      </c>
      <c r="C958" s="110">
        <v>0.0123515033547404</v>
      </c>
      <c r="D958" s="83" t="s">
        <v>2670</v>
      </c>
      <c r="E958" s="83" t="b">
        <v>0</v>
      </c>
      <c r="F958" s="83" t="b">
        <v>0</v>
      </c>
      <c r="G958" s="83" t="b">
        <v>0</v>
      </c>
    </row>
    <row r="959" spans="1:7" ht="15">
      <c r="A959" s="84" t="s">
        <v>2974</v>
      </c>
      <c r="B959" s="83">
        <v>2</v>
      </c>
      <c r="C959" s="110">
        <v>0.0123515033547404</v>
      </c>
      <c r="D959" s="83" t="s">
        <v>2670</v>
      </c>
      <c r="E959" s="83" t="b">
        <v>0</v>
      </c>
      <c r="F959" s="83" t="b">
        <v>0</v>
      </c>
      <c r="G959" s="83" t="b">
        <v>0</v>
      </c>
    </row>
    <row r="960" spans="1:7" ht="15">
      <c r="A960" s="84" t="s">
        <v>2740</v>
      </c>
      <c r="B960" s="83">
        <v>2</v>
      </c>
      <c r="C960" s="110">
        <v>0.0123515033547404</v>
      </c>
      <c r="D960" s="83" t="s">
        <v>2670</v>
      </c>
      <c r="E960" s="83" t="b">
        <v>0</v>
      </c>
      <c r="F960" s="83" t="b">
        <v>0</v>
      </c>
      <c r="G960" s="83" t="b">
        <v>0</v>
      </c>
    </row>
    <row r="961" spans="1:7" ht="15">
      <c r="A961" s="84" t="s">
        <v>2876</v>
      </c>
      <c r="B961" s="83">
        <v>2</v>
      </c>
      <c r="C961" s="110">
        <v>0.0123515033547404</v>
      </c>
      <c r="D961" s="83" t="s">
        <v>2670</v>
      </c>
      <c r="E961" s="83" t="b">
        <v>1</v>
      </c>
      <c r="F961" s="83" t="b">
        <v>0</v>
      </c>
      <c r="G961" s="83" t="b">
        <v>0</v>
      </c>
    </row>
    <row r="962" spans="1:7" ht="15">
      <c r="A962" s="84" t="s">
        <v>3307</v>
      </c>
      <c r="B962" s="83">
        <v>2</v>
      </c>
      <c r="C962" s="110">
        <v>0.0123515033547404</v>
      </c>
      <c r="D962" s="83" t="s">
        <v>2670</v>
      </c>
      <c r="E962" s="83" t="b">
        <v>0</v>
      </c>
      <c r="F962" s="83" t="b">
        <v>0</v>
      </c>
      <c r="G962" s="83" t="b">
        <v>0</v>
      </c>
    </row>
    <row r="963" spans="1:7" ht="15">
      <c r="A963" s="84" t="s">
        <v>2757</v>
      </c>
      <c r="B963" s="83">
        <v>2</v>
      </c>
      <c r="C963" s="110">
        <v>0.0123515033547404</v>
      </c>
      <c r="D963" s="83" t="s">
        <v>2670</v>
      </c>
      <c r="E963" s="83" t="b">
        <v>0</v>
      </c>
      <c r="F963" s="83" t="b">
        <v>0</v>
      </c>
      <c r="G963" s="83" t="b">
        <v>0</v>
      </c>
    </row>
    <row r="964" spans="1:7" ht="15">
      <c r="A964" s="84" t="s">
        <v>2753</v>
      </c>
      <c r="B964" s="83">
        <v>2</v>
      </c>
      <c r="C964" s="110">
        <v>0.014581355174473593</v>
      </c>
      <c r="D964" s="83" t="s">
        <v>2670</v>
      </c>
      <c r="E964" s="83" t="b">
        <v>0</v>
      </c>
      <c r="F964" s="83" t="b">
        <v>0</v>
      </c>
      <c r="G964" s="83" t="b">
        <v>0</v>
      </c>
    </row>
    <row r="965" spans="1:7" ht="15">
      <c r="A965" s="84" t="s">
        <v>3309</v>
      </c>
      <c r="B965" s="83">
        <v>2</v>
      </c>
      <c r="C965" s="110">
        <v>0.014581355174473593</v>
      </c>
      <c r="D965" s="83" t="s">
        <v>2670</v>
      </c>
      <c r="E965" s="83" t="b">
        <v>0</v>
      </c>
      <c r="F965" s="83" t="b">
        <v>0</v>
      </c>
      <c r="G965" s="83" t="b">
        <v>0</v>
      </c>
    </row>
    <row r="966" spans="1:7" ht="15">
      <c r="A966" s="84" t="s">
        <v>2870</v>
      </c>
      <c r="B966" s="83">
        <v>2</v>
      </c>
      <c r="C966" s="110">
        <v>0.0123515033547404</v>
      </c>
      <c r="D966" s="83" t="s">
        <v>2670</v>
      </c>
      <c r="E966" s="83" t="b">
        <v>0</v>
      </c>
      <c r="F966" s="83" t="b">
        <v>1</v>
      </c>
      <c r="G966" s="83" t="b">
        <v>0</v>
      </c>
    </row>
    <row r="967" spans="1:7" ht="15">
      <c r="A967" s="84" t="s">
        <v>2935</v>
      </c>
      <c r="B967" s="83">
        <v>2</v>
      </c>
      <c r="C967" s="110">
        <v>0.0123515033547404</v>
      </c>
      <c r="D967" s="83" t="s">
        <v>2670</v>
      </c>
      <c r="E967" s="83" t="b">
        <v>0</v>
      </c>
      <c r="F967" s="83" t="b">
        <v>0</v>
      </c>
      <c r="G967" s="83" t="b">
        <v>0</v>
      </c>
    </row>
    <row r="968" spans="1:7" ht="15">
      <c r="A968" s="84" t="s">
        <v>2765</v>
      </c>
      <c r="B968" s="83">
        <v>2</v>
      </c>
      <c r="C968" s="110">
        <v>0.0123515033547404</v>
      </c>
      <c r="D968" s="83" t="s">
        <v>2670</v>
      </c>
      <c r="E968" s="83" t="b">
        <v>0</v>
      </c>
      <c r="F968" s="83" t="b">
        <v>0</v>
      </c>
      <c r="G968" s="83" t="b">
        <v>0</v>
      </c>
    </row>
    <row r="969" spans="1:7" ht="15">
      <c r="A969" s="84" t="s">
        <v>2791</v>
      </c>
      <c r="B969" s="83">
        <v>2</v>
      </c>
      <c r="C969" s="110">
        <v>0.0123515033547404</v>
      </c>
      <c r="D969" s="83" t="s">
        <v>2670</v>
      </c>
      <c r="E969" s="83" t="b">
        <v>0</v>
      </c>
      <c r="F969" s="83" t="b">
        <v>0</v>
      </c>
      <c r="G969" s="83" t="b">
        <v>0</v>
      </c>
    </row>
    <row r="970" spans="1:7" ht="15">
      <c r="A970" s="84" t="s">
        <v>3314</v>
      </c>
      <c r="B970" s="83">
        <v>2</v>
      </c>
      <c r="C970" s="110">
        <v>0.0123515033547404</v>
      </c>
      <c r="D970" s="83" t="s">
        <v>2670</v>
      </c>
      <c r="E970" s="83" t="b">
        <v>0</v>
      </c>
      <c r="F970" s="83" t="b">
        <v>0</v>
      </c>
      <c r="G970" s="83" t="b">
        <v>0</v>
      </c>
    </row>
    <row r="971" spans="1:7" ht="15">
      <c r="A971" s="84" t="s">
        <v>3313</v>
      </c>
      <c r="B971" s="83">
        <v>2</v>
      </c>
      <c r="C971" s="110">
        <v>0.0123515033547404</v>
      </c>
      <c r="D971" s="83" t="s">
        <v>2670</v>
      </c>
      <c r="E971" s="83" t="b">
        <v>0</v>
      </c>
      <c r="F971" s="83" t="b">
        <v>0</v>
      </c>
      <c r="G971" s="83" t="b">
        <v>0</v>
      </c>
    </row>
    <row r="972" spans="1:7" ht="15">
      <c r="A972" s="84" t="s">
        <v>3312</v>
      </c>
      <c r="B972" s="83">
        <v>2</v>
      </c>
      <c r="C972" s="110">
        <v>0.0123515033547404</v>
      </c>
      <c r="D972" s="83" t="s">
        <v>2670</v>
      </c>
      <c r="E972" s="83" t="b">
        <v>0</v>
      </c>
      <c r="F972" s="83" t="b">
        <v>0</v>
      </c>
      <c r="G972" s="83" t="b">
        <v>0</v>
      </c>
    </row>
    <row r="973" spans="1:7" ht="15">
      <c r="A973" s="84" t="s">
        <v>3315</v>
      </c>
      <c r="B973" s="83">
        <v>2</v>
      </c>
      <c r="C973" s="110">
        <v>0.0123515033547404</v>
      </c>
      <c r="D973" s="83" t="s">
        <v>2670</v>
      </c>
      <c r="E973" s="83" t="b">
        <v>0</v>
      </c>
      <c r="F973" s="83" t="b">
        <v>0</v>
      </c>
      <c r="G973" s="83" t="b">
        <v>0</v>
      </c>
    </row>
    <row r="974" spans="1:7" ht="15">
      <c r="A974" s="84" t="s">
        <v>2740</v>
      </c>
      <c r="B974" s="83">
        <v>7</v>
      </c>
      <c r="C974" s="110">
        <v>0.021255968052345652</v>
      </c>
      <c r="D974" s="83" t="s">
        <v>2671</v>
      </c>
      <c r="E974" s="83" t="b">
        <v>0</v>
      </c>
      <c r="F974" s="83" t="b">
        <v>0</v>
      </c>
      <c r="G974" s="83" t="b">
        <v>0</v>
      </c>
    </row>
    <row r="975" spans="1:7" ht="15">
      <c r="A975" s="84" t="s">
        <v>2717</v>
      </c>
      <c r="B975" s="83">
        <v>6</v>
      </c>
      <c r="C975" s="110">
        <v>0.014408894913497233</v>
      </c>
      <c r="D975" s="83" t="s">
        <v>2671</v>
      </c>
      <c r="E975" s="83" t="b">
        <v>0</v>
      </c>
      <c r="F975" s="83" t="b">
        <v>0</v>
      </c>
      <c r="G975" s="83" t="b">
        <v>0</v>
      </c>
    </row>
    <row r="976" spans="1:7" ht="15">
      <c r="A976" s="84" t="s">
        <v>2721</v>
      </c>
      <c r="B976" s="83">
        <v>6</v>
      </c>
      <c r="C976" s="110">
        <v>0.014408894913497233</v>
      </c>
      <c r="D976" s="83" t="s">
        <v>2671</v>
      </c>
      <c r="E976" s="83" t="b">
        <v>0</v>
      </c>
      <c r="F976" s="83" t="b">
        <v>0</v>
      </c>
      <c r="G976" s="83" t="b">
        <v>0</v>
      </c>
    </row>
    <row r="977" spans="1:7" ht="15">
      <c r="A977" s="84" t="s">
        <v>2738</v>
      </c>
      <c r="B977" s="83">
        <v>5</v>
      </c>
      <c r="C977" s="110">
        <v>0.015182834323104036</v>
      </c>
      <c r="D977" s="83" t="s">
        <v>2671</v>
      </c>
      <c r="E977" s="83" t="b">
        <v>0</v>
      </c>
      <c r="F977" s="83" t="b">
        <v>0</v>
      </c>
      <c r="G977" s="83" t="b">
        <v>0</v>
      </c>
    </row>
    <row r="978" spans="1:7" ht="15">
      <c r="A978" s="84" t="s">
        <v>2720</v>
      </c>
      <c r="B978" s="83">
        <v>5</v>
      </c>
      <c r="C978" s="110">
        <v>0.010985154906732332</v>
      </c>
      <c r="D978" s="83" t="s">
        <v>2671</v>
      </c>
      <c r="E978" s="83" t="b">
        <v>0</v>
      </c>
      <c r="F978" s="83" t="b">
        <v>0</v>
      </c>
      <c r="G978" s="83" t="b">
        <v>0</v>
      </c>
    </row>
    <row r="979" spans="1:7" ht="15">
      <c r="A979" s="84" t="s">
        <v>2847</v>
      </c>
      <c r="B979" s="83">
        <v>5</v>
      </c>
      <c r="C979" s="110">
        <v>0.01835825621829371</v>
      </c>
      <c r="D979" s="83" t="s">
        <v>2671</v>
      </c>
      <c r="E979" s="83" t="b">
        <v>0</v>
      </c>
      <c r="F979" s="83" t="b">
        <v>0</v>
      </c>
      <c r="G979" s="83" t="b">
        <v>0</v>
      </c>
    </row>
    <row r="980" spans="1:7" ht="15">
      <c r="A980" s="84" t="s">
        <v>2718</v>
      </c>
      <c r="B980" s="83">
        <v>5</v>
      </c>
      <c r="C980" s="110">
        <v>0.01200741242791436</v>
      </c>
      <c r="D980" s="83" t="s">
        <v>2671</v>
      </c>
      <c r="E980" s="83" t="b">
        <v>0</v>
      </c>
      <c r="F980" s="83" t="b">
        <v>0</v>
      </c>
      <c r="G980" s="83" t="b">
        <v>0</v>
      </c>
    </row>
    <row r="981" spans="1:7" ht="15">
      <c r="A981" s="84" t="s">
        <v>2769</v>
      </c>
      <c r="B981" s="83">
        <v>5</v>
      </c>
      <c r="C981" s="110">
        <v>0.01332533159044917</v>
      </c>
      <c r="D981" s="83" t="s">
        <v>2671</v>
      </c>
      <c r="E981" s="83" t="b">
        <v>0</v>
      </c>
      <c r="F981" s="83" t="b">
        <v>0</v>
      </c>
      <c r="G981" s="83" t="b">
        <v>0</v>
      </c>
    </row>
    <row r="982" spans="1:7" ht="15">
      <c r="A982" s="84" t="s">
        <v>2788</v>
      </c>
      <c r="B982" s="83">
        <v>4</v>
      </c>
      <c r="C982" s="110">
        <v>0.012146267458483228</v>
      </c>
      <c r="D982" s="83" t="s">
        <v>2671</v>
      </c>
      <c r="E982" s="83" t="b">
        <v>0</v>
      </c>
      <c r="F982" s="83" t="b">
        <v>1</v>
      </c>
      <c r="G982" s="83" t="b">
        <v>0</v>
      </c>
    </row>
    <row r="983" spans="1:7" ht="15">
      <c r="A983" s="84" t="s">
        <v>2821</v>
      </c>
      <c r="B983" s="83">
        <v>4</v>
      </c>
      <c r="C983" s="110">
        <v>0.012146267458483228</v>
      </c>
      <c r="D983" s="83" t="s">
        <v>2671</v>
      </c>
      <c r="E983" s="83" t="b">
        <v>0</v>
      </c>
      <c r="F983" s="83" t="b">
        <v>1</v>
      </c>
      <c r="G983" s="83" t="b">
        <v>0</v>
      </c>
    </row>
    <row r="984" spans="1:7" ht="15">
      <c r="A984" s="84" t="s">
        <v>2737</v>
      </c>
      <c r="B984" s="83">
        <v>4</v>
      </c>
      <c r="C984" s="110">
        <v>0.012146267458483228</v>
      </c>
      <c r="D984" s="83" t="s">
        <v>2671</v>
      </c>
      <c r="E984" s="83" t="b">
        <v>0</v>
      </c>
      <c r="F984" s="83" t="b">
        <v>0</v>
      </c>
      <c r="G984" s="83" t="b">
        <v>0</v>
      </c>
    </row>
    <row r="985" spans="1:7" ht="15">
      <c r="A985" s="84" t="s">
        <v>2797</v>
      </c>
      <c r="B985" s="83">
        <v>4</v>
      </c>
      <c r="C985" s="110">
        <v>0.010660265272359335</v>
      </c>
      <c r="D985" s="83" t="s">
        <v>2671</v>
      </c>
      <c r="E985" s="83" t="b">
        <v>0</v>
      </c>
      <c r="F985" s="83" t="b">
        <v>0</v>
      </c>
      <c r="G985" s="83" t="b">
        <v>0</v>
      </c>
    </row>
    <row r="986" spans="1:7" ht="15">
      <c r="A986" s="84" t="s">
        <v>2903</v>
      </c>
      <c r="B986" s="83">
        <v>4</v>
      </c>
      <c r="C986" s="110">
        <v>0.014686604974634969</v>
      </c>
      <c r="D986" s="83" t="s">
        <v>2671</v>
      </c>
      <c r="E986" s="83" t="b">
        <v>0</v>
      </c>
      <c r="F986" s="83" t="b">
        <v>0</v>
      </c>
      <c r="G986" s="83" t="b">
        <v>0</v>
      </c>
    </row>
    <row r="987" spans="1:7" ht="15">
      <c r="A987" s="84" t="s">
        <v>2781</v>
      </c>
      <c r="B987" s="83">
        <v>4</v>
      </c>
      <c r="C987" s="110">
        <v>0.012146267458483228</v>
      </c>
      <c r="D987" s="83" t="s">
        <v>2671</v>
      </c>
      <c r="E987" s="83" t="b">
        <v>0</v>
      </c>
      <c r="F987" s="83" t="b">
        <v>0</v>
      </c>
      <c r="G987" s="83" t="b">
        <v>0</v>
      </c>
    </row>
    <row r="988" spans="1:7" ht="15">
      <c r="A988" s="84" t="s">
        <v>2772</v>
      </c>
      <c r="B988" s="83">
        <v>4</v>
      </c>
      <c r="C988" s="110">
        <v>0.010660265272359335</v>
      </c>
      <c r="D988" s="83" t="s">
        <v>2671</v>
      </c>
      <c r="E988" s="83" t="b">
        <v>0</v>
      </c>
      <c r="F988" s="83" t="b">
        <v>0</v>
      </c>
      <c r="G988" s="83" t="b">
        <v>0</v>
      </c>
    </row>
    <row r="989" spans="1:7" ht="15">
      <c r="A989" s="84" t="s">
        <v>2723</v>
      </c>
      <c r="B989" s="83">
        <v>3</v>
      </c>
      <c r="C989" s="110">
        <v>0.009109700593862421</v>
      </c>
      <c r="D989" s="83" t="s">
        <v>2671</v>
      </c>
      <c r="E989" s="83" t="b">
        <v>0</v>
      </c>
      <c r="F989" s="83" t="b">
        <v>0</v>
      </c>
      <c r="G989" s="83" t="b">
        <v>0</v>
      </c>
    </row>
    <row r="990" spans="1:7" ht="15">
      <c r="A990" s="84" t="s">
        <v>3007</v>
      </c>
      <c r="B990" s="83">
        <v>3</v>
      </c>
      <c r="C990" s="110">
        <v>0.011014953730976227</v>
      </c>
      <c r="D990" s="83" t="s">
        <v>2671</v>
      </c>
      <c r="E990" s="83" t="b">
        <v>0</v>
      </c>
      <c r="F990" s="83" t="b">
        <v>0</v>
      </c>
      <c r="G990" s="83" t="b">
        <v>0</v>
      </c>
    </row>
    <row r="991" spans="1:7" ht="15">
      <c r="A991" s="84" t="s">
        <v>2773</v>
      </c>
      <c r="B991" s="83">
        <v>3</v>
      </c>
      <c r="C991" s="110">
        <v>0.009109700593862421</v>
      </c>
      <c r="D991" s="83" t="s">
        <v>2671</v>
      </c>
      <c r="E991" s="83" t="b">
        <v>0</v>
      </c>
      <c r="F991" s="83" t="b">
        <v>0</v>
      </c>
      <c r="G991" s="83" t="b">
        <v>0</v>
      </c>
    </row>
    <row r="992" spans="1:7" ht="15">
      <c r="A992" s="84" t="s">
        <v>3015</v>
      </c>
      <c r="B992" s="83">
        <v>3</v>
      </c>
      <c r="C992" s="110">
        <v>0.009109700593862421</v>
      </c>
      <c r="D992" s="83" t="s">
        <v>2671</v>
      </c>
      <c r="E992" s="83" t="b">
        <v>0</v>
      </c>
      <c r="F992" s="83" t="b">
        <v>0</v>
      </c>
      <c r="G992" s="83" t="b">
        <v>0</v>
      </c>
    </row>
    <row r="993" spans="1:7" ht="15">
      <c r="A993" s="84" t="s">
        <v>2724</v>
      </c>
      <c r="B993" s="83">
        <v>3</v>
      </c>
      <c r="C993" s="110">
        <v>0.011014953730976227</v>
      </c>
      <c r="D993" s="83" t="s">
        <v>2671</v>
      </c>
      <c r="E993" s="83" t="b">
        <v>0</v>
      </c>
      <c r="F993" s="83" t="b">
        <v>0</v>
      </c>
      <c r="G993" s="83" t="b">
        <v>0</v>
      </c>
    </row>
    <row r="994" spans="1:7" ht="15">
      <c r="A994" s="84" t="s">
        <v>3019</v>
      </c>
      <c r="B994" s="83">
        <v>3</v>
      </c>
      <c r="C994" s="110">
        <v>0.011014953730976227</v>
      </c>
      <c r="D994" s="83" t="s">
        <v>2671</v>
      </c>
      <c r="E994" s="83" t="b">
        <v>0</v>
      </c>
      <c r="F994" s="83" t="b">
        <v>1</v>
      </c>
      <c r="G994" s="83" t="b">
        <v>0</v>
      </c>
    </row>
    <row r="995" spans="1:7" ht="15">
      <c r="A995" s="84" t="s">
        <v>3021</v>
      </c>
      <c r="B995" s="83">
        <v>3</v>
      </c>
      <c r="C995" s="110">
        <v>0.011014953730976227</v>
      </c>
      <c r="D995" s="83" t="s">
        <v>2671</v>
      </c>
      <c r="E995" s="83" t="b">
        <v>0</v>
      </c>
      <c r="F995" s="83" t="b">
        <v>0</v>
      </c>
      <c r="G995" s="83" t="b">
        <v>0</v>
      </c>
    </row>
    <row r="996" spans="1:7" ht="15">
      <c r="A996" s="84" t="s">
        <v>2722</v>
      </c>
      <c r="B996" s="83">
        <v>3</v>
      </c>
      <c r="C996" s="110">
        <v>0.009109700593862421</v>
      </c>
      <c r="D996" s="83" t="s">
        <v>2671</v>
      </c>
      <c r="E996" s="83" t="b">
        <v>0</v>
      </c>
      <c r="F996" s="83" t="b">
        <v>0</v>
      </c>
      <c r="G996" s="83" t="b">
        <v>0</v>
      </c>
    </row>
    <row r="997" spans="1:7" ht="15">
      <c r="A997" s="84" t="s">
        <v>2756</v>
      </c>
      <c r="B997" s="83">
        <v>2</v>
      </c>
      <c r="C997" s="110">
        <v>0.006073133729241614</v>
      </c>
      <c r="D997" s="83" t="s">
        <v>2671</v>
      </c>
      <c r="E997" s="83" t="b">
        <v>0</v>
      </c>
      <c r="F997" s="83" t="b">
        <v>0</v>
      </c>
      <c r="G997" s="83" t="b">
        <v>0</v>
      </c>
    </row>
    <row r="998" spans="1:7" ht="15">
      <c r="A998" s="84" t="s">
        <v>1110</v>
      </c>
      <c r="B998" s="83">
        <v>2</v>
      </c>
      <c r="C998" s="110">
        <v>0.006073133729241614</v>
      </c>
      <c r="D998" s="83" t="s">
        <v>2671</v>
      </c>
      <c r="E998" s="83" t="b">
        <v>1</v>
      </c>
      <c r="F998" s="83" t="b">
        <v>0</v>
      </c>
      <c r="G998" s="83" t="b">
        <v>0</v>
      </c>
    </row>
    <row r="999" spans="1:7" ht="15">
      <c r="A999" s="84" t="s">
        <v>3106</v>
      </c>
      <c r="B999" s="83">
        <v>2</v>
      </c>
      <c r="C999" s="110">
        <v>0.006073133729241614</v>
      </c>
      <c r="D999" s="83" t="s">
        <v>2671</v>
      </c>
      <c r="E999" s="83" t="b">
        <v>0</v>
      </c>
      <c r="F999" s="83" t="b">
        <v>0</v>
      </c>
      <c r="G999" s="83" t="b">
        <v>0</v>
      </c>
    </row>
    <row r="1000" spans="1:7" ht="15">
      <c r="A1000" s="84" t="s">
        <v>3107</v>
      </c>
      <c r="B1000" s="83">
        <v>2</v>
      </c>
      <c r="C1000" s="110">
        <v>0.006073133729241614</v>
      </c>
      <c r="D1000" s="83" t="s">
        <v>2671</v>
      </c>
      <c r="E1000" s="83" t="b">
        <v>0</v>
      </c>
      <c r="F1000" s="83" t="b">
        <v>0</v>
      </c>
      <c r="G1000" s="83" t="b">
        <v>0</v>
      </c>
    </row>
    <row r="1001" spans="1:7" ht="15">
      <c r="A1001" s="84" t="s">
        <v>3108</v>
      </c>
      <c r="B1001" s="83">
        <v>2</v>
      </c>
      <c r="C1001" s="110">
        <v>0.0073433024873174844</v>
      </c>
      <c r="D1001" s="83" t="s">
        <v>2671</v>
      </c>
      <c r="E1001" s="83" t="b">
        <v>0</v>
      </c>
      <c r="F1001" s="83" t="b">
        <v>0</v>
      </c>
      <c r="G1001" s="83" t="b">
        <v>0</v>
      </c>
    </row>
    <row r="1002" spans="1:7" ht="15">
      <c r="A1002" s="84" t="s">
        <v>2741</v>
      </c>
      <c r="B1002" s="83">
        <v>2</v>
      </c>
      <c r="C1002" s="110">
        <v>0.006073133729241614</v>
      </c>
      <c r="D1002" s="83" t="s">
        <v>2671</v>
      </c>
      <c r="E1002" s="83" t="b">
        <v>0</v>
      </c>
      <c r="F1002" s="83" t="b">
        <v>0</v>
      </c>
      <c r="G1002" s="83" t="b">
        <v>0</v>
      </c>
    </row>
    <row r="1003" spans="1:7" ht="15">
      <c r="A1003" s="84" t="s">
        <v>2833</v>
      </c>
      <c r="B1003" s="83">
        <v>2</v>
      </c>
      <c r="C1003" s="110">
        <v>0.006073133729241614</v>
      </c>
      <c r="D1003" s="83" t="s">
        <v>2671</v>
      </c>
      <c r="E1003" s="83" t="b">
        <v>0</v>
      </c>
      <c r="F1003" s="83" t="b">
        <v>0</v>
      </c>
      <c r="G1003" s="83" t="b">
        <v>0</v>
      </c>
    </row>
    <row r="1004" spans="1:7" ht="15">
      <c r="A1004" s="84" t="s">
        <v>2988</v>
      </c>
      <c r="B1004" s="83">
        <v>2</v>
      </c>
      <c r="C1004" s="110">
        <v>0.006073133729241614</v>
      </c>
      <c r="D1004" s="83" t="s">
        <v>2671</v>
      </c>
      <c r="E1004" s="83" t="b">
        <v>0</v>
      </c>
      <c r="F1004" s="83" t="b">
        <v>0</v>
      </c>
      <c r="G1004" s="83" t="b">
        <v>0</v>
      </c>
    </row>
    <row r="1005" spans="1:7" ht="15">
      <c r="A1005" s="84" t="s">
        <v>2989</v>
      </c>
      <c r="B1005" s="83">
        <v>2</v>
      </c>
      <c r="C1005" s="110">
        <v>0.006073133729241614</v>
      </c>
      <c r="D1005" s="83" t="s">
        <v>2671</v>
      </c>
      <c r="E1005" s="83" t="b">
        <v>1</v>
      </c>
      <c r="F1005" s="83" t="b">
        <v>0</v>
      </c>
      <c r="G1005" s="83" t="b">
        <v>0</v>
      </c>
    </row>
    <row r="1006" spans="1:7" ht="15">
      <c r="A1006" s="84" t="s">
        <v>2902</v>
      </c>
      <c r="B1006" s="83">
        <v>2</v>
      </c>
      <c r="C1006" s="110">
        <v>0.006073133729241614</v>
      </c>
      <c r="D1006" s="83" t="s">
        <v>2671</v>
      </c>
      <c r="E1006" s="83" t="b">
        <v>0</v>
      </c>
      <c r="F1006" s="83" t="b">
        <v>0</v>
      </c>
      <c r="G1006" s="83" t="b">
        <v>0</v>
      </c>
    </row>
    <row r="1007" spans="1:7" ht="15">
      <c r="A1007" s="84" t="s">
        <v>2812</v>
      </c>
      <c r="B1007" s="83">
        <v>2</v>
      </c>
      <c r="C1007" s="110">
        <v>0.006073133729241614</v>
      </c>
      <c r="D1007" s="83" t="s">
        <v>2671</v>
      </c>
      <c r="E1007" s="83" t="b">
        <v>0</v>
      </c>
      <c r="F1007" s="83" t="b">
        <v>0</v>
      </c>
      <c r="G1007" s="83" t="b">
        <v>0</v>
      </c>
    </row>
    <row r="1008" spans="1:7" ht="15">
      <c r="A1008" s="84" t="s">
        <v>3205</v>
      </c>
      <c r="B1008" s="83">
        <v>2</v>
      </c>
      <c r="C1008" s="110">
        <v>0.0073433024873174844</v>
      </c>
      <c r="D1008" s="83" t="s">
        <v>2671</v>
      </c>
      <c r="E1008" s="83" t="b">
        <v>0</v>
      </c>
      <c r="F1008" s="83" t="b">
        <v>0</v>
      </c>
      <c r="G1008" s="83" t="b">
        <v>0</v>
      </c>
    </row>
    <row r="1009" spans="1:7" ht="15">
      <c r="A1009" s="84" t="s">
        <v>2774</v>
      </c>
      <c r="B1009" s="83">
        <v>2</v>
      </c>
      <c r="C1009" s="110">
        <v>0.0073433024873174844</v>
      </c>
      <c r="D1009" s="83" t="s">
        <v>2671</v>
      </c>
      <c r="E1009" s="83" t="b">
        <v>0</v>
      </c>
      <c r="F1009" s="83" t="b">
        <v>0</v>
      </c>
      <c r="G1009" s="83" t="b">
        <v>0</v>
      </c>
    </row>
    <row r="1010" spans="1:7" ht="15">
      <c r="A1010" s="84" t="s">
        <v>3208</v>
      </c>
      <c r="B1010" s="83">
        <v>2</v>
      </c>
      <c r="C1010" s="110">
        <v>0.0073433024873174844</v>
      </c>
      <c r="D1010" s="83" t="s">
        <v>2671</v>
      </c>
      <c r="E1010" s="83" t="b">
        <v>0</v>
      </c>
      <c r="F1010" s="83" t="b">
        <v>0</v>
      </c>
      <c r="G1010" s="83" t="b">
        <v>0</v>
      </c>
    </row>
    <row r="1011" spans="1:7" ht="15">
      <c r="A1011" s="84" t="s">
        <v>2786</v>
      </c>
      <c r="B1011" s="83">
        <v>2</v>
      </c>
      <c r="C1011" s="110">
        <v>0.0073433024873174844</v>
      </c>
      <c r="D1011" s="83" t="s">
        <v>2671</v>
      </c>
      <c r="E1011" s="83" t="b">
        <v>0</v>
      </c>
      <c r="F1011" s="83" t="b">
        <v>0</v>
      </c>
      <c r="G1011" s="83" t="b">
        <v>0</v>
      </c>
    </row>
    <row r="1012" spans="1:7" ht="15">
      <c r="A1012" s="84" t="s">
        <v>2795</v>
      </c>
      <c r="B1012" s="83">
        <v>2</v>
      </c>
      <c r="C1012" s="110">
        <v>0.006073133729241614</v>
      </c>
      <c r="D1012" s="83" t="s">
        <v>2671</v>
      </c>
      <c r="E1012" s="83" t="b">
        <v>0</v>
      </c>
      <c r="F1012" s="83" t="b">
        <v>0</v>
      </c>
      <c r="G1012" s="83" t="b">
        <v>0</v>
      </c>
    </row>
    <row r="1013" spans="1:7" ht="15">
      <c r="A1013" s="84" t="s">
        <v>2816</v>
      </c>
      <c r="B1013" s="83">
        <v>2</v>
      </c>
      <c r="C1013" s="110">
        <v>0.006073133729241614</v>
      </c>
      <c r="D1013" s="83" t="s">
        <v>2671</v>
      </c>
      <c r="E1013" s="83" t="b">
        <v>1</v>
      </c>
      <c r="F1013" s="83" t="b">
        <v>0</v>
      </c>
      <c r="G1013" s="83" t="b">
        <v>0</v>
      </c>
    </row>
    <row r="1014" spans="1:7" ht="15">
      <c r="A1014" s="84" t="s">
        <v>3010</v>
      </c>
      <c r="B1014" s="83">
        <v>2</v>
      </c>
      <c r="C1014" s="110">
        <v>0.0073433024873174844</v>
      </c>
      <c r="D1014" s="83" t="s">
        <v>2671</v>
      </c>
      <c r="E1014" s="83" t="b">
        <v>1</v>
      </c>
      <c r="F1014" s="83" t="b">
        <v>0</v>
      </c>
      <c r="G1014" s="83" t="b">
        <v>0</v>
      </c>
    </row>
    <row r="1015" spans="1:7" ht="15">
      <c r="A1015" s="84" t="s">
        <v>2957</v>
      </c>
      <c r="B1015" s="83">
        <v>2</v>
      </c>
      <c r="C1015" s="110">
        <v>0.006073133729241614</v>
      </c>
      <c r="D1015" s="83" t="s">
        <v>2671</v>
      </c>
      <c r="E1015" s="83" t="b">
        <v>0</v>
      </c>
      <c r="F1015" s="83" t="b">
        <v>0</v>
      </c>
      <c r="G1015" s="83" t="b">
        <v>0</v>
      </c>
    </row>
    <row r="1016" spans="1:7" ht="15">
      <c r="A1016" s="84" t="s">
        <v>3214</v>
      </c>
      <c r="B1016" s="83">
        <v>2</v>
      </c>
      <c r="C1016" s="110">
        <v>0.006073133729241614</v>
      </c>
      <c r="D1016" s="83" t="s">
        <v>2671</v>
      </c>
      <c r="E1016" s="83" t="b">
        <v>0</v>
      </c>
      <c r="F1016" s="83" t="b">
        <v>0</v>
      </c>
      <c r="G1016" s="83" t="b">
        <v>0</v>
      </c>
    </row>
    <row r="1017" spans="1:7" ht="15">
      <c r="A1017" s="84" t="s">
        <v>3215</v>
      </c>
      <c r="B1017" s="83">
        <v>2</v>
      </c>
      <c r="C1017" s="110">
        <v>0.006073133729241614</v>
      </c>
      <c r="D1017" s="83" t="s">
        <v>2671</v>
      </c>
      <c r="E1017" s="83" t="b">
        <v>1</v>
      </c>
      <c r="F1017" s="83" t="b">
        <v>0</v>
      </c>
      <c r="G1017" s="83" t="b">
        <v>0</v>
      </c>
    </row>
    <row r="1018" spans="1:7" ht="15">
      <c r="A1018" s="84" t="s">
        <v>3013</v>
      </c>
      <c r="B1018" s="83">
        <v>2</v>
      </c>
      <c r="C1018" s="110">
        <v>0.0073433024873174844</v>
      </c>
      <c r="D1018" s="83" t="s">
        <v>2671</v>
      </c>
      <c r="E1018" s="83" t="b">
        <v>0</v>
      </c>
      <c r="F1018" s="83" t="b">
        <v>0</v>
      </c>
      <c r="G1018" s="83" t="b">
        <v>0</v>
      </c>
    </row>
    <row r="1019" spans="1:7" ht="15">
      <c r="A1019" s="84" t="s">
        <v>2886</v>
      </c>
      <c r="B1019" s="83">
        <v>2</v>
      </c>
      <c r="C1019" s="110">
        <v>0.0073433024873174844</v>
      </c>
      <c r="D1019" s="83" t="s">
        <v>2671</v>
      </c>
      <c r="E1019" s="83" t="b">
        <v>0</v>
      </c>
      <c r="F1019" s="83" t="b">
        <v>0</v>
      </c>
      <c r="G1019" s="83" t="b">
        <v>0</v>
      </c>
    </row>
    <row r="1020" spans="1:7" ht="15">
      <c r="A1020" s="84" t="s">
        <v>3014</v>
      </c>
      <c r="B1020" s="83">
        <v>2</v>
      </c>
      <c r="C1020" s="110">
        <v>0.006073133729241614</v>
      </c>
      <c r="D1020" s="83" t="s">
        <v>2671</v>
      </c>
      <c r="E1020" s="83" t="b">
        <v>0</v>
      </c>
      <c r="F1020" s="83" t="b">
        <v>0</v>
      </c>
      <c r="G1020" s="83" t="b">
        <v>0</v>
      </c>
    </row>
    <row r="1021" spans="1:7" ht="15">
      <c r="A1021" s="84" t="s">
        <v>2840</v>
      </c>
      <c r="B1021" s="83">
        <v>2</v>
      </c>
      <c r="C1021" s="110">
        <v>0.006073133729241614</v>
      </c>
      <c r="D1021" s="83" t="s">
        <v>2671</v>
      </c>
      <c r="E1021" s="83" t="b">
        <v>0</v>
      </c>
      <c r="F1021" s="83" t="b">
        <v>0</v>
      </c>
      <c r="G1021" s="83" t="b">
        <v>0</v>
      </c>
    </row>
    <row r="1022" spans="1:7" ht="15">
      <c r="A1022" s="84" t="s">
        <v>2830</v>
      </c>
      <c r="B1022" s="83">
        <v>2</v>
      </c>
      <c r="C1022" s="110">
        <v>0.0073433024873174844</v>
      </c>
      <c r="D1022" s="83" t="s">
        <v>2671</v>
      </c>
      <c r="E1022" s="83" t="b">
        <v>0</v>
      </c>
      <c r="F1022" s="83" t="b">
        <v>0</v>
      </c>
      <c r="G1022" s="83" t="b">
        <v>0</v>
      </c>
    </row>
    <row r="1023" spans="1:7" ht="15">
      <c r="A1023" s="84" t="s">
        <v>3217</v>
      </c>
      <c r="B1023" s="83">
        <v>2</v>
      </c>
      <c r="C1023" s="110">
        <v>0.0073433024873174844</v>
      </c>
      <c r="D1023" s="83" t="s">
        <v>2671</v>
      </c>
      <c r="E1023" s="83" t="b">
        <v>0</v>
      </c>
      <c r="F1023" s="83" t="b">
        <v>0</v>
      </c>
      <c r="G1023" s="83" t="b">
        <v>0</v>
      </c>
    </row>
    <row r="1024" spans="1:7" ht="15">
      <c r="A1024" s="84" t="s">
        <v>2807</v>
      </c>
      <c r="B1024" s="83">
        <v>2</v>
      </c>
      <c r="C1024" s="110">
        <v>0.006073133729241614</v>
      </c>
      <c r="D1024" s="83" t="s">
        <v>2671</v>
      </c>
      <c r="E1024" s="83" t="b">
        <v>0</v>
      </c>
      <c r="F1024" s="83" t="b">
        <v>0</v>
      </c>
      <c r="G1024" s="83" t="b">
        <v>0</v>
      </c>
    </row>
    <row r="1025" spans="1:7" ht="15">
      <c r="A1025" s="84" t="s">
        <v>3218</v>
      </c>
      <c r="B1025" s="83">
        <v>2</v>
      </c>
      <c r="C1025" s="110">
        <v>0.0073433024873174844</v>
      </c>
      <c r="D1025" s="83" t="s">
        <v>2671</v>
      </c>
      <c r="E1025" s="83" t="b">
        <v>0</v>
      </c>
      <c r="F1025" s="83" t="b">
        <v>0</v>
      </c>
      <c r="G1025" s="83" t="b">
        <v>0</v>
      </c>
    </row>
    <row r="1026" spans="1:7" ht="15">
      <c r="A1026" s="84" t="s">
        <v>3219</v>
      </c>
      <c r="B1026" s="83">
        <v>2</v>
      </c>
      <c r="C1026" s="110">
        <v>0.0073433024873174844</v>
      </c>
      <c r="D1026" s="83" t="s">
        <v>2671</v>
      </c>
      <c r="E1026" s="83" t="b">
        <v>0</v>
      </c>
      <c r="F1026" s="83" t="b">
        <v>1</v>
      </c>
      <c r="G1026" s="83" t="b">
        <v>0</v>
      </c>
    </row>
    <row r="1027" spans="1:7" ht="15">
      <c r="A1027" s="84" t="s">
        <v>3222</v>
      </c>
      <c r="B1027" s="83">
        <v>2</v>
      </c>
      <c r="C1027" s="110">
        <v>0.0073433024873174844</v>
      </c>
      <c r="D1027" s="83" t="s">
        <v>2671</v>
      </c>
      <c r="E1027" s="83" t="b">
        <v>0</v>
      </c>
      <c r="F1027" s="83" t="b">
        <v>0</v>
      </c>
      <c r="G1027" s="83" t="b">
        <v>0</v>
      </c>
    </row>
    <row r="1028" spans="1:7" ht="15">
      <c r="A1028" s="84" t="s">
        <v>2867</v>
      </c>
      <c r="B1028" s="83">
        <v>2</v>
      </c>
      <c r="C1028" s="110">
        <v>0.006073133729241614</v>
      </c>
      <c r="D1028" s="83" t="s">
        <v>2671</v>
      </c>
      <c r="E1028" s="83" t="b">
        <v>0</v>
      </c>
      <c r="F1028" s="83" t="b">
        <v>1</v>
      </c>
      <c r="G1028" s="83" t="b">
        <v>0</v>
      </c>
    </row>
    <row r="1029" spans="1:7" ht="15">
      <c r="A1029" s="84" t="s">
        <v>3294</v>
      </c>
      <c r="B1029" s="83">
        <v>2</v>
      </c>
      <c r="C1029" s="110">
        <v>0.006073133729241614</v>
      </c>
      <c r="D1029" s="83" t="s">
        <v>2671</v>
      </c>
      <c r="E1029" s="83" t="b">
        <v>0</v>
      </c>
      <c r="F1029" s="83" t="b">
        <v>0</v>
      </c>
      <c r="G1029" s="83" t="b">
        <v>0</v>
      </c>
    </row>
    <row r="1030" spans="1:7" ht="15">
      <c r="A1030" s="84" t="s">
        <v>3295</v>
      </c>
      <c r="B1030" s="83">
        <v>2</v>
      </c>
      <c r="C1030" s="110">
        <v>0.006073133729241614</v>
      </c>
      <c r="D1030" s="83" t="s">
        <v>2671</v>
      </c>
      <c r="E1030" s="83" t="b">
        <v>0</v>
      </c>
      <c r="F1030" s="83" t="b">
        <v>0</v>
      </c>
      <c r="G1030" s="83" t="b">
        <v>0</v>
      </c>
    </row>
    <row r="1031" spans="1:7" ht="15">
      <c r="A1031" s="84" t="s">
        <v>3296</v>
      </c>
      <c r="B1031" s="83">
        <v>2</v>
      </c>
      <c r="C1031" s="110">
        <v>0.0073433024873174844</v>
      </c>
      <c r="D1031" s="83" t="s">
        <v>2671</v>
      </c>
      <c r="E1031" s="83" t="b">
        <v>0</v>
      </c>
      <c r="F1031" s="83" t="b">
        <v>0</v>
      </c>
      <c r="G1031" s="83" t="b">
        <v>0</v>
      </c>
    </row>
    <row r="1032" spans="1:7" ht="15">
      <c r="A1032" s="84" t="s">
        <v>2912</v>
      </c>
      <c r="B1032" s="83">
        <v>2</v>
      </c>
      <c r="C1032" s="110">
        <v>0.0073433024873174844</v>
      </c>
      <c r="D1032" s="83" t="s">
        <v>2671</v>
      </c>
      <c r="E1032" s="83" t="b">
        <v>0</v>
      </c>
      <c r="F1032" s="83" t="b">
        <v>0</v>
      </c>
      <c r="G1032" s="83" t="b">
        <v>0</v>
      </c>
    </row>
    <row r="1033" spans="1:7" ht="15">
      <c r="A1033" s="84" t="s">
        <v>2776</v>
      </c>
      <c r="B1033" s="83">
        <v>2</v>
      </c>
      <c r="C1033" s="110">
        <v>0.0073433024873174844</v>
      </c>
      <c r="D1033" s="83" t="s">
        <v>2671</v>
      </c>
      <c r="E1033" s="83" t="b">
        <v>0</v>
      </c>
      <c r="F1033" s="83" t="b">
        <v>0</v>
      </c>
      <c r="G1033" s="83" t="b">
        <v>0</v>
      </c>
    </row>
    <row r="1034" spans="1:7" ht="15">
      <c r="A1034" s="84" t="s">
        <v>3299</v>
      </c>
      <c r="B1034" s="83">
        <v>2</v>
      </c>
      <c r="C1034" s="110">
        <v>0.0073433024873174844</v>
      </c>
      <c r="D1034" s="83" t="s">
        <v>2671</v>
      </c>
      <c r="E1034" s="83" t="b">
        <v>0</v>
      </c>
      <c r="F1034" s="83" t="b">
        <v>1</v>
      </c>
      <c r="G1034" s="83" t="b">
        <v>0</v>
      </c>
    </row>
    <row r="1035" spans="1:7" ht="15">
      <c r="A1035" s="84" t="s">
        <v>3300</v>
      </c>
      <c r="B1035" s="83">
        <v>2</v>
      </c>
      <c r="C1035" s="110">
        <v>0.0073433024873174844</v>
      </c>
      <c r="D1035" s="83" t="s">
        <v>2671</v>
      </c>
      <c r="E1035" s="83" t="b">
        <v>0</v>
      </c>
      <c r="F1035" s="83" t="b">
        <v>0</v>
      </c>
      <c r="G1035" s="83" t="b">
        <v>0</v>
      </c>
    </row>
    <row r="1036" spans="1:7" ht="15">
      <c r="A1036" s="84" t="s">
        <v>3027</v>
      </c>
      <c r="B1036" s="83">
        <v>2</v>
      </c>
      <c r="C1036" s="110">
        <v>0.0073433024873174844</v>
      </c>
      <c r="D1036" s="83" t="s">
        <v>2671</v>
      </c>
      <c r="E1036" s="83" t="b">
        <v>0</v>
      </c>
      <c r="F1036" s="83" t="b">
        <v>0</v>
      </c>
      <c r="G1036" s="83" t="b">
        <v>0</v>
      </c>
    </row>
    <row r="1037" spans="1:7" ht="15">
      <c r="A1037" s="84" t="s">
        <v>3302</v>
      </c>
      <c r="B1037" s="83">
        <v>2</v>
      </c>
      <c r="C1037" s="110">
        <v>0.0073433024873174844</v>
      </c>
      <c r="D1037" s="83" t="s">
        <v>2671</v>
      </c>
      <c r="E1037" s="83" t="b">
        <v>0</v>
      </c>
      <c r="F1037" s="83" t="b">
        <v>1</v>
      </c>
      <c r="G1037" s="83" t="b">
        <v>0</v>
      </c>
    </row>
    <row r="1038" spans="1:7" ht="15">
      <c r="A1038" s="84" t="s">
        <v>2716</v>
      </c>
      <c r="B1038" s="83">
        <v>17</v>
      </c>
      <c r="C1038" s="110">
        <v>0.0343714579670775</v>
      </c>
      <c r="D1038" s="83" t="s">
        <v>2672</v>
      </c>
      <c r="E1038" s="83" t="b">
        <v>0</v>
      </c>
      <c r="F1038" s="83" t="b">
        <v>0</v>
      </c>
      <c r="G1038" s="83" t="b">
        <v>0</v>
      </c>
    </row>
    <row r="1039" spans="1:7" ht="15">
      <c r="A1039" s="84" t="s">
        <v>2759</v>
      </c>
      <c r="B1039" s="83">
        <v>4</v>
      </c>
      <c r="C1039" s="110">
        <v>0.020703473692798097</v>
      </c>
      <c r="D1039" s="83" t="s">
        <v>2672</v>
      </c>
      <c r="E1039" s="83" t="b">
        <v>0</v>
      </c>
      <c r="F1039" s="83" t="b">
        <v>0</v>
      </c>
      <c r="G1039" s="83" t="b">
        <v>0</v>
      </c>
    </row>
    <row r="1040" spans="1:7" ht="15">
      <c r="A1040" s="84" t="s">
        <v>2758</v>
      </c>
      <c r="B1040" s="83">
        <v>4</v>
      </c>
      <c r="C1040" s="110">
        <v>0.027319517553544934</v>
      </c>
      <c r="D1040" s="83" t="s">
        <v>2672</v>
      </c>
      <c r="E1040" s="83" t="b">
        <v>0</v>
      </c>
      <c r="F1040" s="83" t="b">
        <v>0</v>
      </c>
      <c r="G1040" s="83" t="b">
        <v>0</v>
      </c>
    </row>
    <row r="1041" spans="1:7" ht="15">
      <c r="A1041" s="84" t="s">
        <v>2742</v>
      </c>
      <c r="B1041" s="83">
        <v>4</v>
      </c>
      <c r="C1041" s="110">
        <v>0.020703473692798097</v>
      </c>
      <c r="D1041" s="83" t="s">
        <v>2672</v>
      </c>
      <c r="E1041" s="83" t="b">
        <v>0</v>
      </c>
      <c r="F1041" s="83" t="b">
        <v>0</v>
      </c>
      <c r="G1041" s="83" t="b">
        <v>0</v>
      </c>
    </row>
    <row r="1042" spans="1:7" ht="15">
      <c r="A1042" s="84" t="s">
        <v>2918</v>
      </c>
      <c r="B1042" s="83">
        <v>3</v>
      </c>
      <c r="C1042" s="110">
        <v>0.017587034993911205</v>
      </c>
      <c r="D1042" s="83" t="s">
        <v>2672</v>
      </c>
      <c r="E1042" s="83" t="b">
        <v>0</v>
      </c>
      <c r="F1042" s="83" t="b">
        <v>0</v>
      </c>
      <c r="G1042" s="83" t="b">
        <v>0</v>
      </c>
    </row>
    <row r="1043" spans="1:7" ht="15">
      <c r="A1043" s="84" t="s">
        <v>3348</v>
      </c>
      <c r="B1043" s="83">
        <v>2</v>
      </c>
      <c r="C1043" s="110">
        <v>0.013659758776772467</v>
      </c>
      <c r="D1043" s="83" t="s">
        <v>2672</v>
      </c>
      <c r="E1043" s="83" t="b">
        <v>0</v>
      </c>
      <c r="F1043" s="83" t="b">
        <v>0</v>
      </c>
      <c r="G1043" s="83" t="b">
        <v>0</v>
      </c>
    </row>
    <row r="1044" spans="1:7" ht="15">
      <c r="A1044" s="84" t="s">
        <v>2732</v>
      </c>
      <c r="B1044" s="83">
        <v>2</v>
      </c>
      <c r="C1044" s="110">
        <v>0.013659758776772467</v>
      </c>
      <c r="D1044" s="83" t="s">
        <v>2672</v>
      </c>
      <c r="E1044" s="83" t="b">
        <v>1</v>
      </c>
      <c r="F1044" s="83" t="b">
        <v>0</v>
      </c>
      <c r="G1044" s="83" t="b">
        <v>0</v>
      </c>
    </row>
    <row r="1045" spans="1:7" ht="15">
      <c r="A1045" s="84" t="s">
        <v>3349</v>
      </c>
      <c r="B1045" s="83">
        <v>2</v>
      </c>
      <c r="C1045" s="110">
        <v>0.01696778070714589</v>
      </c>
      <c r="D1045" s="83" t="s">
        <v>2672</v>
      </c>
      <c r="E1045" s="83" t="b">
        <v>0</v>
      </c>
      <c r="F1045" s="83" t="b">
        <v>0</v>
      </c>
      <c r="G1045" s="83" t="b">
        <v>0</v>
      </c>
    </row>
    <row r="1046" spans="1:7" ht="15">
      <c r="A1046" s="84" t="s">
        <v>3350</v>
      </c>
      <c r="B1046" s="83">
        <v>2</v>
      </c>
      <c r="C1046" s="110">
        <v>0.013659758776772467</v>
      </c>
      <c r="D1046" s="83" t="s">
        <v>2672</v>
      </c>
      <c r="E1046" s="83" t="b">
        <v>0</v>
      </c>
      <c r="F1046" s="83" t="b">
        <v>0</v>
      </c>
      <c r="G1046" s="83" t="b">
        <v>0</v>
      </c>
    </row>
    <row r="1047" spans="1:7" ht="15">
      <c r="A1047" s="84" t="s">
        <v>2852</v>
      </c>
      <c r="B1047" s="83">
        <v>2</v>
      </c>
      <c r="C1047" s="110">
        <v>0.013659758776772467</v>
      </c>
      <c r="D1047" s="83" t="s">
        <v>2672</v>
      </c>
      <c r="E1047" s="83" t="b">
        <v>0</v>
      </c>
      <c r="F1047" s="83" t="b">
        <v>0</v>
      </c>
      <c r="G1047" s="83" t="b">
        <v>0</v>
      </c>
    </row>
    <row r="1048" spans="1:7" ht="15">
      <c r="A1048" s="84" t="s">
        <v>2725</v>
      </c>
      <c r="B1048" s="83">
        <v>2</v>
      </c>
      <c r="C1048" s="110">
        <v>0.013659758776772467</v>
      </c>
      <c r="D1048" s="83" t="s">
        <v>2672</v>
      </c>
      <c r="E1048" s="83" t="b">
        <v>1</v>
      </c>
      <c r="F1048" s="83" t="b">
        <v>0</v>
      </c>
      <c r="G1048" s="83" t="b">
        <v>0</v>
      </c>
    </row>
    <row r="1049" spans="1:7" ht="15">
      <c r="A1049" s="84" t="s">
        <v>2906</v>
      </c>
      <c r="B1049" s="83">
        <v>2</v>
      </c>
      <c r="C1049" s="110">
        <v>0.013659758776772467</v>
      </c>
      <c r="D1049" s="83" t="s">
        <v>2672</v>
      </c>
      <c r="E1049" s="83" t="b">
        <v>0</v>
      </c>
      <c r="F1049" s="83" t="b">
        <v>0</v>
      </c>
      <c r="G1049" s="83" t="b">
        <v>0</v>
      </c>
    </row>
    <row r="1050" spans="1:7" ht="15">
      <c r="A1050" s="84" t="s">
        <v>3351</v>
      </c>
      <c r="B1050" s="83">
        <v>2</v>
      </c>
      <c r="C1050" s="110">
        <v>0.013659758776772467</v>
      </c>
      <c r="D1050" s="83" t="s">
        <v>2672</v>
      </c>
      <c r="E1050" s="83" t="b">
        <v>0</v>
      </c>
      <c r="F1050" s="83" t="b">
        <v>0</v>
      </c>
      <c r="G1050" s="83" t="b">
        <v>0</v>
      </c>
    </row>
    <row r="1051" spans="1:7" ht="15">
      <c r="A1051" s="84" t="s">
        <v>3352</v>
      </c>
      <c r="B1051" s="83">
        <v>2</v>
      </c>
      <c r="C1051" s="110">
        <v>0.013659758776772467</v>
      </c>
      <c r="D1051" s="83" t="s">
        <v>2672</v>
      </c>
      <c r="E1051" s="83" t="b">
        <v>0</v>
      </c>
      <c r="F1051" s="83" t="b">
        <v>0</v>
      </c>
      <c r="G1051" s="83" t="b">
        <v>0</v>
      </c>
    </row>
    <row r="1052" spans="1:7" ht="15">
      <c r="A1052" s="84" t="s">
        <v>1110</v>
      </c>
      <c r="B1052" s="83">
        <v>2</v>
      </c>
      <c r="C1052" s="110">
        <v>0.013659758776772467</v>
      </c>
      <c r="D1052" s="83" t="s">
        <v>2672</v>
      </c>
      <c r="E1052" s="83" t="b">
        <v>1</v>
      </c>
      <c r="F1052" s="83" t="b">
        <v>0</v>
      </c>
      <c r="G1052" s="83" t="b">
        <v>0</v>
      </c>
    </row>
    <row r="1053" spans="1:7" ht="15">
      <c r="A1053" s="84" t="s">
        <v>2917</v>
      </c>
      <c r="B1053" s="83">
        <v>2</v>
      </c>
      <c r="C1053" s="110">
        <v>0.013659758776772467</v>
      </c>
      <c r="D1053" s="83" t="s">
        <v>2672</v>
      </c>
      <c r="E1053" s="83" t="b">
        <v>0</v>
      </c>
      <c r="F1053" s="83" t="b">
        <v>0</v>
      </c>
      <c r="G1053" s="83" t="b">
        <v>0</v>
      </c>
    </row>
    <row r="1054" spans="1:7" ht="15">
      <c r="A1054" s="84" t="s">
        <v>3353</v>
      </c>
      <c r="B1054" s="83">
        <v>2</v>
      </c>
      <c r="C1054" s="110">
        <v>0.01696778070714589</v>
      </c>
      <c r="D1054" s="83" t="s">
        <v>2672</v>
      </c>
      <c r="E1054" s="83" t="b">
        <v>0</v>
      </c>
      <c r="F1054" s="83" t="b">
        <v>0</v>
      </c>
      <c r="G1054" s="83" t="b">
        <v>0</v>
      </c>
    </row>
    <row r="1055" spans="1:7" ht="15">
      <c r="A1055" s="84" t="s">
        <v>3055</v>
      </c>
      <c r="B1055" s="83">
        <v>2</v>
      </c>
      <c r="C1055" s="110">
        <v>0.013659758776772467</v>
      </c>
      <c r="D1055" s="83" t="s">
        <v>2672</v>
      </c>
      <c r="E1055" s="83" t="b">
        <v>0</v>
      </c>
      <c r="F1055" s="83" t="b">
        <v>0</v>
      </c>
      <c r="G1055" s="83" t="b">
        <v>0</v>
      </c>
    </row>
    <row r="1056" spans="1:7" ht="15">
      <c r="A1056" s="84" t="s">
        <v>3354</v>
      </c>
      <c r="B1056" s="83">
        <v>2</v>
      </c>
      <c r="C1056" s="110">
        <v>0.01696778070714589</v>
      </c>
      <c r="D1056" s="83" t="s">
        <v>2672</v>
      </c>
      <c r="E1056" s="83" t="b">
        <v>0</v>
      </c>
      <c r="F1056" s="83" t="b">
        <v>0</v>
      </c>
      <c r="G1056" s="83" t="b">
        <v>0</v>
      </c>
    </row>
    <row r="1057" spans="1:7" ht="15">
      <c r="A1057" s="84" t="s">
        <v>2964</v>
      </c>
      <c r="B1057" s="83">
        <v>2</v>
      </c>
      <c r="C1057" s="110">
        <v>0.01696778070714589</v>
      </c>
      <c r="D1057" s="83" t="s">
        <v>2672</v>
      </c>
      <c r="E1057" s="83" t="b">
        <v>0</v>
      </c>
      <c r="F1057" s="83" t="b">
        <v>0</v>
      </c>
      <c r="G1057" s="83" t="b">
        <v>0</v>
      </c>
    </row>
    <row r="1058" spans="1:7" ht="15">
      <c r="A1058" s="84" t="s">
        <v>2912</v>
      </c>
      <c r="B1058" s="83">
        <v>2</v>
      </c>
      <c r="C1058" s="110">
        <v>0.01696778070714589</v>
      </c>
      <c r="D1058" s="83" t="s">
        <v>2672</v>
      </c>
      <c r="E1058" s="83" t="b">
        <v>0</v>
      </c>
      <c r="F1058" s="83" t="b">
        <v>0</v>
      </c>
      <c r="G1058" s="83" t="b">
        <v>0</v>
      </c>
    </row>
    <row r="1059" spans="1:7" ht="15">
      <c r="A1059" s="84" t="s">
        <v>2716</v>
      </c>
      <c r="B1059" s="83">
        <v>36</v>
      </c>
      <c r="C1059" s="110">
        <v>0.020442597503976916</v>
      </c>
      <c r="D1059" s="83" t="s">
        <v>2673</v>
      </c>
      <c r="E1059" s="83" t="b">
        <v>0</v>
      </c>
      <c r="F1059" s="83" t="b">
        <v>0</v>
      </c>
      <c r="G1059" s="83" t="b">
        <v>0</v>
      </c>
    </row>
    <row r="1060" spans="1:7" ht="15">
      <c r="A1060" s="84" t="s">
        <v>2784</v>
      </c>
      <c r="B1060" s="83">
        <v>5</v>
      </c>
      <c r="C1060" s="110">
        <v>0.018197922901492435</v>
      </c>
      <c r="D1060" s="83" t="s">
        <v>2673</v>
      </c>
      <c r="E1060" s="83" t="b">
        <v>0</v>
      </c>
      <c r="F1060" s="83" t="b">
        <v>0</v>
      </c>
      <c r="G1060" s="83" t="b">
        <v>0</v>
      </c>
    </row>
    <row r="1061" spans="1:7" ht="15">
      <c r="A1061" s="84" t="s">
        <v>2783</v>
      </c>
      <c r="B1061" s="83">
        <v>5</v>
      </c>
      <c r="C1061" s="110">
        <v>0.020322731347211822</v>
      </c>
      <c r="D1061" s="83" t="s">
        <v>2673</v>
      </c>
      <c r="E1061" s="83" t="b">
        <v>0</v>
      </c>
      <c r="F1061" s="83" t="b">
        <v>0</v>
      </c>
      <c r="G1061" s="83" t="b">
        <v>0</v>
      </c>
    </row>
    <row r="1062" spans="1:7" ht="15">
      <c r="A1062" s="84" t="s">
        <v>2742</v>
      </c>
      <c r="B1062" s="83">
        <v>5</v>
      </c>
      <c r="C1062" s="110">
        <v>0.016549793428566304</v>
      </c>
      <c r="D1062" s="83" t="s">
        <v>2673</v>
      </c>
      <c r="E1062" s="83" t="b">
        <v>0</v>
      </c>
      <c r="F1062" s="83" t="b">
        <v>0</v>
      </c>
      <c r="G1062" s="83" t="b">
        <v>0</v>
      </c>
    </row>
    <row r="1063" spans="1:7" ht="15">
      <c r="A1063" s="84" t="s">
        <v>2747</v>
      </c>
      <c r="B1063" s="83">
        <v>5</v>
      </c>
      <c r="C1063" s="110">
        <v>0.018197922901492435</v>
      </c>
      <c r="D1063" s="83" t="s">
        <v>2673</v>
      </c>
      <c r="E1063" s="83" t="b">
        <v>0</v>
      </c>
      <c r="F1063" s="83" t="b">
        <v>0</v>
      </c>
      <c r="G1063" s="83" t="b">
        <v>0</v>
      </c>
    </row>
    <row r="1064" spans="1:7" ht="15">
      <c r="A1064" s="84" t="s">
        <v>2800</v>
      </c>
      <c r="B1064" s="83">
        <v>4</v>
      </c>
      <c r="C1064" s="110">
        <v>0.016258185077769455</v>
      </c>
      <c r="D1064" s="83" t="s">
        <v>2673</v>
      </c>
      <c r="E1064" s="83" t="b">
        <v>0</v>
      </c>
      <c r="F1064" s="83" t="b">
        <v>0</v>
      </c>
      <c r="G1064" s="83" t="b">
        <v>0</v>
      </c>
    </row>
    <row r="1065" spans="1:7" ht="15">
      <c r="A1065" s="84" t="s">
        <v>2911</v>
      </c>
      <c r="B1065" s="83">
        <v>4</v>
      </c>
      <c r="C1065" s="110">
        <v>0.022749630720213843</v>
      </c>
      <c r="D1065" s="83" t="s">
        <v>2673</v>
      </c>
      <c r="E1065" s="83" t="b">
        <v>0</v>
      </c>
      <c r="F1065" s="83" t="b">
        <v>0</v>
      </c>
      <c r="G1065" s="83" t="b">
        <v>0</v>
      </c>
    </row>
    <row r="1066" spans="1:7" ht="15">
      <c r="A1066" s="84" t="s">
        <v>2910</v>
      </c>
      <c r="B1066" s="83">
        <v>4</v>
      </c>
      <c r="C1066" s="110">
        <v>0.014558338321193945</v>
      </c>
      <c r="D1066" s="83" t="s">
        <v>2673</v>
      </c>
      <c r="E1066" s="83" t="b">
        <v>0</v>
      </c>
      <c r="F1066" s="83" t="b">
        <v>0</v>
      </c>
      <c r="G1066" s="83" t="b">
        <v>0</v>
      </c>
    </row>
    <row r="1067" spans="1:7" ht="15">
      <c r="A1067" s="84" t="s">
        <v>2909</v>
      </c>
      <c r="B1067" s="83">
        <v>4</v>
      </c>
      <c r="C1067" s="110">
        <v>0.014558338321193945</v>
      </c>
      <c r="D1067" s="83" t="s">
        <v>2673</v>
      </c>
      <c r="E1067" s="83" t="b">
        <v>0</v>
      </c>
      <c r="F1067" s="83" t="b">
        <v>0</v>
      </c>
      <c r="G1067" s="83" t="b">
        <v>0</v>
      </c>
    </row>
    <row r="1068" spans="1:7" ht="15">
      <c r="A1068" s="84" t="s">
        <v>2851</v>
      </c>
      <c r="B1068" s="83">
        <v>3</v>
      </c>
      <c r="C1068" s="110">
        <v>0.01219363880832709</v>
      </c>
      <c r="D1068" s="83" t="s">
        <v>2673</v>
      </c>
      <c r="E1068" s="83" t="b">
        <v>0</v>
      </c>
      <c r="F1068" s="83" t="b">
        <v>0</v>
      </c>
      <c r="G1068" s="83" t="b">
        <v>0</v>
      </c>
    </row>
    <row r="1069" spans="1:7" ht="15">
      <c r="A1069" s="84" t="s">
        <v>2849</v>
      </c>
      <c r="B1069" s="83">
        <v>3</v>
      </c>
      <c r="C1069" s="110">
        <v>0.01219363880832709</v>
      </c>
      <c r="D1069" s="83" t="s">
        <v>2673</v>
      </c>
      <c r="E1069" s="83" t="b">
        <v>0</v>
      </c>
      <c r="F1069" s="83" t="b">
        <v>0</v>
      </c>
      <c r="G1069" s="83" t="b">
        <v>0</v>
      </c>
    </row>
    <row r="1070" spans="1:7" ht="15">
      <c r="A1070" s="84" t="s">
        <v>2826</v>
      </c>
      <c r="B1070" s="83">
        <v>3</v>
      </c>
      <c r="C1070" s="110">
        <v>0.01219363880832709</v>
      </c>
      <c r="D1070" s="83" t="s">
        <v>2673</v>
      </c>
      <c r="E1070" s="83" t="b">
        <v>0</v>
      </c>
      <c r="F1070" s="83" t="b">
        <v>0</v>
      </c>
      <c r="G1070" s="83" t="b">
        <v>0</v>
      </c>
    </row>
    <row r="1071" spans="1:7" ht="15">
      <c r="A1071" s="84" t="s">
        <v>2850</v>
      </c>
      <c r="B1071" s="83">
        <v>3</v>
      </c>
      <c r="C1071" s="110">
        <v>0.01219363880832709</v>
      </c>
      <c r="D1071" s="83" t="s">
        <v>2673</v>
      </c>
      <c r="E1071" s="83" t="b">
        <v>0</v>
      </c>
      <c r="F1071" s="83" t="b">
        <v>0</v>
      </c>
      <c r="G1071" s="83" t="b">
        <v>0</v>
      </c>
    </row>
    <row r="1072" spans="1:7" ht="15">
      <c r="A1072" s="84" t="s">
        <v>2759</v>
      </c>
      <c r="B1072" s="83">
        <v>3</v>
      </c>
      <c r="C1072" s="110">
        <v>0.01399048839052792</v>
      </c>
      <c r="D1072" s="83" t="s">
        <v>2673</v>
      </c>
      <c r="E1072" s="83" t="b">
        <v>0</v>
      </c>
      <c r="F1072" s="83" t="b">
        <v>0</v>
      </c>
      <c r="G1072" s="83" t="b">
        <v>0</v>
      </c>
    </row>
    <row r="1073" spans="1:7" ht="15">
      <c r="A1073" s="84" t="s">
        <v>2758</v>
      </c>
      <c r="B1073" s="83">
        <v>3</v>
      </c>
      <c r="C1073" s="110">
        <v>0.01219363880832709</v>
      </c>
      <c r="D1073" s="83" t="s">
        <v>2673</v>
      </c>
      <c r="E1073" s="83" t="b">
        <v>0</v>
      </c>
      <c r="F1073" s="83" t="b">
        <v>0</v>
      </c>
      <c r="G1073" s="83" t="b">
        <v>0</v>
      </c>
    </row>
    <row r="1074" spans="1:7" ht="15">
      <c r="A1074" s="84" t="s">
        <v>3037</v>
      </c>
      <c r="B1074" s="83">
        <v>3</v>
      </c>
      <c r="C1074" s="110">
        <v>0.01219363880832709</v>
      </c>
      <c r="D1074" s="83" t="s">
        <v>2673</v>
      </c>
      <c r="E1074" s="83" t="b">
        <v>0</v>
      </c>
      <c r="F1074" s="83" t="b">
        <v>0</v>
      </c>
      <c r="G1074" s="83" t="b">
        <v>0</v>
      </c>
    </row>
    <row r="1075" spans="1:7" ht="15">
      <c r="A1075" s="84" t="s">
        <v>3038</v>
      </c>
      <c r="B1075" s="83">
        <v>3</v>
      </c>
      <c r="C1075" s="110">
        <v>0.01219363880832709</v>
      </c>
      <c r="D1075" s="83" t="s">
        <v>2673</v>
      </c>
      <c r="E1075" s="83" t="b">
        <v>0</v>
      </c>
      <c r="F1075" s="83" t="b">
        <v>0</v>
      </c>
      <c r="G1075" s="83" t="b">
        <v>0</v>
      </c>
    </row>
    <row r="1076" spans="1:7" ht="15">
      <c r="A1076" s="84" t="s">
        <v>2857</v>
      </c>
      <c r="B1076" s="83">
        <v>3</v>
      </c>
      <c r="C1076" s="110">
        <v>0.01219363880832709</v>
      </c>
      <c r="D1076" s="83" t="s">
        <v>2673</v>
      </c>
      <c r="E1076" s="83" t="b">
        <v>0</v>
      </c>
      <c r="F1076" s="83" t="b">
        <v>0</v>
      </c>
      <c r="G1076" s="83" t="b">
        <v>0</v>
      </c>
    </row>
    <row r="1077" spans="1:7" ht="15">
      <c r="A1077" s="84" t="s">
        <v>3266</v>
      </c>
      <c r="B1077" s="83">
        <v>2</v>
      </c>
      <c r="C1077" s="110">
        <v>0.009326992260351948</v>
      </c>
      <c r="D1077" s="83" t="s">
        <v>2673</v>
      </c>
      <c r="E1077" s="83" t="b">
        <v>0</v>
      </c>
      <c r="F1077" s="83" t="b">
        <v>0</v>
      </c>
      <c r="G1077" s="83" t="b">
        <v>0</v>
      </c>
    </row>
    <row r="1078" spans="1:7" ht="15">
      <c r="A1078" s="84" t="s">
        <v>2817</v>
      </c>
      <c r="B1078" s="83">
        <v>2</v>
      </c>
      <c r="C1078" s="110">
        <v>0.011374815360106922</v>
      </c>
      <c r="D1078" s="83" t="s">
        <v>2673</v>
      </c>
      <c r="E1078" s="83" t="b">
        <v>0</v>
      </c>
      <c r="F1078" s="83" t="b">
        <v>0</v>
      </c>
      <c r="G1078" s="83" t="b">
        <v>0</v>
      </c>
    </row>
    <row r="1079" spans="1:7" ht="15">
      <c r="A1079" s="84" t="s">
        <v>3286</v>
      </c>
      <c r="B1079" s="83">
        <v>2</v>
      </c>
      <c r="C1079" s="110">
        <v>0.011374815360106922</v>
      </c>
      <c r="D1079" s="83" t="s">
        <v>2673</v>
      </c>
      <c r="E1079" s="83" t="b">
        <v>0</v>
      </c>
      <c r="F1079" s="83" t="b">
        <v>0</v>
      </c>
      <c r="G1079" s="83" t="b">
        <v>0</v>
      </c>
    </row>
    <row r="1080" spans="1:7" ht="15">
      <c r="A1080" s="84" t="s">
        <v>3287</v>
      </c>
      <c r="B1080" s="83">
        <v>2</v>
      </c>
      <c r="C1080" s="110">
        <v>0.011374815360106922</v>
      </c>
      <c r="D1080" s="83" t="s">
        <v>2673</v>
      </c>
      <c r="E1080" s="83" t="b">
        <v>0</v>
      </c>
      <c r="F1080" s="83" t="b">
        <v>0</v>
      </c>
      <c r="G1080" s="83" t="b">
        <v>0</v>
      </c>
    </row>
    <row r="1081" spans="1:7" ht="15">
      <c r="A1081" s="84" t="s">
        <v>3288</v>
      </c>
      <c r="B1081" s="83">
        <v>2</v>
      </c>
      <c r="C1081" s="110">
        <v>0.011374815360106922</v>
      </c>
      <c r="D1081" s="83" t="s">
        <v>2673</v>
      </c>
      <c r="E1081" s="83" t="b">
        <v>0</v>
      </c>
      <c r="F1081" s="83" t="b">
        <v>0</v>
      </c>
      <c r="G1081" s="83" t="b">
        <v>0</v>
      </c>
    </row>
    <row r="1082" spans="1:7" ht="15">
      <c r="A1082" s="84" t="s">
        <v>2780</v>
      </c>
      <c r="B1082" s="83">
        <v>2</v>
      </c>
      <c r="C1082" s="110">
        <v>0.011374815360106922</v>
      </c>
      <c r="D1082" s="83" t="s">
        <v>2673</v>
      </c>
      <c r="E1082" s="83" t="b">
        <v>0</v>
      </c>
      <c r="F1082" s="83" t="b">
        <v>0</v>
      </c>
      <c r="G1082" s="83" t="b">
        <v>0</v>
      </c>
    </row>
    <row r="1083" spans="1:7" ht="15">
      <c r="A1083" s="84" t="s">
        <v>3039</v>
      </c>
      <c r="B1083" s="83">
        <v>2</v>
      </c>
      <c r="C1083" s="110">
        <v>0.009326992260351948</v>
      </c>
      <c r="D1083" s="83" t="s">
        <v>2673</v>
      </c>
      <c r="E1083" s="83" t="b">
        <v>0</v>
      </c>
      <c r="F1083" s="83" t="b">
        <v>0</v>
      </c>
      <c r="G1083" s="83" t="b">
        <v>0</v>
      </c>
    </row>
    <row r="1084" spans="1:7" ht="15">
      <c r="A1084" s="84" t="s">
        <v>3040</v>
      </c>
      <c r="B1084" s="83">
        <v>2</v>
      </c>
      <c r="C1084" s="110">
        <v>0.009326992260351948</v>
      </c>
      <c r="D1084" s="83" t="s">
        <v>2673</v>
      </c>
      <c r="E1084" s="83" t="b">
        <v>0</v>
      </c>
      <c r="F1084" s="83" t="b">
        <v>0</v>
      </c>
      <c r="G1084" s="83" t="b">
        <v>0</v>
      </c>
    </row>
    <row r="1085" spans="1:7" ht="15">
      <c r="A1085" s="84" t="s">
        <v>3281</v>
      </c>
      <c r="B1085" s="83">
        <v>2</v>
      </c>
      <c r="C1085" s="110">
        <v>0.011374815360106922</v>
      </c>
      <c r="D1085" s="83" t="s">
        <v>2673</v>
      </c>
      <c r="E1085" s="83" t="b">
        <v>0</v>
      </c>
      <c r="F1085" s="83" t="b">
        <v>0</v>
      </c>
      <c r="G1085" s="83" t="b">
        <v>0</v>
      </c>
    </row>
    <row r="1086" spans="1:7" ht="15">
      <c r="A1086" s="84" t="s">
        <v>3041</v>
      </c>
      <c r="B1086" s="83">
        <v>2</v>
      </c>
      <c r="C1086" s="110">
        <v>0.009326992260351948</v>
      </c>
      <c r="D1086" s="83" t="s">
        <v>2673</v>
      </c>
      <c r="E1086" s="83" t="b">
        <v>0</v>
      </c>
      <c r="F1086" s="83" t="b">
        <v>0</v>
      </c>
      <c r="G1086" s="83" t="b">
        <v>0</v>
      </c>
    </row>
    <row r="1087" spans="1:7" ht="15">
      <c r="A1087" s="84" t="s">
        <v>3269</v>
      </c>
      <c r="B1087" s="83">
        <v>2</v>
      </c>
      <c r="C1087" s="110">
        <v>0.009326992260351948</v>
      </c>
      <c r="D1087" s="83" t="s">
        <v>2673</v>
      </c>
      <c r="E1087" s="83" t="b">
        <v>0</v>
      </c>
      <c r="F1087" s="83" t="b">
        <v>0</v>
      </c>
      <c r="G1087" s="83" t="b">
        <v>0</v>
      </c>
    </row>
    <row r="1088" spans="1:7" ht="15">
      <c r="A1088" s="84" t="s">
        <v>3268</v>
      </c>
      <c r="B1088" s="83">
        <v>2</v>
      </c>
      <c r="C1088" s="110">
        <v>0.011374815360106922</v>
      </c>
      <c r="D1088" s="83" t="s">
        <v>2673</v>
      </c>
      <c r="E1088" s="83" t="b">
        <v>0</v>
      </c>
      <c r="F1088" s="83" t="b">
        <v>0</v>
      </c>
      <c r="G1088" s="83" t="b">
        <v>0</v>
      </c>
    </row>
    <row r="1089" spans="1:7" ht="15">
      <c r="A1089" s="84" t="s">
        <v>3272</v>
      </c>
      <c r="B1089" s="83">
        <v>2</v>
      </c>
      <c r="C1089" s="110">
        <v>0.009326992260351948</v>
      </c>
      <c r="D1089" s="83" t="s">
        <v>2673</v>
      </c>
      <c r="E1089" s="83" t="b">
        <v>0</v>
      </c>
      <c r="F1089" s="83" t="b">
        <v>0</v>
      </c>
      <c r="G1089" s="83" t="b">
        <v>0</v>
      </c>
    </row>
    <row r="1090" spans="1:7" ht="15">
      <c r="A1090" s="84" t="s">
        <v>3273</v>
      </c>
      <c r="B1090" s="83">
        <v>2</v>
      </c>
      <c r="C1090" s="110">
        <v>0.009326992260351948</v>
      </c>
      <c r="D1090" s="83" t="s">
        <v>2673</v>
      </c>
      <c r="E1090" s="83" t="b">
        <v>0</v>
      </c>
      <c r="F1090" s="83" t="b">
        <v>0</v>
      </c>
      <c r="G1090" s="83" t="b">
        <v>0</v>
      </c>
    </row>
    <row r="1091" spans="1:7" ht="15">
      <c r="A1091" s="84" t="s">
        <v>3036</v>
      </c>
      <c r="B1091" s="83">
        <v>2</v>
      </c>
      <c r="C1091" s="110">
        <v>0.009326992260351948</v>
      </c>
      <c r="D1091" s="83" t="s">
        <v>2673</v>
      </c>
      <c r="E1091" s="83" t="b">
        <v>0</v>
      </c>
      <c r="F1091" s="83" t="b">
        <v>0</v>
      </c>
      <c r="G1091" s="83" t="b">
        <v>0</v>
      </c>
    </row>
    <row r="1092" spans="1:7" ht="15">
      <c r="A1092" s="84" t="s">
        <v>2763</v>
      </c>
      <c r="B1092" s="83">
        <v>2</v>
      </c>
      <c r="C1092" s="110">
        <v>0.009326992260351948</v>
      </c>
      <c r="D1092" s="83" t="s">
        <v>2673</v>
      </c>
      <c r="E1092" s="83" t="b">
        <v>0</v>
      </c>
      <c r="F1092" s="83" t="b">
        <v>0</v>
      </c>
      <c r="G1092" s="83" t="b">
        <v>0</v>
      </c>
    </row>
    <row r="1093" spans="1:7" ht="15">
      <c r="A1093" s="84" t="s">
        <v>3276</v>
      </c>
      <c r="B1093" s="83">
        <v>2</v>
      </c>
      <c r="C1093" s="110">
        <v>0.009326992260351948</v>
      </c>
      <c r="D1093" s="83" t="s">
        <v>2673</v>
      </c>
      <c r="E1093" s="83" t="b">
        <v>0</v>
      </c>
      <c r="F1093" s="83" t="b">
        <v>0</v>
      </c>
      <c r="G1093" s="83" t="b">
        <v>0</v>
      </c>
    </row>
    <row r="1094" spans="1:7" ht="15">
      <c r="A1094" s="84" t="s">
        <v>3277</v>
      </c>
      <c r="B1094" s="83">
        <v>2</v>
      </c>
      <c r="C1094" s="110">
        <v>0.009326992260351948</v>
      </c>
      <c r="D1094" s="83" t="s">
        <v>2673</v>
      </c>
      <c r="E1094" s="83" t="b">
        <v>0</v>
      </c>
      <c r="F1094" s="83" t="b">
        <v>0</v>
      </c>
      <c r="G1094" s="83" t="b">
        <v>0</v>
      </c>
    </row>
    <row r="1095" spans="1:7" ht="15">
      <c r="A1095" s="84" t="s">
        <v>3279</v>
      </c>
      <c r="B1095" s="83">
        <v>2</v>
      </c>
      <c r="C1095" s="110">
        <v>0.011374815360106922</v>
      </c>
      <c r="D1095" s="83" t="s">
        <v>2673</v>
      </c>
      <c r="E1095" s="83" t="b">
        <v>0</v>
      </c>
      <c r="F1095" s="83" t="b">
        <v>0</v>
      </c>
      <c r="G1095" s="83" t="b">
        <v>0</v>
      </c>
    </row>
    <row r="1096" spans="1:7" ht="15">
      <c r="A1096" s="84" t="s">
        <v>2794</v>
      </c>
      <c r="B1096" s="83">
        <v>2</v>
      </c>
      <c r="C1096" s="110">
        <v>0.009326992260351948</v>
      </c>
      <c r="D1096" s="83" t="s">
        <v>2673</v>
      </c>
      <c r="E1096" s="83" t="b">
        <v>1</v>
      </c>
      <c r="F1096" s="83" t="b">
        <v>0</v>
      </c>
      <c r="G1096" s="83" t="b">
        <v>0</v>
      </c>
    </row>
    <row r="1097" spans="1:7" ht="15">
      <c r="A1097" s="84" t="s">
        <v>3042</v>
      </c>
      <c r="B1097" s="83">
        <v>2</v>
      </c>
      <c r="C1097" s="110">
        <v>0.009326992260351948</v>
      </c>
      <c r="D1097" s="83" t="s">
        <v>2673</v>
      </c>
      <c r="E1097" s="83" t="b">
        <v>0</v>
      </c>
      <c r="F1097" s="83" t="b">
        <v>0</v>
      </c>
      <c r="G1097" s="83" t="b">
        <v>0</v>
      </c>
    </row>
    <row r="1098" spans="1:7" ht="15">
      <c r="A1098" s="84" t="s">
        <v>3282</v>
      </c>
      <c r="B1098" s="83">
        <v>2</v>
      </c>
      <c r="C1098" s="110">
        <v>0.009326992260351948</v>
      </c>
      <c r="D1098" s="83" t="s">
        <v>2673</v>
      </c>
      <c r="E1098" s="83" t="b">
        <v>0</v>
      </c>
      <c r="F1098" s="83" t="b">
        <v>0</v>
      </c>
      <c r="G1098" s="83" t="b">
        <v>0</v>
      </c>
    </row>
    <row r="1099" spans="1:7" ht="15">
      <c r="A1099" s="84" t="s">
        <v>2852</v>
      </c>
      <c r="B1099" s="83">
        <v>2</v>
      </c>
      <c r="C1099" s="110">
        <v>0.009326992260351948</v>
      </c>
      <c r="D1099" s="83" t="s">
        <v>2673</v>
      </c>
      <c r="E1099" s="83" t="b">
        <v>0</v>
      </c>
      <c r="F1099" s="83" t="b">
        <v>0</v>
      </c>
      <c r="G1099" s="83" t="b">
        <v>0</v>
      </c>
    </row>
    <row r="1100" spans="1:7" ht="15">
      <c r="A1100" s="84" t="s">
        <v>3283</v>
      </c>
      <c r="B1100" s="83">
        <v>2</v>
      </c>
      <c r="C1100" s="110">
        <v>0.009326992260351948</v>
      </c>
      <c r="D1100" s="83" t="s">
        <v>2673</v>
      </c>
      <c r="E1100" s="83" t="b">
        <v>0</v>
      </c>
      <c r="F1100" s="83" t="b">
        <v>0</v>
      </c>
      <c r="G1100" s="83" t="b">
        <v>0</v>
      </c>
    </row>
    <row r="1101" spans="1:7" ht="15">
      <c r="A1101" s="84" t="s">
        <v>3043</v>
      </c>
      <c r="B1101" s="83">
        <v>2</v>
      </c>
      <c r="C1101" s="110">
        <v>0.011374815360106922</v>
      </c>
      <c r="D1101" s="83" t="s">
        <v>2673</v>
      </c>
      <c r="E1101" s="83" t="b">
        <v>0</v>
      </c>
      <c r="F1101" s="83" t="b">
        <v>0</v>
      </c>
      <c r="G1101" s="83" t="b">
        <v>0</v>
      </c>
    </row>
    <row r="1102" spans="1:7" ht="15">
      <c r="A1102" s="84" t="s">
        <v>3289</v>
      </c>
      <c r="B1102" s="83">
        <v>2</v>
      </c>
      <c r="C1102" s="110">
        <v>0.009326992260351948</v>
      </c>
      <c r="D1102" s="83" t="s">
        <v>2673</v>
      </c>
      <c r="E1102" s="83" t="b">
        <v>0</v>
      </c>
      <c r="F1102" s="83" t="b">
        <v>0</v>
      </c>
      <c r="G1102" s="83" t="b">
        <v>0</v>
      </c>
    </row>
    <row r="1103" spans="1:7" ht="15">
      <c r="A1103" s="84" t="s">
        <v>2718</v>
      </c>
      <c r="B1103" s="83">
        <v>4</v>
      </c>
      <c r="C1103" s="110">
        <v>0.01946578745272928</v>
      </c>
      <c r="D1103" s="83" t="s">
        <v>2674</v>
      </c>
      <c r="E1103" s="83" t="b">
        <v>0</v>
      </c>
      <c r="F1103" s="83" t="b">
        <v>0</v>
      </c>
      <c r="G1103" s="83" t="b">
        <v>0</v>
      </c>
    </row>
    <row r="1104" spans="1:7" ht="15">
      <c r="A1104" s="84" t="s">
        <v>2802</v>
      </c>
      <c r="B1104" s="83">
        <v>3</v>
      </c>
      <c r="C1104" s="110">
        <v>0.016334600820217794</v>
      </c>
      <c r="D1104" s="83" t="s">
        <v>2674</v>
      </c>
      <c r="E1104" s="83" t="b">
        <v>0</v>
      </c>
      <c r="F1104" s="83" t="b">
        <v>0</v>
      </c>
      <c r="G1104" s="83" t="b">
        <v>0</v>
      </c>
    </row>
    <row r="1105" spans="1:7" ht="15">
      <c r="A1105" s="84" t="s">
        <v>2803</v>
      </c>
      <c r="B1105" s="83">
        <v>3</v>
      </c>
      <c r="C1105" s="110">
        <v>0.016334600820217794</v>
      </c>
      <c r="D1105" s="83" t="s">
        <v>2674</v>
      </c>
      <c r="E1105" s="83" t="b">
        <v>0</v>
      </c>
      <c r="F1105" s="83" t="b">
        <v>0</v>
      </c>
      <c r="G1105" s="83" t="b">
        <v>0</v>
      </c>
    </row>
    <row r="1106" spans="1:7" ht="15">
      <c r="A1106" s="84" t="s">
        <v>2871</v>
      </c>
      <c r="B1106" s="83">
        <v>3</v>
      </c>
      <c r="C1106" s="110">
        <v>0.016334600820217794</v>
      </c>
      <c r="D1106" s="83" t="s">
        <v>2674</v>
      </c>
      <c r="E1106" s="83" t="b">
        <v>0</v>
      </c>
      <c r="F1106" s="83" t="b">
        <v>0</v>
      </c>
      <c r="G1106" s="83" t="b">
        <v>0</v>
      </c>
    </row>
    <row r="1107" spans="1:7" ht="15">
      <c r="A1107" s="84" t="s">
        <v>3047</v>
      </c>
      <c r="B1107" s="83">
        <v>3</v>
      </c>
      <c r="C1107" s="110">
        <v>0.02296128491354644</v>
      </c>
      <c r="D1107" s="83" t="s">
        <v>2674</v>
      </c>
      <c r="E1107" s="83" t="b">
        <v>0</v>
      </c>
      <c r="F1107" s="83" t="b">
        <v>0</v>
      </c>
      <c r="G1107" s="83" t="b">
        <v>0</v>
      </c>
    </row>
    <row r="1108" spans="1:7" ht="15">
      <c r="A1108" s="84" t="s">
        <v>2770</v>
      </c>
      <c r="B1108" s="83">
        <v>3</v>
      </c>
      <c r="C1108" s="110">
        <v>0.016334600820217794</v>
      </c>
      <c r="D1108" s="83" t="s">
        <v>2674</v>
      </c>
      <c r="E1108" s="83" t="b">
        <v>0</v>
      </c>
      <c r="F1108" s="83" t="b">
        <v>0</v>
      </c>
      <c r="G1108" s="83" t="b">
        <v>0</v>
      </c>
    </row>
    <row r="1109" spans="1:7" ht="15">
      <c r="A1109" s="84" t="s">
        <v>3048</v>
      </c>
      <c r="B1109" s="83">
        <v>3</v>
      </c>
      <c r="C1109" s="110">
        <v>0.016334600820217794</v>
      </c>
      <c r="D1109" s="83" t="s">
        <v>2674</v>
      </c>
      <c r="E1109" s="83" t="b">
        <v>0</v>
      </c>
      <c r="F1109" s="83" t="b">
        <v>0</v>
      </c>
      <c r="G1109" s="83" t="b">
        <v>0</v>
      </c>
    </row>
    <row r="1110" spans="1:7" ht="15">
      <c r="A1110" s="84" t="s">
        <v>3049</v>
      </c>
      <c r="B1110" s="83">
        <v>3</v>
      </c>
      <c r="C1110" s="110">
        <v>0.02296128491354644</v>
      </c>
      <c r="D1110" s="83" t="s">
        <v>2674</v>
      </c>
      <c r="E1110" s="83" t="b">
        <v>0</v>
      </c>
      <c r="F1110" s="83" t="b">
        <v>0</v>
      </c>
      <c r="G1110" s="83" t="b">
        <v>0</v>
      </c>
    </row>
    <row r="1111" spans="1:7" ht="15">
      <c r="A1111" s="84" t="s">
        <v>3104</v>
      </c>
      <c r="B1111" s="83">
        <v>2</v>
      </c>
      <c r="C1111" s="110">
        <v>0.012520208501031133</v>
      </c>
      <c r="D1111" s="83" t="s">
        <v>2674</v>
      </c>
      <c r="E1111" s="83" t="b">
        <v>1</v>
      </c>
      <c r="F1111" s="83" t="b">
        <v>0</v>
      </c>
      <c r="G1111" s="83" t="b">
        <v>0</v>
      </c>
    </row>
    <row r="1112" spans="1:7" ht="15">
      <c r="A1112" s="84" t="s">
        <v>2953</v>
      </c>
      <c r="B1112" s="83">
        <v>2</v>
      </c>
      <c r="C1112" s="110">
        <v>0.012520208501031133</v>
      </c>
      <c r="D1112" s="83" t="s">
        <v>2674</v>
      </c>
      <c r="E1112" s="83" t="b">
        <v>0</v>
      </c>
      <c r="F1112" s="83" t="b">
        <v>0</v>
      </c>
      <c r="G1112" s="83" t="b">
        <v>0</v>
      </c>
    </row>
    <row r="1113" spans="1:7" ht="15">
      <c r="A1113" s="84" t="s">
        <v>3319</v>
      </c>
      <c r="B1113" s="83">
        <v>2</v>
      </c>
      <c r="C1113" s="110">
        <v>0.015307523275697626</v>
      </c>
      <c r="D1113" s="83" t="s">
        <v>2674</v>
      </c>
      <c r="E1113" s="83" t="b">
        <v>0</v>
      </c>
      <c r="F1113" s="83" t="b">
        <v>0</v>
      </c>
      <c r="G1113" s="83" t="b">
        <v>0</v>
      </c>
    </row>
    <row r="1114" spans="1:7" ht="15">
      <c r="A1114" s="84" t="s">
        <v>3316</v>
      </c>
      <c r="B1114" s="83">
        <v>2</v>
      </c>
      <c r="C1114" s="110">
        <v>0.012520208501031133</v>
      </c>
      <c r="D1114" s="83" t="s">
        <v>2674</v>
      </c>
      <c r="E1114" s="83" t="b">
        <v>0</v>
      </c>
      <c r="F1114" s="83" t="b">
        <v>0</v>
      </c>
      <c r="G1114" s="83" t="b">
        <v>0</v>
      </c>
    </row>
    <row r="1115" spans="1:7" ht="15">
      <c r="A1115" s="84" t="s">
        <v>2813</v>
      </c>
      <c r="B1115" s="83">
        <v>2</v>
      </c>
      <c r="C1115" s="110">
        <v>0.012520208501031133</v>
      </c>
      <c r="D1115" s="83" t="s">
        <v>2674</v>
      </c>
      <c r="E1115" s="83" t="b">
        <v>1</v>
      </c>
      <c r="F1115" s="83" t="b">
        <v>0</v>
      </c>
      <c r="G1115" s="83" t="b">
        <v>0</v>
      </c>
    </row>
    <row r="1116" spans="1:7" ht="15">
      <c r="A1116" s="84" t="s">
        <v>3317</v>
      </c>
      <c r="B1116" s="83">
        <v>2</v>
      </c>
      <c r="C1116" s="110">
        <v>0.012520208501031133</v>
      </c>
      <c r="D1116" s="83" t="s">
        <v>2674</v>
      </c>
      <c r="E1116" s="83" t="b">
        <v>1</v>
      </c>
      <c r="F1116" s="83" t="b">
        <v>0</v>
      </c>
      <c r="G1116" s="83" t="b">
        <v>0</v>
      </c>
    </row>
    <row r="1117" spans="1:7" ht="15">
      <c r="A1117" s="84" t="s">
        <v>3032</v>
      </c>
      <c r="B1117" s="83">
        <v>2</v>
      </c>
      <c r="C1117" s="110">
        <v>0.012520208501031133</v>
      </c>
      <c r="D1117" s="83" t="s">
        <v>2674</v>
      </c>
      <c r="E1117" s="83" t="b">
        <v>1</v>
      </c>
      <c r="F1117" s="83" t="b">
        <v>0</v>
      </c>
      <c r="G1117" s="83" t="b">
        <v>0</v>
      </c>
    </row>
    <row r="1118" spans="1:7" ht="15">
      <c r="A1118" s="84" t="s">
        <v>2775</v>
      </c>
      <c r="B1118" s="83">
        <v>2</v>
      </c>
      <c r="C1118" s="110">
        <v>0.012520208501031133</v>
      </c>
      <c r="D1118" s="83" t="s">
        <v>2674</v>
      </c>
      <c r="E1118" s="83" t="b">
        <v>0</v>
      </c>
      <c r="F1118" s="83" t="b">
        <v>0</v>
      </c>
      <c r="G1118" s="83" t="b">
        <v>0</v>
      </c>
    </row>
    <row r="1119" spans="1:7" ht="15">
      <c r="A1119" s="84" t="s">
        <v>3001</v>
      </c>
      <c r="B1119" s="83">
        <v>2</v>
      </c>
      <c r="C1119" s="110">
        <v>0.012520208501031133</v>
      </c>
      <c r="D1119" s="83" t="s">
        <v>2674</v>
      </c>
      <c r="E1119" s="83" t="b">
        <v>0</v>
      </c>
      <c r="F1119" s="83" t="b">
        <v>0</v>
      </c>
      <c r="G1119" s="83" t="b">
        <v>0</v>
      </c>
    </row>
    <row r="1120" spans="1:7" ht="15">
      <c r="A1120" s="84" t="s">
        <v>3320</v>
      </c>
      <c r="B1120" s="83">
        <v>2</v>
      </c>
      <c r="C1120" s="110">
        <v>0.012520208501031133</v>
      </c>
      <c r="D1120" s="83" t="s">
        <v>2674</v>
      </c>
      <c r="E1120" s="83" t="b">
        <v>1</v>
      </c>
      <c r="F1120" s="83" t="b">
        <v>0</v>
      </c>
      <c r="G1120" s="83" t="b">
        <v>0</v>
      </c>
    </row>
    <row r="1121" spans="1:7" ht="15">
      <c r="A1121" s="84" t="s">
        <v>3045</v>
      </c>
      <c r="B1121" s="83">
        <v>2</v>
      </c>
      <c r="C1121" s="110">
        <v>0.012520208501031133</v>
      </c>
      <c r="D1121" s="83" t="s">
        <v>2674</v>
      </c>
      <c r="E1121" s="83" t="b">
        <v>0</v>
      </c>
      <c r="F1121" s="83" t="b">
        <v>0</v>
      </c>
      <c r="G1121" s="83" t="b">
        <v>0</v>
      </c>
    </row>
    <row r="1122" spans="1:7" ht="15">
      <c r="A1122" s="84" t="s">
        <v>2823</v>
      </c>
      <c r="B1122" s="83">
        <v>2</v>
      </c>
      <c r="C1122" s="110">
        <v>0.012520208501031133</v>
      </c>
      <c r="D1122" s="83" t="s">
        <v>2674</v>
      </c>
      <c r="E1122" s="83" t="b">
        <v>0</v>
      </c>
      <c r="F1122" s="83" t="b">
        <v>0</v>
      </c>
      <c r="G1122" s="83" t="b">
        <v>0</v>
      </c>
    </row>
    <row r="1123" spans="1:7" ht="15">
      <c r="A1123" s="84" t="s">
        <v>3028</v>
      </c>
      <c r="B1123" s="83">
        <v>2</v>
      </c>
      <c r="C1123" s="110">
        <v>0.012520208501031133</v>
      </c>
      <c r="D1123" s="83" t="s">
        <v>2674</v>
      </c>
      <c r="E1123" s="83" t="b">
        <v>0</v>
      </c>
      <c r="F1123" s="83" t="b">
        <v>0</v>
      </c>
      <c r="G1123" s="83" t="b">
        <v>0</v>
      </c>
    </row>
    <row r="1124" spans="1:7" ht="15">
      <c r="A1124" s="84" t="s">
        <v>3035</v>
      </c>
      <c r="B1124" s="83">
        <v>2</v>
      </c>
      <c r="C1124" s="110">
        <v>0.012520208501031133</v>
      </c>
      <c r="D1124" s="83" t="s">
        <v>2674</v>
      </c>
      <c r="E1124" s="83" t="b">
        <v>0</v>
      </c>
      <c r="F1124" s="83" t="b">
        <v>0</v>
      </c>
      <c r="G1124" s="83" t="b">
        <v>0</v>
      </c>
    </row>
    <row r="1125" spans="1:7" ht="15">
      <c r="A1125" s="84" t="s">
        <v>2992</v>
      </c>
      <c r="B1125" s="83">
        <v>2</v>
      </c>
      <c r="C1125" s="110">
        <v>0.012520208501031133</v>
      </c>
      <c r="D1125" s="83" t="s">
        <v>2674</v>
      </c>
      <c r="E1125" s="83" t="b">
        <v>0</v>
      </c>
      <c r="F1125" s="83" t="b">
        <v>0</v>
      </c>
      <c r="G1125" s="83" t="b">
        <v>0</v>
      </c>
    </row>
    <row r="1126" spans="1:7" ht="15">
      <c r="A1126" s="84" t="s">
        <v>3321</v>
      </c>
      <c r="B1126" s="83">
        <v>2</v>
      </c>
      <c r="C1126" s="110">
        <v>0.012520208501031133</v>
      </c>
      <c r="D1126" s="83" t="s">
        <v>2674</v>
      </c>
      <c r="E1126" s="83" t="b">
        <v>1</v>
      </c>
      <c r="F1126" s="83" t="b">
        <v>0</v>
      </c>
      <c r="G1126" s="83" t="b">
        <v>0</v>
      </c>
    </row>
    <row r="1127" spans="1:7" ht="15">
      <c r="A1127" s="84" t="s">
        <v>3322</v>
      </c>
      <c r="B1127" s="83">
        <v>2</v>
      </c>
      <c r="C1127" s="110">
        <v>0.012520208501031133</v>
      </c>
      <c r="D1127" s="83" t="s">
        <v>2674</v>
      </c>
      <c r="E1127" s="83" t="b">
        <v>0</v>
      </c>
      <c r="F1127" s="83" t="b">
        <v>0</v>
      </c>
      <c r="G1127" s="83" t="b">
        <v>0</v>
      </c>
    </row>
    <row r="1128" spans="1:7" ht="15">
      <c r="A1128" s="84" t="s">
        <v>2769</v>
      </c>
      <c r="B1128" s="83">
        <v>2</v>
      </c>
      <c r="C1128" s="110">
        <v>0.012520208501031133</v>
      </c>
      <c r="D1128" s="83" t="s">
        <v>2674</v>
      </c>
      <c r="E1128" s="83" t="b">
        <v>0</v>
      </c>
      <c r="F1128" s="83" t="b">
        <v>0</v>
      </c>
      <c r="G1128" s="83" t="b">
        <v>0</v>
      </c>
    </row>
    <row r="1129" spans="1:7" ht="15">
      <c r="A1129" s="84" t="s">
        <v>2750</v>
      </c>
      <c r="B1129" s="83">
        <v>2</v>
      </c>
      <c r="C1129" s="110">
        <v>0.012520208501031133</v>
      </c>
      <c r="D1129" s="83" t="s">
        <v>2674</v>
      </c>
      <c r="E1129" s="83" t="b">
        <v>0</v>
      </c>
      <c r="F1129" s="83" t="b">
        <v>0</v>
      </c>
      <c r="G1129" s="83" t="b">
        <v>0</v>
      </c>
    </row>
    <row r="1130" spans="1:7" ht="15">
      <c r="A1130" s="84" t="s">
        <v>2745</v>
      </c>
      <c r="B1130" s="83">
        <v>2</v>
      </c>
      <c r="C1130" s="110">
        <v>0.012520208501031133</v>
      </c>
      <c r="D1130" s="83" t="s">
        <v>2674</v>
      </c>
      <c r="E1130" s="83" t="b">
        <v>0</v>
      </c>
      <c r="F1130" s="83" t="b">
        <v>0</v>
      </c>
      <c r="G1130" s="83" t="b">
        <v>0</v>
      </c>
    </row>
    <row r="1131" spans="1:7" ht="15">
      <c r="A1131" s="84" t="s">
        <v>3323</v>
      </c>
      <c r="B1131" s="83">
        <v>2</v>
      </c>
      <c r="C1131" s="110">
        <v>0.012520208501031133</v>
      </c>
      <c r="D1131" s="83" t="s">
        <v>2674</v>
      </c>
      <c r="E1131" s="83" t="b">
        <v>0</v>
      </c>
      <c r="F1131" s="83" t="b">
        <v>0</v>
      </c>
      <c r="G1131" s="83" t="b">
        <v>0</v>
      </c>
    </row>
    <row r="1132" spans="1:7" ht="15">
      <c r="A1132" s="84" t="s">
        <v>3324</v>
      </c>
      <c r="B1132" s="83">
        <v>2</v>
      </c>
      <c r="C1132" s="110">
        <v>0.012520208501031133</v>
      </c>
      <c r="D1132" s="83" t="s">
        <v>2674</v>
      </c>
      <c r="E1132" s="83" t="b">
        <v>0</v>
      </c>
      <c r="F1132" s="83" t="b">
        <v>0</v>
      </c>
      <c r="G1132" s="83" t="b">
        <v>0</v>
      </c>
    </row>
    <row r="1133" spans="1:7" ht="15">
      <c r="A1133" s="84" t="s">
        <v>3011</v>
      </c>
      <c r="B1133" s="83">
        <v>2</v>
      </c>
      <c r="C1133" s="110">
        <v>0.012520208501031133</v>
      </c>
      <c r="D1133" s="83" t="s">
        <v>2674</v>
      </c>
      <c r="E1133" s="83" t="b">
        <v>0</v>
      </c>
      <c r="F1133" s="83" t="b">
        <v>1</v>
      </c>
      <c r="G1133" s="83" t="b">
        <v>0</v>
      </c>
    </row>
    <row r="1134" spans="1:7" ht="15">
      <c r="A1134" s="84" t="s">
        <v>3325</v>
      </c>
      <c r="B1134" s="83">
        <v>2</v>
      </c>
      <c r="C1134" s="110">
        <v>0.015307523275697626</v>
      </c>
      <c r="D1134" s="83" t="s">
        <v>2674</v>
      </c>
      <c r="E1134" s="83" t="b">
        <v>0</v>
      </c>
      <c r="F1134" s="83" t="b">
        <v>0</v>
      </c>
      <c r="G1134" s="83" t="b">
        <v>0</v>
      </c>
    </row>
    <row r="1135" spans="1:7" ht="15">
      <c r="A1135" s="84" t="s">
        <v>3326</v>
      </c>
      <c r="B1135" s="83">
        <v>2</v>
      </c>
      <c r="C1135" s="110">
        <v>0.015307523275697626</v>
      </c>
      <c r="D1135" s="83" t="s">
        <v>2674</v>
      </c>
      <c r="E1135" s="83" t="b">
        <v>0</v>
      </c>
      <c r="F1135" s="83" t="b">
        <v>0</v>
      </c>
      <c r="G1135" s="83" t="b">
        <v>0</v>
      </c>
    </row>
    <row r="1136" spans="1:7" ht="15">
      <c r="A1136" s="84" t="s">
        <v>3327</v>
      </c>
      <c r="B1136" s="83">
        <v>2</v>
      </c>
      <c r="C1136" s="110">
        <v>0.012520208501031133</v>
      </c>
      <c r="D1136" s="83" t="s">
        <v>2674</v>
      </c>
      <c r="E1136" s="83" t="b">
        <v>0</v>
      </c>
      <c r="F1136" s="83" t="b">
        <v>0</v>
      </c>
      <c r="G1136" s="83" t="b">
        <v>0</v>
      </c>
    </row>
    <row r="1137" spans="1:7" ht="15">
      <c r="A1137" s="84" t="s">
        <v>3328</v>
      </c>
      <c r="B1137" s="83">
        <v>2</v>
      </c>
      <c r="C1137" s="110">
        <v>0.012520208501031133</v>
      </c>
      <c r="D1137" s="83" t="s">
        <v>2674</v>
      </c>
      <c r="E1137" s="83" t="b">
        <v>0</v>
      </c>
      <c r="F1137" s="83" t="b">
        <v>0</v>
      </c>
      <c r="G1137" s="83" t="b">
        <v>0</v>
      </c>
    </row>
    <row r="1138" spans="1:7" ht="15">
      <c r="A1138" s="84" t="s">
        <v>2726</v>
      </c>
      <c r="B1138" s="83">
        <v>2</v>
      </c>
      <c r="C1138" s="110">
        <v>0.012520208501031133</v>
      </c>
      <c r="D1138" s="83" t="s">
        <v>2674</v>
      </c>
      <c r="E1138" s="83" t="b">
        <v>1</v>
      </c>
      <c r="F1138" s="83" t="b">
        <v>0</v>
      </c>
      <c r="G1138" s="83" t="b">
        <v>0</v>
      </c>
    </row>
    <row r="1139" spans="1:7" ht="15">
      <c r="A1139" s="84" t="s">
        <v>2902</v>
      </c>
      <c r="B1139" s="83">
        <v>2</v>
      </c>
      <c r="C1139" s="110">
        <v>0.015307523275697626</v>
      </c>
      <c r="D1139" s="83" t="s">
        <v>2674</v>
      </c>
      <c r="E1139" s="83" t="b">
        <v>0</v>
      </c>
      <c r="F1139" s="83" t="b">
        <v>0</v>
      </c>
      <c r="G1139" s="83" t="b">
        <v>0</v>
      </c>
    </row>
    <row r="1140" spans="1:7" ht="15">
      <c r="A1140" s="84" t="s">
        <v>2734</v>
      </c>
      <c r="B1140" s="83">
        <v>2</v>
      </c>
      <c r="C1140" s="110">
        <v>0.015307523275697626</v>
      </c>
      <c r="D1140" s="83" t="s">
        <v>2674</v>
      </c>
      <c r="E1140" s="83" t="b">
        <v>0</v>
      </c>
      <c r="F1140" s="83" t="b">
        <v>0</v>
      </c>
      <c r="G1140" s="83" t="b">
        <v>0</v>
      </c>
    </row>
    <row r="1141" spans="1:7" ht="15">
      <c r="A1141" s="84" t="s">
        <v>2764</v>
      </c>
      <c r="B1141" s="83">
        <v>2</v>
      </c>
      <c r="C1141" s="110">
        <v>0.012520208501031133</v>
      </c>
      <c r="D1141" s="83" t="s">
        <v>2674</v>
      </c>
      <c r="E1141" s="83" t="b">
        <v>0</v>
      </c>
      <c r="F1141" s="83" t="b">
        <v>0</v>
      </c>
      <c r="G1141" s="83" t="b">
        <v>0</v>
      </c>
    </row>
    <row r="1142" spans="1:7" ht="15">
      <c r="A1142" s="84" t="s">
        <v>3330</v>
      </c>
      <c r="B1142" s="83">
        <v>2</v>
      </c>
      <c r="C1142" s="110">
        <v>0.012520208501031133</v>
      </c>
      <c r="D1142" s="83" t="s">
        <v>2674</v>
      </c>
      <c r="E1142" s="83" t="b">
        <v>0</v>
      </c>
      <c r="F1142" s="83" t="b">
        <v>0</v>
      </c>
      <c r="G1142" s="83" t="b">
        <v>0</v>
      </c>
    </row>
    <row r="1143" spans="1:7" ht="15">
      <c r="A1143" s="84" t="s">
        <v>3329</v>
      </c>
      <c r="B1143" s="83">
        <v>2</v>
      </c>
      <c r="C1143" s="110">
        <v>0.012520208501031133</v>
      </c>
      <c r="D1143" s="83" t="s">
        <v>2674</v>
      </c>
      <c r="E1143" s="83" t="b">
        <v>0</v>
      </c>
      <c r="F1143" s="83" t="b">
        <v>0</v>
      </c>
      <c r="G1143" s="83" t="b">
        <v>0</v>
      </c>
    </row>
    <row r="1144" spans="1:7" ht="15">
      <c r="A1144" s="84" t="s">
        <v>2841</v>
      </c>
      <c r="B1144" s="83">
        <v>2</v>
      </c>
      <c r="C1144" s="110">
        <v>0.015307523275697626</v>
      </c>
      <c r="D1144" s="83" t="s">
        <v>2674</v>
      </c>
      <c r="E1144" s="83" t="b">
        <v>0</v>
      </c>
      <c r="F1144" s="83" t="b">
        <v>0</v>
      </c>
      <c r="G1144" s="83" t="b">
        <v>0</v>
      </c>
    </row>
    <row r="1145" spans="1:7" ht="15">
      <c r="A1145" s="84" t="s">
        <v>3332</v>
      </c>
      <c r="B1145" s="83">
        <v>2</v>
      </c>
      <c r="C1145" s="110">
        <v>0.015307523275697626</v>
      </c>
      <c r="D1145" s="83" t="s">
        <v>2674</v>
      </c>
      <c r="E1145" s="83" t="b">
        <v>0</v>
      </c>
      <c r="F1145" s="83" t="b">
        <v>0</v>
      </c>
      <c r="G1145" s="83" t="b">
        <v>0</v>
      </c>
    </row>
    <row r="1146" spans="1:7" ht="15">
      <c r="A1146" s="84" t="s">
        <v>2736</v>
      </c>
      <c r="B1146" s="83">
        <v>11</v>
      </c>
      <c r="C1146" s="110">
        <v>0.05705969363304537</v>
      </c>
      <c r="D1146" s="83" t="s">
        <v>2675</v>
      </c>
      <c r="E1146" s="83" t="b">
        <v>0</v>
      </c>
      <c r="F1146" s="83" t="b">
        <v>0</v>
      </c>
      <c r="G1146" s="83" t="b">
        <v>0</v>
      </c>
    </row>
    <row r="1147" spans="1:7" ht="15">
      <c r="A1147" s="84" t="s">
        <v>2919</v>
      </c>
      <c r="B1147" s="83">
        <v>4</v>
      </c>
      <c r="C1147" s="110">
        <v>0.04166958397103333</v>
      </c>
      <c r="D1147" s="83" t="s">
        <v>2675</v>
      </c>
      <c r="E1147" s="83" t="b">
        <v>0</v>
      </c>
      <c r="F1147" s="83" t="b">
        <v>0</v>
      </c>
      <c r="G1147" s="83" t="b">
        <v>0</v>
      </c>
    </row>
    <row r="1148" spans="1:7" ht="15">
      <c r="A1148" s="84" t="s">
        <v>2747</v>
      </c>
      <c r="B1148" s="83">
        <v>4</v>
      </c>
      <c r="C1148" s="110">
        <v>0.04166958397103333</v>
      </c>
      <c r="D1148" s="83" t="s">
        <v>2675</v>
      </c>
      <c r="E1148" s="83" t="b">
        <v>0</v>
      </c>
      <c r="F1148" s="83" t="b">
        <v>0</v>
      </c>
      <c r="G1148" s="83" t="b">
        <v>0</v>
      </c>
    </row>
    <row r="1149" spans="1:7" ht="15">
      <c r="A1149" s="84" t="s">
        <v>2826</v>
      </c>
      <c r="B1149" s="83">
        <v>3</v>
      </c>
      <c r="C1149" s="110">
        <v>0.03571428571428571</v>
      </c>
      <c r="D1149" s="83" t="s">
        <v>2675</v>
      </c>
      <c r="E1149" s="83" t="b">
        <v>0</v>
      </c>
      <c r="F1149" s="83" t="b">
        <v>0</v>
      </c>
      <c r="G1149" s="83" t="b">
        <v>0</v>
      </c>
    </row>
    <row r="1150" spans="1:7" ht="15">
      <c r="A1150" s="84" t="s">
        <v>3356</v>
      </c>
      <c r="B1150" s="83">
        <v>2</v>
      </c>
      <c r="C1150" s="110">
        <v>0.03516955368380148</v>
      </c>
      <c r="D1150" s="83" t="s">
        <v>2675</v>
      </c>
      <c r="E1150" s="83" t="b">
        <v>0</v>
      </c>
      <c r="F1150" s="83" t="b">
        <v>0</v>
      </c>
      <c r="G1150" s="83" t="b">
        <v>0</v>
      </c>
    </row>
    <row r="1151" spans="1:7" ht="15">
      <c r="A1151" s="84" t="s">
        <v>2894</v>
      </c>
      <c r="B1151" s="83">
        <v>2</v>
      </c>
      <c r="C1151" s="110">
        <v>0.028002172834659077</v>
      </c>
      <c r="D1151" s="83" t="s">
        <v>2675</v>
      </c>
      <c r="E1151" s="83" t="b">
        <v>0</v>
      </c>
      <c r="F1151" s="83" t="b">
        <v>0</v>
      </c>
      <c r="G1151" s="83" t="b">
        <v>0</v>
      </c>
    </row>
    <row r="1152" spans="1:7" ht="15">
      <c r="A1152" s="84" t="s">
        <v>2763</v>
      </c>
      <c r="B1152" s="83">
        <v>2</v>
      </c>
      <c r="C1152" s="110">
        <v>0.028002172834659077</v>
      </c>
      <c r="D1152" s="83" t="s">
        <v>2675</v>
      </c>
      <c r="E1152" s="83" t="b">
        <v>0</v>
      </c>
      <c r="F1152" s="83" t="b">
        <v>0</v>
      </c>
      <c r="G1152" s="83" t="b">
        <v>0</v>
      </c>
    </row>
    <row r="1153" spans="1:7" ht="15">
      <c r="A1153" s="84" t="s">
        <v>3355</v>
      </c>
      <c r="B1153" s="83">
        <v>2</v>
      </c>
      <c r="C1153" s="110">
        <v>0.028002172834659077</v>
      </c>
      <c r="D1153" s="83" t="s">
        <v>2675</v>
      </c>
      <c r="E1153" s="83" t="b">
        <v>0</v>
      </c>
      <c r="F1153" s="83" t="b">
        <v>0</v>
      </c>
      <c r="G1153" s="83" t="b">
        <v>0</v>
      </c>
    </row>
    <row r="1154" spans="1:7" ht="15">
      <c r="A1154" s="84" t="s">
        <v>2758</v>
      </c>
      <c r="B1154" s="83">
        <v>2</v>
      </c>
      <c r="C1154" s="110">
        <v>0.028002172834659077</v>
      </c>
      <c r="D1154" s="83" t="s">
        <v>2675</v>
      </c>
      <c r="E1154" s="83" t="b">
        <v>0</v>
      </c>
      <c r="F1154" s="83" t="b">
        <v>0</v>
      </c>
      <c r="G1154" s="83" t="b">
        <v>0</v>
      </c>
    </row>
    <row r="1155" spans="1:7" ht="15">
      <c r="A1155" s="84" t="s">
        <v>2916</v>
      </c>
      <c r="B1155" s="83">
        <v>2</v>
      </c>
      <c r="C1155" s="110">
        <v>0.028002172834659077</v>
      </c>
      <c r="D1155" s="83" t="s">
        <v>2675</v>
      </c>
      <c r="E1155" s="83" t="b">
        <v>0</v>
      </c>
      <c r="F1155" s="83" t="b">
        <v>0</v>
      </c>
      <c r="G1155" s="83" t="b">
        <v>0</v>
      </c>
    </row>
    <row r="1156" spans="1:7" ht="15">
      <c r="A1156" s="84" t="s">
        <v>2975</v>
      </c>
      <c r="B1156" s="83">
        <v>2</v>
      </c>
      <c r="C1156" s="110">
        <v>0.028002172834659077</v>
      </c>
      <c r="D1156" s="83" t="s">
        <v>2675</v>
      </c>
      <c r="E1156" s="83" t="b">
        <v>0</v>
      </c>
      <c r="F1156" s="83" t="b">
        <v>0</v>
      </c>
      <c r="G1156" s="83" t="b">
        <v>0</v>
      </c>
    </row>
    <row r="1157" spans="1:7" ht="15">
      <c r="A1157" s="84" t="s">
        <v>2770</v>
      </c>
      <c r="B1157" s="83">
        <v>6</v>
      </c>
      <c r="C1157" s="110">
        <v>0.01623131341831065</v>
      </c>
      <c r="D1157" s="83" t="s">
        <v>2676</v>
      </c>
      <c r="E1157" s="83" t="b">
        <v>0</v>
      </c>
      <c r="F1157" s="83" t="b">
        <v>0</v>
      </c>
      <c r="G1157" s="83" t="b">
        <v>0</v>
      </c>
    </row>
    <row r="1158" spans="1:7" ht="15">
      <c r="A1158" s="84" t="s">
        <v>2720</v>
      </c>
      <c r="B1158" s="83">
        <v>5</v>
      </c>
      <c r="C1158" s="110">
        <v>0.010133911799412448</v>
      </c>
      <c r="D1158" s="83" t="s">
        <v>2676</v>
      </c>
      <c r="E1158" s="83" t="b">
        <v>0</v>
      </c>
      <c r="F1158" s="83" t="b">
        <v>0</v>
      </c>
      <c r="G1158" s="83" t="b">
        <v>0</v>
      </c>
    </row>
    <row r="1159" spans="1:7" ht="15">
      <c r="A1159" s="84" t="s">
        <v>2719</v>
      </c>
      <c r="B1159" s="83">
        <v>5</v>
      </c>
      <c r="C1159" s="110">
        <v>0.013526094515258874</v>
      </c>
      <c r="D1159" s="83" t="s">
        <v>2676</v>
      </c>
      <c r="E1159" s="83" t="b">
        <v>1</v>
      </c>
      <c r="F1159" s="83" t="b">
        <v>0</v>
      </c>
      <c r="G1159" s="83" t="b">
        <v>0</v>
      </c>
    </row>
    <row r="1160" spans="1:7" ht="15">
      <c r="A1160" s="84" t="s">
        <v>2741</v>
      </c>
      <c r="B1160" s="83">
        <v>5</v>
      </c>
      <c r="C1160" s="110">
        <v>0.016218621412134735</v>
      </c>
      <c r="D1160" s="83" t="s">
        <v>2676</v>
      </c>
      <c r="E1160" s="83" t="b">
        <v>0</v>
      </c>
      <c r="F1160" s="83" t="b">
        <v>0</v>
      </c>
      <c r="G1160" s="83" t="b">
        <v>0</v>
      </c>
    </row>
    <row r="1161" spans="1:7" ht="15">
      <c r="A1161" s="84" t="s">
        <v>2824</v>
      </c>
      <c r="B1161" s="83">
        <v>4</v>
      </c>
      <c r="C1161" s="110">
        <v>0.009292573023726367</v>
      </c>
      <c r="D1161" s="83" t="s">
        <v>2676</v>
      </c>
      <c r="E1161" s="83" t="b">
        <v>0</v>
      </c>
      <c r="F1161" s="83" t="b">
        <v>0</v>
      </c>
      <c r="G1161" s="83" t="b">
        <v>0</v>
      </c>
    </row>
    <row r="1162" spans="1:7" ht="15">
      <c r="A1162" s="84" t="s">
        <v>2907</v>
      </c>
      <c r="B1162" s="83">
        <v>4</v>
      </c>
      <c r="C1162" s="110">
        <v>0.012974897129707787</v>
      </c>
      <c r="D1162" s="83" t="s">
        <v>2676</v>
      </c>
      <c r="E1162" s="83" t="b">
        <v>0</v>
      </c>
      <c r="F1162" s="83" t="b">
        <v>0</v>
      </c>
      <c r="G1162" s="83" t="b">
        <v>0</v>
      </c>
    </row>
    <row r="1163" spans="1:7" ht="15">
      <c r="A1163" s="84" t="s">
        <v>2848</v>
      </c>
      <c r="B1163" s="83">
        <v>4</v>
      </c>
      <c r="C1163" s="110">
        <v>0.0108208756122071</v>
      </c>
      <c r="D1163" s="83" t="s">
        <v>2676</v>
      </c>
      <c r="E1163" s="83" t="b">
        <v>0</v>
      </c>
      <c r="F1163" s="83" t="b">
        <v>0</v>
      </c>
      <c r="G1163" s="83" t="b">
        <v>0</v>
      </c>
    </row>
    <row r="1164" spans="1:7" ht="15">
      <c r="A1164" s="84" t="s">
        <v>2908</v>
      </c>
      <c r="B1164" s="83">
        <v>4</v>
      </c>
      <c r="C1164" s="110">
        <v>0.0108208756122071</v>
      </c>
      <c r="D1164" s="83" t="s">
        <v>2676</v>
      </c>
      <c r="E1164" s="83" t="b">
        <v>0</v>
      </c>
      <c r="F1164" s="83" t="b">
        <v>0</v>
      </c>
      <c r="G1164" s="83" t="b">
        <v>0</v>
      </c>
    </row>
    <row r="1165" spans="1:7" ht="15">
      <c r="A1165" s="84" t="s">
        <v>1421</v>
      </c>
      <c r="B1165" s="83">
        <v>3</v>
      </c>
      <c r="C1165" s="110">
        <v>0.008115656709155325</v>
      </c>
      <c r="D1165" s="83" t="s">
        <v>2676</v>
      </c>
      <c r="E1165" s="83" t="b">
        <v>1</v>
      </c>
      <c r="F1165" s="83" t="b">
        <v>0</v>
      </c>
      <c r="G1165" s="83" t="b">
        <v>0</v>
      </c>
    </row>
    <row r="1166" spans="1:7" ht="15">
      <c r="A1166" s="84" t="s">
        <v>3030</v>
      </c>
      <c r="B1166" s="83">
        <v>3</v>
      </c>
      <c r="C1166" s="110">
        <v>0.008115656709155325</v>
      </c>
      <c r="D1166" s="83" t="s">
        <v>2676</v>
      </c>
      <c r="E1166" s="83" t="b">
        <v>0</v>
      </c>
      <c r="F1166" s="83" t="b">
        <v>0</v>
      </c>
      <c r="G1166" s="83" t="b">
        <v>0</v>
      </c>
    </row>
    <row r="1167" spans="1:7" ht="15">
      <c r="A1167" s="84" t="s">
        <v>2718</v>
      </c>
      <c r="B1167" s="83">
        <v>3</v>
      </c>
      <c r="C1167" s="110">
        <v>0.008115656709155325</v>
      </c>
      <c r="D1167" s="83" t="s">
        <v>2676</v>
      </c>
      <c r="E1167" s="83" t="b">
        <v>0</v>
      </c>
      <c r="F1167" s="83" t="b">
        <v>0</v>
      </c>
      <c r="G1167" s="83" t="b">
        <v>0</v>
      </c>
    </row>
    <row r="1168" spans="1:7" ht="15">
      <c r="A1168" s="84" t="s">
        <v>3031</v>
      </c>
      <c r="B1168" s="83">
        <v>3</v>
      </c>
      <c r="C1168" s="110">
        <v>0.008115656709155325</v>
      </c>
      <c r="D1168" s="83" t="s">
        <v>2676</v>
      </c>
      <c r="E1168" s="83" t="b">
        <v>0</v>
      </c>
      <c r="F1168" s="83" t="b">
        <v>0</v>
      </c>
      <c r="G1168" s="83" t="b">
        <v>0</v>
      </c>
    </row>
    <row r="1169" spans="1:7" ht="15">
      <c r="A1169" s="84" t="s">
        <v>2726</v>
      </c>
      <c r="B1169" s="83">
        <v>3</v>
      </c>
      <c r="C1169" s="110">
        <v>0.00973117284728084</v>
      </c>
      <c r="D1169" s="83" t="s">
        <v>2676</v>
      </c>
      <c r="E1169" s="83" t="b">
        <v>1</v>
      </c>
      <c r="F1169" s="83" t="b">
        <v>0</v>
      </c>
      <c r="G1169" s="83" t="b">
        <v>0</v>
      </c>
    </row>
    <row r="1170" spans="1:7" ht="15">
      <c r="A1170" s="84" t="s">
        <v>3033</v>
      </c>
      <c r="B1170" s="83">
        <v>3</v>
      </c>
      <c r="C1170" s="110">
        <v>0.012492915926766908</v>
      </c>
      <c r="D1170" s="83" t="s">
        <v>2676</v>
      </c>
      <c r="E1170" s="83" t="b">
        <v>0</v>
      </c>
      <c r="F1170" s="83" t="b">
        <v>1</v>
      </c>
      <c r="G1170" s="83" t="b">
        <v>0</v>
      </c>
    </row>
    <row r="1171" spans="1:7" ht="15">
      <c r="A1171" s="84" t="s">
        <v>3034</v>
      </c>
      <c r="B1171" s="83">
        <v>3</v>
      </c>
      <c r="C1171" s="110">
        <v>0.012492915926766908</v>
      </c>
      <c r="D1171" s="83" t="s">
        <v>2676</v>
      </c>
      <c r="E1171" s="83" t="b">
        <v>0</v>
      </c>
      <c r="F1171" s="83" t="b">
        <v>0</v>
      </c>
      <c r="G1171" s="83" t="b">
        <v>0</v>
      </c>
    </row>
    <row r="1172" spans="1:7" ht="15">
      <c r="A1172" s="84" t="s">
        <v>2965</v>
      </c>
      <c r="B1172" s="83">
        <v>2</v>
      </c>
      <c r="C1172" s="110">
        <v>0.0064874485648538935</v>
      </c>
      <c r="D1172" s="83" t="s">
        <v>2676</v>
      </c>
      <c r="E1172" s="83" t="b">
        <v>0</v>
      </c>
      <c r="F1172" s="83" t="b">
        <v>0</v>
      </c>
      <c r="G1172" s="83" t="b">
        <v>0</v>
      </c>
    </row>
    <row r="1173" spans="1:7" ht="15">
      <c r="A1173" s="84" t="s">
        <v>2721</v>
      </c>
      <c r="B1173" s="83">
        <v>2</v>
      </c>
      <c r="C1173" s="110">
        <v>0.0064874485648538935</v>
      </c>
      <c r="D1173" s="83" t="s">
        <v>2676</v>
      </c>
      <c r="E1173" s="83" t="b">
        <v>0</v>
      </c>
      <c r="F1173" s="83" t="b">
        <v>0</v>
      </c>
      <c r="G1173" s="83" t="b">
        <v>0</v>
      </c>
    </row>
    <row r="1174" spans="1:7" ht="15">
      <c r="A1174" s="84" t="s">
        <v>2818</v>
      </c>
      <c r="B1174" s="83">
        <v>2</v>
      </c>
      <c r="C1174" s="110">
        <v>0.0064874485648538935</v>
      </c>
      <c r="D1174" s="83" t="s">
        <v>2676</v>
      </c>
      <c r="E1174" s="83" t="b">
        <v>0</v>
      </c>
      <c r="F1174" s="83" t="b">
        <v>0</v>
      </c>
      <c r="G1174" s="83" t="b">
        <v>0</v>
      </c>
    </row>
    <row r="1175" spans="1:7" ht="15">
      <c r="A1175" s="84" t="s">
        <v>2993</v>
      </c>
      <c r="B1175" s="83">
        <v>2</v>
      </c>
      <c r="C1175" s="110">
        <v>0.0064874485648538935</v>
      </c>
      <c r="D1175" s="83" t="s">
        <v>2676</v>
      </c>
      <c r="E1175" s="83" t="b">
        <v>0</v>
      </c>
      <c r="F1175" s="83" t="b">
        <v>0</v>
      </c>
      <c r="G1175" s="83" t="b">
        <v>0</v>
      </c>
    </row>
    <row r="1176" spans="1:7" ht="15">
      <c r="A1176" s="84" t="s">
        <v>3240</v>
      </c>
      <c r="B1176" s="83">
        <v>2</v>
      </c>
      <c r="C1176" s="110">
        <v>0.0064874485648538935</v>
      </c>
      <c r="D1176" s="83" t="s">
        <v>2676</v>
      </c>
      <c r="E1176" s="83" t="b">
        <v>0</v>
      </c>
      <c r="F1176" s="83" t="b">
        <v>0</v>
      </c>
      <c r="G1176" s="83" t="b">
        <v>0</v>
      </c>
    </row>
    <row r="1177" spans="1:7" ht="15">
      <c r="A1177" s="84" t="s">
        <v>3005</v>
      </c>
      <c r="B1177" s="83">
        <v>2</v>
      </c>
      <c r="C1177" s="110">
        <v>0.0064874485648538935</v>
      </c>
      <c r="D1177" s="83" t="s">
        <v>2676</v>
      </c>
      <c r="E1177" s="83" t="b">
        <v>1</v>
      </c>
      <c r="F1177" s="83" t="b">
        <v>0</v>
      </c>
      <c r="G1177" s="83" t="b">
        <v>0</v>
      </c>
    </row>
    <row r="1178" spans="1:7" ht="15">
      <c r="A1178" s="84" t="s">
        <v>3006</v>
      </c>
      <c r="B1178" s="83">
        <v>2</v>
      </c>
      <c r="C1178" s="110">
        <v>0.0064874485648538935</v>
      </c>
      <c r="D1178" s="83" t="s">
        <v>2676</v>
      </c>
      <c r="E1178" s="83" t="b">
        <v>1</v>
      </c>
      <c r="F1178" s="83" t="b">
        <v>0</v>
      </c>
      <c r="G1178" s="83" t="b">
        <v>0</v>
      </c>
    </row>
    <row r="1179" spans="1:7" ht="15">
      <c r="A1179" s="84" t="s">
        <v>3242</v>
      </c>
      <c r="B1179" s="83">
        <v>2</v>
      </c>
      <c r="C1179" s="110">
        <v>0.0064874485648538935</v>
      </c>
      <c r="D1179" s="83" t="s">
        <v>2676</v>
      </c>
      <c r="E1179" s="83" t="b">
        <v>0</v>
      </c>
      <c r="F1179" s="83" t="b">
        <v>0</v>
      </c>
      <c r="G1179" s="83" t="b">
        <v>0</v>
      </c>
    </row>
    <row r="1180" spans="1:7" ht="15">
      <c r="A1180" s="84" t="s">
        <v>2807</v>
      </c>
      <c r="B1180" s="83">
        <v>2</v>
      </c>
      <c r="C1180" s="110">
        <v>0.0064874485648538935</v>
      </c>
      <c r="D1180" s="83" t="s">
        <v>2676</v>
      </c>
      <c r="E1180" s="83" t="b">
        <v>0</v>
      </c>
      <c r="F1180" s="83" t="b">
        <v>0</v>
      </c>
      <c r="G1180" s="83" t="b">
        <v>0</v>
      </c>
    </row>
    <row r="1181" spans="1:7" ht="15">
      <c r="A1181" s="84" t="s">
        <v>3024</v>
      </c>
      <c r="B1181" s="83">
        <v>2</v>
      </c>
      <c r="C1181" s="110">
        <v>0.0064874485648538935</v>
      </c>
      <c r="D1181" s="83" t="s">
        <v>2676</v>
      </c>
      <c r="E1181" s="83" t="b">
        <v>0</v>
      </c>
      <c r="F1181" s="83" t="b">
        <v>0</v>
      </c>
      <c r="G1181" s="83" t="b">
        <v>0</v>
      </c>
    </row>
    <row r="1182" spans="1:7" ht="15">
      <c r="A1182" s="84" t="s">
        <v>3245</v>
      </c>
      <c r="B1182" s="83">
        <v>2</v>
      </c>
      <c r="C1182" s="110">
        <v>0.0064874485648538935</v>
      </c>
      <c r="D1182" s="83" t="s">
        <v>2676</v>
      </c>
      <c r="E1182" s="83" t="b">
        <v>0</v>
      </c>
      <c r="F1182" s="83" t="b">
        <v>0</v>
      </c>
      <c r="G1182" s="83" t="b">
        <v>0</v>
      </c>
    </row>
    <row r="1183" spans="1:7" ht="15">
      <c r="A1183" s="84" t="s">
        <v>2997</v>
      </c>
      <c r="B1183" s="83">
        <v>2</v>
      </c>
      <c r="C1183" s="110">
        <v>0.0064874485648538935</v>
      </c>
      <c r="D1183" s="83" t="s">
        <v>2676</v>
      </c>
      <c r="E1183" s="83" t="b">
        <v>0</v>
      </c>
      <c r="F1183" s="83" t="b">
        <v>0</v>
      </c>
      <c r="G1183" s="83" t="b">
        <v>0</v>
      </c>
    </row>
    <row r="1184" spans="1:7" ht="15">
      <c r="A1184" s="84" t="s">
        <v>2850</v>
      </c>
      <c r="B1184" s="83">
        <v>2</v>
      </c>
      <c r="C1184" s="110">
        <v>0.0064874485648538935</v>
      </c>
      <c r="D1184" s="83" t="s">
        <v>2676</v>
      </c>
      <c r="E1184" s="83" t="b">
        <v>0</v>
      </c>
      <c r="F1184" s="83" t="b">
        <v>0</v>
      </c>
      <c r="G1184" s="83" t="b">
        <v>0</v>
      </c>
    </row>
    <row r="1185" spans="1:7" ht="15">
      <c r="A1185" s="84" t="s">
        <v>2729</v>
      </c>
      <c r="B1185" s="83">
        <v>2</v>
      </c>
      <c r="C1185" s="110">
        <v>0.0064874485648538935</v>
      </c>
      <c r="D1185" s="83" t="s">
        <v>2676</v>
      </c>
      <c r="E1185" s="83" t="b">
        <v>1</v>
      </c>
      <c r="F1185" s="83" t="b">
        <v>0</v>
      </c>
      <c r="G1185" s="83" t="b">
        <v>0</v>
      </c>
    </row>
    <row r="1186" spans="1:7" ht="15">
      <c r="A1186" s="84" t="s">
        <v>3247</v>
      </c>
      <c r="B1186" s="83">
        <v>2</v>
      </c>
      <c r="C1186" s="110">
        <v>0.0064874485648538935</v>
      </c>
      <c r="D1186" s="83" t="s">
        <v>2676</v>
      </c>
      <c r="E1186" s="83" t="b">
        <v>0</v>
      </c>
      <c r="F1186" s="83" t="b">
        <v>0</v>
      </c>
      <c r="G1186" s="83" t="b">
        <v>0</v>
      </c>
    </row>
    <row r="1187" spans="1:7" ht="15">
      <c r="A1187" s="84" t="s">
        <v>3248</v>
      </c>
      <c r="B1187" s="83">
        <v>2</v>
      </c>
      <c r="C1187" s="110">
        <v>0.0064874485648538935</v>
      </c>
      <c r="D1187" s="83" t="s">
        <v>2676</v>
      </c>
      <c r="E1187" s="83" t="b">
        <v>0</v>
      </c>
      <c r="F1187" s="83" t="b">
        <v>0</v>
      </c>
      <c r="G1187" s="83" t="b">
        <v>0</v>
      </c>
    </row>
    <row r="1188" spans="1:7" ht="15">
      <c r="A1188" s="84" t="s">
        <v>3250</v>
      </c>
      <c r="B1188" s="83">
        <v>2</v>
      </c>
      <c r="C1188" s="110">
        <v>0.008328610617844604</v>
      </c>
      <c r="D1188" s="83" t="s">
        <v>2676</v>
      </c>
      <c r="E1188" s="83" t="b">
        <v>0</v>
      </c>
      <c r="F1188" s="83" t="b">
        <v>0</v>
      </c>
      <c r="G1188" s="83" t="b">
        <v>0</v>
      </c>
    </row>
    <row r="1189" spans="1:7" ht="15">
      <c r="A1189" s="84" t="s">
        <v>3251</v>
      </c>
      <c r="B1189" s="83">
        <v>2</v>
      </c>
      <c r="C1189" s="110">
        <v>0.0064874485648538935</v>
      </c>
      <c r="D1189" s="83" t="s">
        <v>2676</v>
      </c>
      <c r="E1189" s="83" t="b">
        <v>0</v>
      </c>
      <c r="F1189" s="83" t="b">
        <v>0</v>
      </c>
      <c r="G1189" s="83" t="b">
        <v>0</v>
      </c>
    </row>
    <row r="1190" spans="1:7" ht="15">
      <c r="A1190" s="84" t="s">
        <v>3253</v>
      </c>
      <c r="B1190" s="83">
        <v>2</v>
      </c>
      <c r="C1190" s="110">
        <v>0.0064874485648538935</v>
      </c>
      <c r="D1190" s="83" t="s">
        <v>2676</v>
      </c>
      <c r="E1190" s="83" t="b">
        <v>0</v>
      </c>
      <c r="F1190" s="83" t="b">
        <v>0</v>
      </c>
      <c r="G1190" s="83" t="b">
        <v>0</v>
      </c>
    </row>
    <row r="1191" spans="1:7" ht="15">
      <c r="A1191" s="84" t="s">
        <v>2805</v>
      </c>
      <c r="B1191" s="83">
        <v>2</v>
      </c>
      <c r="C1191" s="110">
        <v>0.0064874485648538935</v>
      </c>
      <c r="D1191" s="83" t="s">
        <v>2676</v>
      </c>
      <c r="E1191" s="83" t="b">
        <v>1</v>
      </c>
      <c r="F1191" s="83" t="b">
        <v>0</v>
      </c>
      <c r="G1191" s="83" t="b">
        <v>0</v>
      </c>
    </row>
    <row r="1192" spans="1:7" ht="15">
      <c r="A1192" s="84" t="s">
        <v>3018</v>
      </c>
      <c r="B1192" s="83">
        <v>2</v>
      </c>
      <c r="C1192" s="110">
        <v>0.008328610617844604</v>
      </c>
      <c r="D1192" s="83" t="s">
        <v>2676</v>
      </c>
      <c r="E1192" s="83" t="b">
        <v>0</v>
      </c>
      <c r="F1192" s="83" t="b">
        <v>0</v>
      </c>
      <c r="G1192" s="83" t="b">
        <v>0</v>
      </c>
    </row>
    <row r="1193" spans="1:7" ht="15">
      <c r="A1193" s="84" t="s">
        <v>3257</v>
      </c>
      <c r="B1193" s="83">
        <v>2</v>
      </c>
      <c r="C1193" s="110">
        <v>0.0064874485648538935</v>
      </c>
      <c r="D1193" s="83" t="s">
        <v>2676</v>
      </c>
      <c r="E1193" s="83" t="b">
        <v>0</v>
      </c>
      <c r="F1193" s="83" t="b">
        <v>0</v>
      </c>
      <c r="G1193" s="83" t="b">
        <v>0</v>
      </c>
    </row>
    <row r="1194" spans="1:7" ht="15">
      <c r="A1194" s="84" t="s">
        <v>3258</v>
      </c>
      <c r="B1194" s="83">
        <v>2</v>
      </c>
      <c r="C1194" s="110">
        <v>0.008328610617844604</v>
      </c>
      <c r="D1194" s="83" t="s">
        <v>2676</v>
      </c>
      <c r="E1194" s="83" t="b">
        <v>1</v>
      </c>
      <c r="F1194" s="83" t="b">
        <v>0</v>
      </c>
      <c r="G1194" s="83" t="b">
        <v>0</v>
      </c>
    </row>
    <row r="1195" spans="1:7" ht="15">
      <c r="A1195" s="84" t="s">
        <v>3259</v>
      </c>
      <c r="B1195" s="83">
        <v>2</v>
      </c>
      <c r="C1195" s="110">
        <v>0.008328610617844604</v>
      </c>
      <c r="D1195" s="83" t="s">
        <v>2676</v>
      </c>
      <c r="E1195" s="83" t="b">
        <v>0</v>
      </c>
      <c r="F1195" s="83" t="b">
        <v>0</v>
      </c>
      <c r="G1195" s="83" t="b">
        <v>0</v>
      </c>
    </row>
    <row r="1196" spans="1:7" ht="15">
      <c r="A1196" s="84" t="s">
        <v>3261</v>
      </c>
      <c r="B1196" s="83">
        <v>2</v>
      </c>
      <c r="C1196" s="110">
        <v>0.008328610617844604</v>
      </c>
      <c r="D1196" s="83" t="s">
        <v>2676</v>
      </c>
      <c r="E1196" s="83" t="b">
        <v>0</v>
      </c>
      <c r="F1196" s="83" t="b">
        <v>1</v>
      </c>
      <c r="G1196" s="83" t="b">
        <v>0</v>
      </c>
    </row>
    <row r="1197" spans="1:7" ht="15">
      <c r="A1197" s="84" t="s">
        <v>3263</v>
      </c>
      <c r="B1197" s="83">
        <v>2</v>
      </c>
      <c r="C1197" s="110">
        <v>0.008328610617844604</v>
      </c>
      <c r="D1197" s="83" t="s">
        <v>2676</v>
      </c>
      <c r="E1197" s="83" t="b">
        <v>0</v>
      </c>
      <c r="F1197" s="83" t="b">
        <v>0</v>
      </c>
      <c r="G1197" s="83" t="b">
        <v>0</v>
      </c>
    </row>
    <row r="1198" spans="1:7" ht="15">
      <c r="A1198" s="84" t="s">
        <v>3264</v>
      </c>
      <c r="B1198" s="83">
        <v>2</v>
      </c>
      <c r="C1198" s="110">
        <v>0.008328610617844604</v>
      </c>
      <c r="D1198" s="83" t="s">
        <v>2676</v>
      </c>
      <c r="E1198" s="83" t="b">
        <v>1</v>
      </c>
      <c r="F1198" s="83" t="b">
        <v>0</v>
      </c>
      <c r="G1198" s="83" t="b">
        <v>0</v>
      </c>
    </row>
    <row r="1199" spans="1:7" ht="15">
      <c r="A1199" s="84" t="s">
        <v>2881</v>
      </c>
      <c r="B1199" s="83">
        <v>2</v>
      </c>
      <c r="C1199" s="110">
        <v>0.008328610617844604</v>
      </c>
      <c r="D1199" s="83" t="s">
        <v>2676</v>
      </c>
      <c r="E1199" s="83" t="b">
        <v>0</v>
      </c>
      <c r="F1199" s="83" t="b">
        <v>0</v>
      </c>
      <c r="G1199" s="83" t="b">
        <v>0</v>
      </c>
    </row>
    <row r="1200" spans="1:7" ht="15">
      <c r="A1200" s="84" t="s">
        <v>3016</v>
      </c>
      <c r="B1200" s="83">
        <v>2</v>
      </c>
      <c r="C1200" s="110">
        <v>0.008328610617844604</v>
      </c>
      <c r="D1200" s="83" t="s">
        <v>2676</v>
      </c>
      <c r="E1200" s="83" t="b">
        <v>0</v>
      </c>
      <c r="F1200" s="83" t="b">
        <v>0</v>
      </c>
      <c r="G1200" s="83" t="b">
        <v>0</v>
      </c>
    </row>
    <row r="1201" spans="1:7" ht="15">
      <c r="A1201" s="84" t="s">
        <v>3265</v>
      </c>
      <c r="B1201" s="83">
        <v>2</v>
      </c>
      <c r="C1201" s="110">
        <v>0.008328610617844604</v>
      </c>
      <c r="D1201" s="83" t="s">
        <v>2676</v>
      </c>
      <c r="E1201" s="83" t="b">
        <v>0</v>
      </c>
      <c r="F1201" s="83" t="b">
        <v>0</v>
      </c>
      <c r="G1201" s="83" t="b">
        <v>0</v>
      </c>
    </row>
    <row r="1202" spans="1:7" ht="15">
      <c r="A1202" s="84" t="s">
        <v>3020</v>
      </c>
      <c r="B1202" s="83">
        <v>2</v>
      </c>
      <c r="C1202" s="110">
        <v>0.008328610617844604</v>
      </c>
      <c r="D1202" s="83" t="s">
        <v>2676</v>
      </c>
      <c r="E1202" s="83" t="b">
        <v>0</v>
      </c>
      <c r="F1202" s="83" t="b">
        <v>0</v>
      </c>
      <c r="G1202" s="83" t="b">
        <v>0</v>
      </c>
    </row>
    <row r="1203" spans="1:7" ht="15">
      <c r="A1203" s="84" t="s">
        <v>2716</v>
      </c>
      <c r="B1203" s="83">
        <v>7</v>
      </c>
      <c r="C1203" s="110">
        <v>0.020859631957830527</v>
      </c>
      <c r="D1203" s="83" t="s">
        <v>2677</v>
      </c>
      <c r="E1203" s="83" t="b">
        <v>0</v>
      </c>
      <c r="F1203" s="83" t="b">
        <v>0</v>
      </c>
      <c r="G1203" s="83" t="b">
        <v>0</v>
      </c>
    </row>
    <row r="1204" spans="1:7" ht="15">
      <c r="A1204" s="84" t="s">
        <v>2724</v>
      </c>
      <c r="B1204" s="83">
        <v>5</v>
      </c>
      <c r="C1204" s="110">
        <v>0.02284215700444506</v>
      </c>
      <c r="D1204" s="83" t="s">
        <v>2677</v>
      </c>
      <c r="E1204" s="83" t="b">
        <v>0</v>
      </c>
      <c r="F1204" s="83" t="b">
        <v>0</v>
      </c>
      <c r="G1204" s="83" t="b">
        <v>0</v>
      </c>
    </row>
    <row r="1205" spans="1:7" ht="15">
      <c r="A1205" s="84" t="s">
        <v>2787</v>
      </c>
      <c r="B1205" s="83">
        <v>5</v>
      </c>
      <c r="C1205" s="110">
        <v>0.02284215700444506</v>
      </c>
      <c r="D1205" s="83" t="s">
        <v>2677</v>
      </c>
      <c r="E1205" s="83" t="b">
        <v>0</v>
      </c>
      <c r="F1205" s="83" t="b">
        <v>0</v>
      </c>
      <c r="G1205" s="83" t="b">
        <v>0</v>
      </c>
    </row>
    <row r="1206" spans="1:7" ht="15">
      <c r="A1206" s="84" t="s">
        <v>2782</v>
      </c>
      <c r="B1206" s="83">
        <v>4</v>
      </c>
      <c r="C1206" s="110">
        <v>0.034013856095790364</v>
      </c>
      <c r="D1206" s="83" t="s">
        <v>2677</v>
      </c>
      <c r="E1206" s="83" t="b">
        <v>0</v>
      </c>
      <c r="F1206" s="83" t="b">
        <v>0</v>
      </c>
      <c r="G1206" s="83" t="b">
        <v>0</v>
      </c>
    </row>
    <row r="1207" spans="1:7" ht="15">
      <c r="A1207" s="84" t="s">
        <v>2825</v>
      </c>
      <c r="B1207" s="83">
        <v>4</v>
      </c>
      <c r="C1207" s="110">
        <v>0.034013856095790364</v>
      </c>
      <c r="D1207" s="83" t="s">
        <v>2677</v>
      </c>
      <c r="E1207" s="83" t="b">
        <v>0</v>
      </c>
      <c r="F1207" s="83" t="b">
        <v>0</v>
      </c>
      <c r="G1207" s="83" t="b">
        <v>0</v>
      </c>
    </row>
    <row r="1208" spans="1:7" ht="15">
      <c r="A1208" s="84" t="s">
        <v>2717</v>
      </c>
      <c r="B1208" s="83">
        <v>4</v>
      </c>
      <c r="C1208" s="110">
        <v>0.021540097802465852</v>
      </c>
      <c r="D1208" s="83" t="s">
        <v>2677</v>
      </c>
      <c r="E1208" s="83" t="b">
        <v>0</v>
      </c>
      <c r="F1208" s="83" t="b">
        <v>0</v>
      </c>
      <c r="G1208" s="83" t="b">
        <v>0</v>
      </c>
    </row>
    <row r="1209" spans="1:7" ht="15">
      <c r="A1209" s="84" t="s">
        <v>3025</v>
      </c>
      <c r="B1209" s="83">
        <v>3</v>
      </c>
      <c r="C1209" s="110">
        <v>0.025510392071842768</v>
      </c>
      <c r="D1209" s="83" t="s">
        <v>2677</v>
      </c>
      <c r="E1209" s="83" t="b">
        <v>0</v>
      </c>
      <c r="F1209" s="83" t="b">
        <v>0</v>
      </c>
      <c r="G1209" s="83" t="b">
        <v>0</v>
      </c>
    </row>
    <row r="1210" spans="1:7" ht="15">
      <c r="A1210" s="84" t="s">
        <v>3026</v>
      </c>
      <c r="B1210" s="83">
        <v>3</v>
      </c>
      <c r="C1210" s="110">
        <v>0.025510392071842768</v>
      </c>
      <c r="D1210" s="83" t="s">
        <v>2677</v>
      </c>
      <c r="E1210" s="83" t="b">
        <v>0</v>
      </c>
      <c r="F1210" s="83" t="b">
        <v>0</v>
      </c>
      <c r="G1210" s="83" t="b">
        <v>0</v>
      </c>
    </row>
    <row r="1211" spans="1:7" ht="15">
      <c r="A1211" s="84" t="s">
        <v>2780</v>
      </c>
      <c r="B1211" s="83">
        <v>3</v>
      </c>
      <c r="C1211" s="110">
        <v>0.025510392071842768</v>
      </c>
      <c r="D1211" s="83" t="s">
        <v>2677</v>
      </c>
      <c r="E1211" s="83" t="b">
        <v>0</v>
      </c>
      <c r="F1211" s="83" t="b">
        <v>0</v>
      </c>
      <c r="G1211" s="83" t="b">
        <v>0</v>
      </c>
    </row>
    <row r="1212" spans="1:7" ht="15">
      <c r="A1212" s="84" t="s">
        <v>2763</v>
      </c>
      <c r="B1212" s="83">
        <v>3</v>
      </c>
      <c r="C1212" s="110">
        <v>0.0196078431372549</v>
      </c>
      <c r="D1212" s="83" t="s">
        <v>2677</v>
      </c>
      <c r="E1212" s="83" t="b">
        <v>0</v>
      </c>
      <c r="F1212" s="83" t="b">
        <v>0</v>
      </c>
      <c r="G1212" s="83" t="b">
        <v>0</v>
      </c>
    </row>
    <row r="1213" spans="1:7" ht="15">
      <c r="A1213" s="84" t="s">
        <v>2905</v>
      </c>
      <c r="B1213" s="83">
        <v>2</v>
      </c>
      <c r="C1213" s="110">
        <v>0.017006928047895182</v>
      </c>
      <c r="D1213" s="83" t="s">
        <v>2677</v>
      </c>
      <c r="E1213" s="83" t="b">
        <v>0</v>
      </c>
      <c r="F1213" s="83" t="b">
        <v>0</v>
      </c>
      <c r="G1213" s="83" t="b">
        <v>0</v>
      </c>
    </row>
    <row r="1214" spans="1:7" ht="15">
      <c r="A1214" s="84" t="s">
        <v>2760</v>
      </c>
      <c r="B1214" s="83">
        <v>2</v>
      </c>
      <c r="C1214" s="110">
        <v>0.017006928047895182</v>
      </c>
      <c r="D1214" s="83" t="s">
        <v>2677</v>
      </c>
      <c r="E1214" s="83" t="b">
        <v>0</v>
      </c>
      <c r="F1214" s="83" t="b">
        <v>0</v>
      </c>
      <c r="G1214" s="83" t="b">
        <v>0</v>
      </c>
    </row>
    <row r="1215" spans="1:7" ht="15">
      <c r="A1215" s="84" t="s">
        <v>3231</v>
      </c>
      <c r="B1215" s="83">
        <v>2</v>
      </c>
      <c r="C1215" s="110">
        <v>0.017006928047895182</v>
      </c>
      <c r="D1215" s="83" t="s">
        <v>2677</v>
      </c>
      <c r="E1215" s="83" t="b">
        <v>0</v>
      </c>
      <c r="F1215" s="83" t="b">
        <v>0</v>
      </c>
      <c r="G1215" s="83" t="b">
        <v>0</v>
      </c>
    </row>
    <row r="1216" spans="1:7" ht="15">
      <c r="A1216" s="84" t="s">
        <v>3232</v>
      </c>
      <c r="B1216" s="83">
        <v>2</v>
      </c>
      <c r="C1216" s="110">
        <v>0.017006928047895182</v>
      </c>
      <c r="D1216" s="83" t="s">
        <v>2677</v>
      </c>
      <c r="E1216" s="83" t="b">
        <v>0</v>
      </c>
      <c r="F1216" s="83" t="b">
        <v>0</v>
      </c>
      <c r="G1216" s="83" t="b">
        <v>0</v>
      </c>
    </row>
    <row r="1217" spans="1:7" ht="15">
      <c r="A1217" s="84" t="s">
        <v>3233</v>
      </c>
      <c r="B1217" s="83">
        <v>2</v>
      </c>
      <c r="C1217" s="110">
        <v>0.017006928047895182</v>
      </c>
      <c r="D1217" s="83" t="s">
        <v>2677</v>
      </c>
      <c r="E1217" s="83" t="b">
        <v>0</v>
      </c>
      <c r="F1217" s="83" t="b">
        <v>0</v>
      </c>
      <c r="G1217" s="83" t="b">
        <v>0</v>
      </c>
    </row>
    <row r="1218" spans="1:7" ht="15">
      <c r="A1218" s="84" t="s">
        <v>3234</v>
      </c>
      <c r="B1218" s="83">
        <v>2</v>
      </c>
      <c r="C1218" s="110">
        <v>0.017006928047895182</v>
      </c>
      <c r="D1218" s="83" t="s">
        <v>2677</v>
      </c>
      <c r="E1218" s="83" t="b">
        <v>0</v>
      </c>
      <c r="F1218" s="83" t="b">
        <v>0</v>
      </c>
      <c r="G1218" s="83" t="b">
        <v>0</v>
      </c>
    </row>
    <row r="1219" spans="1:7" ht="15">
      <c r="A1219" s="84" t="s">
        <v>2754</v>
      </c>
      <c r="B1219" s="83">
        <v>2</v>
      </c>
      <c r="C1219" s="110">
        <v>0.017006928047895182</v>
      </c>
      <c r="D1219" s="83" t="s">
        <v>2677</v>
      </c>
      <c r="E1219" s="83" t="b">
        <v>1</v>
      </c>
      <c r="F1219" s="83" t="b">
        <v>0</v>
      </c>
      <c r="G1219" s="83" t="b">
        <v>0</v>
      </c>
    </row>
    <row r="1220" spans="1:7" ht="15">
      <c r="A1220" s="84" t="s">
        <v>3235</v>
      </c>
      <c r="B1220" s="83">
        <v>2</v>
      </c>
      <c r="C1220" s="110">
        <v>0.017006928047895182</v>
      </c>
      <c r="D1220" s="83" t="s">
        <v>2677</v>
      </c>
      <c r="E1220" s="83" t="b">
        <v>0</v>
      </c>
      <c r="F1220" s="83" t="b">
        <v>0</v>
      </c>
      <c r="G1220" s="83" t="b">
        <v>0</v>
      </c>
    </row>
    <row r="1221" spans="1:7" ht="15">
      <c r="A1221" s="84" t="s">
        <v>3236</v>
      </c>
      <c r="B1221" s="83">
        <v>2</v>
      </c>
      <c r="C1221" s="110">
        <v>0.017006928047895182</v>
      </c>
      <c r="D1221" s="83" t="s">
        <v>2677</v>
      </c>
      <c r="E1221" s="83" t="b">
        <v>0</v>
      </c>
      <c r="F1221" s="83" t="b">
        <v>0</v>
      </c>
      <c r="G1221" s="83" t="b">
        <v>0</v>
      </c>
    </row>
    <row r="1222" spans="1:7" ht="15">
      <c r="A1222" s="84" t="s">
        <v>2721</v>
      </c>
      <c r="B1222" s="83">
        <v>2</v>
      </c>
      <c r="C1222" s="110">
        <v>0.017006928047895182</v>
      </c>
      <c r="D1222" s="83" t="s">
        <v>2677</v>
      </c>
      <c r="E1222" s="83" t="b">
        <v>0</v>
      </c>
      <c r="F1222" s="83" t="b">
        <v>0</v>
      </c>
      <c r="G1222" s="83" t="b">
        <v>0</v>
      </c>
    </row>
    <row r="1223" spans="1:7" ht="15">
      <c r="A1223" s="84" t="s">
        <v>3237</v>
      </c>
      <c r="B1223" s="83">
        <v>2</v>
      </c>
      <c r="C1223" s="110">
        <v>0.017006928047895182</v>
      </c>
      <c r="D1223" s="83" t="s">
        <v>2677</v>
      </c>
      <c r="E1223" s="83" t="b">
        <v>0</v>
      </c>
      <c r="F1223" s="83" t="b">
        <v>0</v>
      </c>
      <c r="G1223" s="83" t="b">
        <v>0</v>
      </c>
    </row>
    <row r="1224" spans="1:7" ht="15">
      <c r="A1224" s="84" t="s">
        <v>3238</v>
      </c>
      <c r="B1224" s="83">
        <v>2</v>
      </c>
      <c r="C1224" s="110">
        <v>0.017006928047895182</v>
      </c>
      <c r="D1224" s="83" t="s">
        <v>2677</v>
      </c>
      <c r="E1224" s="83" t="b">
        <v>0</v>
      </c>
      <c r="F1224" s="83" t="b">
        <v>0</v>
      </c>
      <c r="G1224" s="83" t="b">
        <v>0</v>
      </c>
    </row>
    <row r="1225" spans="1:7" ht="15">
      <c r="A1225" s="84" t="s">
        <v>3239</v>
      </c>
      <c r="B1225" s="83">
        <v>2</v>
      </c>
      <c r="C1225" s="110">
        <v>0.017006928047895182</v>
      </c>
      <c r="D1225" s="83" t="s">
        <v>2677</v>
      </c>
      <c r="E1225" s="83" t="b">
        <v>0</v>
      </c>
      <c r="F1225" s="83" t="b">
        <v>0</v>
      </c>
      <c r="G1225" s="83" t="b">
        <v>0</v>
      </c>
    </row>
    <row r="1226" spans="1:7" ht="15">
      <c r="A1226" s="84" t="s">
        <v>2753</v>
      </c>
      <c r="B1226" s="83">
        <v>2</v>
      </c>
      <c r="C1226" s="110">
        <v>0.017006928047895182</v>
      </c>
      <c r="D1226" s="83" t="s">
        <v>2677</v>
      </c>
      <c r="E1226" s="83" t="b">
        <v>0</v>
      </c>
      <c r="F1226" s="83" t="b">
        <v>0</v>
      </c>
      <c r="G1226" s="83" t="b">
        <v>0</v>
      </c>
    </row>
    <row r="1227" spans="1:7" ht="15">
      <c r="A1227" s="84" t="s">
        <v>2858</v>
      </c>
      <c r="B1227" s="83">
        <v>2</v>
      </c>
      <c r="C1227" s="110">
        <v>0.017006928047895182</v>
      </c>
      <c r="D1227" s="83" t="s">
        <v>2677</v>
      </c>
      <c r="E1227" s="83" t="b">
        <v>0</v>
      </c>
      <c r="F1227" s="83" t="b">
        <v>0</v>
      </c>
      <c r="G1227" s="83" t="b">
        <v>0</v>
      </c>
    </row>
    <row r="1228" spans="1:7" ht="15">
      <c r="A1228" s="84" t="s">
        <v>2832</v>
      </c>
      <c r="B1228" s="83">
        <v>2</v>
      </c>
      <c r="C1228" s="110">
        <v>0.017006928047895182</v>
      </c>
      <c r="D1228" s="83" t="s">
        <v>2677</v>
      </c>
      <c r="E1228" s="83" t="b">
        <v>0</v>
      </c>
      <c r="F1228" s="83" t="b">
        <v>0</v>
      </c>
      <c r="G1228" s="83" t="b">
        <v>0</v>
      </c>
    </row>
    <row r="1229" spans="1:7" ht="15">
      <c r="A1229" s="84" t="s">
        <v>2985</v>
      </c>
      <c r="B1229" s="83">
        <v>2</v>
      </c>
      <c r="C1229" s="110">
        <v>0.08</v>
      </c>
      <c r="D1229" s="83" t="s">
        <v>2678</v>
      </c>
      <c r="E1229" s="83" t="b">
        <v>1</v>
      </c>
      <c r="F1229" s="83" t="b">
        <v>0</v>
      </c>
      <c r="G1229" s="83" t="b">
        <v>0</v>
      </c>
    </row>
    <row r="1230" spans="1:7" ht="15">
      <c r="A1230" s="84" t="s">
        <v>2799</v>
      </c>
      <c r="B1230" s="83">
        <v>3</v>
      </c>
      <c r="C1230" s="110">
        <v>0.040886309477177155</v>
      </c>
      <c r="D1230" s="83" t="s">
        <v>2680</v>
      </c>
      <c r="E1230" s="83" t="b">
        <v>0</v>
      </c>
      <c r="F1230" s="83" t="b">
        <v>0</v>
      </c>
      <c r="G1230" s="83" t="b">
        <v>0</v>
      </c>
    </row>
    <row r="1231" spans="1:7" ht="15">
      <c r="A1231" s="84" t="s">
        <v>1421</v>
      </c>
      <c r="B1231" s="83">
        <v>2</v>
      </c>
      <c r="C1231" s="110">
        <v>0.040301336618538935</v>
      </c>
      <c r="D1231" s="83" t="s">
        <v>2680</v>
      </c>
      <c r="E1231" s="83" t="b">
        <v>1</v>
      </c>
      <c r="F1231" s="83" t="b">
        <v>0</v>
      </c>
      <c r="G1231" s="83" t="b">
        <v>0</v>
      </c>
    </row>
    <row r="1232" spans="1:7" ht="15">
      <c r="A1232" s="84" t="s">
        <v>2739</v>
      </c>
      <c r="B1232" s="83">
        <v>2</v>
      </c>
      <c r="C1232" s="110">
        <v>0.040301336618538935</v>
      </c>
      <c r="D1232" s="83" t="s">
        <v>2680</v>
      </c>
      <c r="E1232" s="83" t="b">
        <v>1</v>
      </c>
      <c r="F1232" s="83" t="b">
        <v>0</v>
      </c>
      <c r="G1232" s="83" t="b">
        <v>0</v>
      </c>
    </row>
    <row r="1233" spans="1:7" ht="15">
      <c r="A1233" s="84" t="s">
        <v>2801</v>
      </c>
      <c r="B1233" s="83">
        <v>6</v>
      </c>
      <c r="C1233" s="110">
        <v>0.017689502710754843</v>
      </c>
      <c r="D1233" s="83" t="s">
        <v>2681</v>
      </c>
      <c r="E1233" s="83" t="b">
        <v>0</v>
      </c>
      <c r="F1233" s="83" t="b">
        <v>0</v>
      </c>
      <c r="G1233" s="83" t="b">
        <v>0</v>
      </c>
    </row>
    <row r="1234" spans="1:7" ht="15">
      <c r="A1234" s="84" t="s">
        <v>2901</v>
      </c>
      <c r="B1234" s="83">
        <v>4</v>
      </c>
      <c r="C1234" s="110">
        <v>0.009479321499608784</v>
      </c>
      <c r="D1234" s="83" t="s">
        <v>2681</v>
      </c>
      <c r="E1234" s="83" t="b">
        <v>0</v>
      </c>
      <c r="F1234" s="83" t="b">
        <v>0</v>
      </c>
      <c r="G1234" s="83" t="b">
        <v>0</v>
      </c>
    </row>
    <row r="1235" spans="1:7" ht="15">
      <c r="A1235" s="84" t="s">
        <v>2834</v>
      </c>
      <c r="B1235" s="83">
        <v>4</v>
      </c>
      <c r="C1235" s="110">
        <v>0.011793001807169894</v>
      </c>
      <c r="D1235" s="83" t="s">
        <v>2681</v>
      </c>
      <c r="E1235" s="83" t="b">
        <v>0</v>
      </c>
      <c r="F1235" s="83" t="b">
        <v>0</v>
      </c>
      <c r="G1235" s="83" t="b">
        <v>0</v>
      </c>
    </row>
    <row r="1236" spans="1:7" ht="15">
      <c r="A1236" s="84" t="s">
        <v>2898</v>
      </c>
      <c r="B1236" s="83">
        <v>4</v>
      </c>
      <c r="C1236" s="110">
        <v>0.011793001807169894</v>
      </c>
      <c r="D1236" s="83" t="s">
        <v>2681</v>
      </c>
      <c r="E1236" s="83" t="b">
        <v>0</v>
      </c>
      <c r="F1236" s="83" t="b">
        <v>0</v>
      </c>
      <c r="G1236" s="83" t="b">
        <v>0</v>
      </c>
    </row>
    <row r="1237" spans="1:7" ht="15">
      <c r="A1237" s="84" t="s">
        <v>2776</v>
      </c>
      <c r="B1237" s="83">
        <v>4</v>
      </c>
      <c r="C1237" s="110">
        <v>0.015053951048941768</v>
      </c>
      <c r="D1237" s="83" t="s">
        <v>2681</v>
      </c>
      <c r="E1237" s="83" t="b">
        <v>0</v>
      </c>
      <c r="F1237" s="83" t="b">
        <v>0</v>
      </c>
      <c r="G1237" s="83" t="b">
        <v>0</v>
      </c>
    </row>
    <row r="1238" spans="1:7" ht="15">
      <c r="A1238" s="84" t="s">
        <v>2722</v>
      </c>
      <c r="B1238" s="83">
        <v>4</v>
      </c>
      <c r="C1238" s="110">
        <v>0.011793001807169894</v>
      </c>
      <c r="D1238" s="83" t="s">
        <v>2681</v>
      </c>
      <c r="E1238" s="83" t="b">
        <v>0</v>
      </c>
      <c r="F1238" s="83" t="b">
        <v>0</v>
      </c>
      <c r="G1238" s="83" t="b">
        <v>0</v>
      </c>
    </row>
    <row r="1239" spans="1:7" ht="15">
      <c r="A1239" s="84" t="s">
        <v>2738</v>
      </c>
      <c r="B1239" s="83">
        <v>4</v>
      </c>
      <c r="C1239" s="110">
        <v>0.011793001807169894</v>
      </c>
      <c r="D1239" s="83" t="s">
        <v>2681</v>
      </c>
      <c r="E1239" s="83" t="b">
        <v>0</v>
      </c>
      <c r="F1239" s="83" t="b">
        <v>0</v>
      </c>
      <c r="G1239" s="83" t="b">
        <v>0</v>
      </c>
    </row>
    <row r="1240" spans="1:7" ht="15">
      <c r="A1240" s="84" t="s">
        <v>2725</v>
      </c>
      <c r="B1240" s="83">
        <v>3</v>
      </c>
      <c r="C1240" s="110">
        <v>0.008844751355377422</v>
      </c>
      <c r="D1240" s="83" t="s">
        <v>2681</v>
      </c>
      <c r="E1240" s="83" t="b">
        <v>1</v>
      </c>
      <c r="F1240" s="83" t="b">
        <v>0</v>
      </c>
      <c r="G1240" s="83" t="b">
        <v>0</v>
      </c>
    </row>
    <row r="1241" spans="1:7" ht="15">
      <c r="A1241" s="84" t="s">
        <v>3000</v>
      </c>
      <c r="B1241" s="83">
        <v>3</v>
      </c>
      <c r="C1241" s="110">
        <v>0.011290463286706328</v>
      </c>
      <c r="D1241" s="83" t="s">
        <v>2681</v>
      </c>
      <c r="E1241" s="83" t="b">
        <v>0</v>
      </c>
      <c r="F1241" s="83" t="b">
        <v>0</v>
      </c>
      <c r="G1241" s="83" t="b">
        <v>0</v>
      </c>
    </row>
    <row r="1242" spans="1:7" ht="15">
      <c r="A1242" s="84" t="s">
        <v>2724</v>
      </c>
      <c r="B1242" s="83">
        <v>3</v>
      </c>
      <c r="C1242" s="110">
        <v>0.011290463286706328</v>
      </c>
      <c r="D1242" s="83" t="s">
        <v>2681</v>
      </c>
      <c r="E1242" s="83" t="b">
        <v>0</v>
      </c>
      <c r="F1242" s="83" t="b">
        <v>0</v>
      </c>
      <c r="G1242" s="83" t="b">
        <v>0</v>
      </c>
    </row>
    <row r="1243" spans="1:7" ht="15">
      <c r="A1243" s="84" t="s">
        <v>2846</v>
      </c>
      <c r="B1243" s="83">
        <v>3</v>
      </c>
      <c r="C1243" s="110">
        <v>0.008844751355377422</v>
      </c>
      <c r="D1243" s="83" t="s">
        <v>2681</v>
      </c>
      <c r="E1243" s="83" t="b">
        <v>0</v>
      </c>
      <c r="F1243" s="83" t="b">
        <v>0</v>
      </c>
      <c r="G1243" s="83" t="b">
        <v>0</v>
      </c>
    </row>
    <row r="1244" spans="1:7" ht="15">
      <c r="A1244" s="84" t="s">
        <v>2718</v>
      </c>
      <c r="B1244" s="83">
        <v>3</v>
      </c>
      <c r="C1244" s="110">
        <v>0.011290463286706328</v>
      </c>
      <c r="D1244" s="83" t="s">
        <v>2681</v>
      </c>
      <c r="E1244" s="83" t="b">
        <v>0</v>
      </c>
      <c r="F1244" s="83" t="b">
        <v>0</v>
      </c>
      <c r="G1244" s="83" t="b">
        <v>0</v>
      </c>
    </row>
    <row r="1245" spans="1:7" ht="15">
      <c r="A1245" s="84" t="s">
        <v>2899</v>
      </c>
      <c r="B1245" s="83">
        <v>3</v>
      </c>
      <c r="C1245" s="110">
        <v>0.011290463286706328</v>
      </c>
      <c r="D1245" s="83" t="s">
        <v>2681</v>
      </c>
      <c r="E1245" s="83" t="b">
        <v>0</v>
      </c>
      <c r="F1245" s="83" t="b">
        <v>1</v>
      </c>
      <c r="G1245" s="83" t="b">
        <v>0</v>
      </c>
    </row>
    <row r="1246" spans="1:7" ht="15">
      <c r="A1246" s="84" t="s">
        <v>2999</v>
      </c>
      <c r="B1246" s="83">
        <v>2</v>
      </c>
      <c r="C1246" s="110">
        <v>0.007526975524470884</v>
      </c>
      <c r="D1246" s="83" t="s">
        <v>2681</v>
      </c>
      <c r="E1246" s="83" t="b">
        <v>0</v>
      </c>
      <c r="F1246" s="83" t="b">
        <v>0</v>
      </c>
      <c r="G1246" s="83" t="b">
        <v>0</v>
      </c>
    </row>
    <row r="1247" spans="1:7" ht="15">
      <c r="A1247" s="84" t="s">
        <v>3180</v>
      </c>
      <c r="B1247" s="83">
        <v>2</v>
      </c>
      <c r="C1247" s="110">
        <v>0.007526975524470884</v>
      </c>
      <c r="D1247" s="83" t="s">
        <v>2681</v>
      </c>
      <c r="E1247" s="83" t="b">
        <v>0</v>
      </c>
      <c r="F1247" s="83" t="b">
        <v>0</v>
      </c>
      <c r="G1247" s="83" t="b">
        <v>0</v>
      </c>
    </row>
    <row r="1248" spans="1:7" ht="15">
      <c r="A1248" s="84" t="s">
        <v>2842</v>
      </c>
      <c r="B1248" s="83">
        <v>2</v>
      </c>
      <c r="C1248" s="110">
        <v>0.007526975524470884</v>
      </c>
      <c r="D1248" s="83" t="s">
        <v>2681</v>
      </c>
      <c r="E1248" s="83" t="b">
        <v>0</v>
      </c>
      <c r="F1248" s="83" t="b">
        <v>0</v>
      </c>
      <c r="G1248" s="83" t="b">
        <v>0</v>
      </c>
    </row>
    <row r="1249" spans="1:7" ht="15">
      <c r="A1249" s="84" t="s">
        <v>2726</v>
      </c>
      <c r="B1249" s="83">
        <v>2</v>
      </c>
      <c r="C1249" s="110">
        <v>0.007526975524470884</v>
      </c>
      <c r="D1249" s="83" t="s">
        <v>2681</v>
      </c>
      <c r="E1249" s="83" t="b">
        <v>1</v>
      </c>
      <c r="F1249" s="83" t="b">
        <v>0</v>
      </c>
      <c r="G1249" s="83" t="b">
        <v>0</v>
      </c>
    </row>
    <row r="1250" spans="1:7" ht="15">
      <c r="A1250" s="84" t="s">
        <v>2813</v>
      </c>
      <c r="B1250" s="83">
        <v>2</v>
      </c>
      <c r="C1250" s="110">
        <v>0.007526975524470884</v>
      </c>
      <c r="D1250" s="83" t="s">
        <v>2681</v>
      </c>
      <c r="E1250" s="83" t="b">
        <v>1</v>
      </c>
      <c r="F1250" s="83" t="b">
        <v>0</v>
      </c>
      <c r="G1250" s="83" t="b">
        <v>0</v>
      </c>
    </row>
    <row r="1251" spans="1:7" ht="15">
      <c r="A1251" s="84" t="s">
        <v>3202</v>
      </c>
      <c r="B1251" s="83">
        <v>2</v>
      </c>
      <c r="C1251" s="110">
        <v>0.007526975524470884</v>
      </c>
      <c r="D1251" s="83" t="s">
        <v>2681</v>
      </c>
      <c r="E1251" s="83" t="b">
        <v>0</v>
      </c>
      <c r="F1251" s="83" t="b">
        <v>0</v>
      </c>
      <c r="G1251" s="83" t="b">
        <v>0</v>
      </c>
    </row>
    <row r="1252" spans="1:7" ht="15">
      <c r="A1252" s="84" t="s">
        <v>3203</v>
      </c>
      <c r="B1252" s="83">
        <v>2</v>
      </c>
      <c r="C1252" s="110">
        <v>0.007526975524470884</v>
      </c>
      <c r="D1252" s="83" t="s">
        <v>2681</v>
      </c>
      <c r="E1252" s="83" t="b">
        <v>0</v>
      </c>
      <c r="F1252" s="83" t="b">
        <v>0</v>
      </c>
      <c r="G1252" s="83" t="b">
        <v>0</v>
      </c>
    </row>
    <row r="1253" spans="1:7" ht="15">
      <c r="A1253" s="84" t="s">
        <v>2884</v>
      </c>
      <c r="B1253" s="83">
        <v>2</v>
      </c>
      <c r="C1253" s="110">
        <v>0.007526975524470884</v>
      </c>
      <c r="D1253" s="83" t="s">
        <v>2681</v>
      </c>
      <c r="E1253" s="83" t="b">
        <v>0</v>
      </c>
      <c r="F1253" s="83" t="b">
        <v>0</v>
      </c>
      <c r="G1253" s="83" t="b">
        <v>0</v>
      </c>
    </row>
    <row r="1254" spans="1:7" ht="15">
      <c r="A1254" s="84" t="s">
        <v>2775</v>
      </c>
      <c r="B1254" s="83">
        <v>2</v>
      </c>
      <c r="C1254" s="110">
        <v>0.007526975524470884</v>
      </c>
      <c r="D1254" s="83" t="s">
        <v>2681</v>
      </c>
      <c r="E1254" s="83" t="b">
        <v>0</v>
      </c>
      <c r="F1254" s="83" t="b">
        <v>0</v>
      </c>
      <c r="G1254" s="83" t="b">
        <v>0</v>
      </c>
    </row>
    <row r="1255" spans="1:7" ht="15">
      <c r="A1255" s="84" t="s">
        <v>3197</v>
      </c>
      <c r="B1255" s="83">
        <v>2</v>
      </c>
      <c r="C1255" s="110">
        <v>0.007526975524470884</v>
      </c>
      <c r="D1255" s="83" t="s">
        <v>2681</v>
      </c>
      <c r="E1255" s="83" t="b">
        <v>1</v>
      </c>
      <c r="F1255" s="83" t="b">
        <v>0</v>
      </c>
      <c r="G1255" s="83" t="b">
        <v>0</v>
      </c>
    </row>
    <row r="1256" spans="1:7" ht="15">
      <c r="A1256" s="84" t="s">
        <v>3191</v>
      </c>
      <c r="B1256" s="83">
        <v>2</v>
      </c>
      <c r="C1256" s="110">
        <v>0.007526975524470884</v>
      </c>
      <c r="D1256" s="83" t="s">
        <v>2681</v>
      </c>
      <c r="E1256" s="83" t="b">
        <v>1</v>
      </c>
      <c r="F1256" s="83" t="b">
        <v>0</v>
      </c>
      <c r="G1256" s="83" t="b">
        <v>0</v>
      </c>
    </row>
    <row r="1257" spans="1:7" ht="15">
      <c r="A1257" s="84" t="s">
        <v>3195</v>
      </c>
      <c r="B1257" s="83">
        <v>2</v>
      </c>
      <c r="C1257" s="110">
        <v>0.007526975524470884</v>
      </c>
      <c r="D1257" s="83" t="s">
        <v>2681</v>
      </c>
      <c r="E1257" s="83" t="b">
        <v>0</v>
      </c>
      <c r="F1257" s="83" t="b">
        <v>0</v>
      </c>
      <c r="G1257" s="83" t="b">
        <v>0</v>
      </c>
    </row>
    <row r="1258" spans="1:7" ht="15">
      <c r="A1258" s="84" t="s">
        <v>2986</v>
      </c>
      <c r="B1258" s="83">
        <v>2</v>
      </c>
      <c r="C1258" s="110">
        <v>0.007526975524470884</v>
      </c>
      <c r="D1258" s="83" t="s">
        <v>2681</v>
      </c>
      <c r="E1258" s="83" t="b">
        <v>0</v>
      </c>
      <c r="F1258" s="83" t="b">
        <v>0</v>
      </c>
      <c r="G1258" s="83" t="b">
        <v>0</v>
      </c>
    </row>
    <row r="1259" spans="1:7" ht="15">
      <c r="A1259" s="84" t="s">
        <v>3002</v>
      </c>
      <c r="B1259" s="83">
        <v>2</v>
      </c>
      <c r="C1259" s="110">
        <v>0.007526975524470884</v>
      </c>
      <c r="D1259" s="83" t="s">
        <v>2681</v>
      </c>
      <c r="E1259" s="83" t="b">
        <v>0</v>
      </c>
      <c r="F1259" s="83" t="b">
        <v>0</v>
      </c>
      <c r="G1259" s="83" t="b">
        <v>0</v>
      </c>
    </row>
    <row r="1260" spans="1:7" ht="15">
      <c r="A1260" s="84" t="s">
        <v>2900</v>
      </c>
      <c r="B1260" s="83">
        <v>2</v>
      </c>
      <c r="C1260" s="110">
        <v>0.007526975524470884</v>
      </c>
      <c r="D1260" s="83" t="s">
        <v>2681</v>
      </c>
      <c r="E1260" s="83" t="b">
        <v>0</v>
      </c>
      <c r="F1260" s="83" t="b">
        <v>0</v>
      </c>
      <c r="G1260" s="83" t="b">
        <v>0</v>
      </c>
    </row>
    <row r="1261" spans="1:7" ht="15">
      <c r="A1261" s="84" t="s">
        <v>3182</v>
      </c>
      <c r="B1261" s="83">
        <v>2</v>
      </c>
      <c r="C1261" s="110">
        <v>0.007526975524470884</v>
      </c>
      <c r="D1261" s="83" t="s">
        <v>2681</v>
      </c>
      <c r="E1261" s="83" t="b">
        <v>0</v>
      </c>
      <c r="F1261" s="83" t="b">
        <v>1</v>
      </c>
      <c r="G1261" s="83" t="b">
        <v>0</v>
      </c>
    </row>
    <row r="1262" spans="1:7" ht="15">
      <c r="A1262" s="84" t="s">
        <v>3184</v>
      </c>
      <c r="B1262" s="83">
        <v>2</v>
      </c>
      <c r="C1262" s="110">
        <v>0.010314290299137377</v>
      </c>
      <c r="D1262" s="83" t="s">
        <v>2681</v>
      </c>
      <c r="E1262" s="83" t="b">
        <v>0</v>
      </c>
      <c r="F1262" s="83" t="b">
        <v>0</v>
      </c>
      <c r="G1262" s="83" t="b">
        <v>0</v>
      </c>
    </row>
    <row r="1263" spans="1:7" ht="15">
      <c r="A1263" s="84" t="s">
        <v>3185</v>
      </c>
      <c r="B1263" s="83">
        <v>2</v>
      </c>
      <c r="C1263" s="110">
        <v>0.010314290299137377</v>
      </c>
      <c r="D1263" s="83" t="s">
        <v>2681</v>
      </c>
      <c r="E1263" s="83" t="b">
        <v>0</v>
      </c>
      <c r="F1263" s="83" t="b">
        <v>0</v>
      </c>
      <c r="G1263" s="83" t="b">
        <v>0</v>
      </c>
    </row>
    <row r="1264" spans="1:7" ht="15">
      <c r="A1264" s="84" t="s">
        <v>2811</v>
      </c>
      <c r="B1264" s="83">
        <v>2</v>
      </c>
      <c r="C1264" s="110">
        <v>0.007526975524470884</v>
      </c>
      <c r="D1264" s="83" t="s">
        <v>2681</v>
      </c>
      <c r="E1264" s="83" t="b">
        <v>0</v>
      </c>
      <c r="F1264" s="83" t="b">
        <v>0</v>
      </c>
      <c r="G1264" s="83" t="b">
        <v>0</v>
      </c>
    </row>
    <row r="1265" spans="1:7" ht="15">
      <c r="A1265" s="84" t="s">
        <v>2833</v>
      </c>
      <c r="B1265" s="83">
        <v>2</v>
      </c>
      <c r="C1265" s="110">
        <v>0.010314290299137377</v>
      </c>
      <c r="D1265" s="83" t="s">
        <v>2681</v>
      </c>
      <c r="E1265" s="83" t="b">
        <v>0</v>
      </c>
      <c r="F1265" s="83" t="b">
        <v>0</v>
      </c>
      <c r="G1265" s="83" t="b">
        <v>0</v>
      </c>
    </row>
    <row r="1266" spans="1:7" ht="15">
      <c r="A1266" s="84" t="s">
        <v>3190</v>
      </c>
      <c r="B1266" s="83">
        <v>2</v>
      </c>
      <c r="C1266" s="110">
        <v>0.007526975524470884</v>
      </c>
      <c r="D1266" s="83" t="s">
        <v>2681</v>
      </c>
      <c r="E1266" s="83" t="b">
        <v>0</v>
      </c>
      <c r="F1266" s="83" t="b">
        <v>0</v>
      </c>
      <c r="G1266" s="83" t="b">
        <v>0</v>
      </c>
    </row>
    <row r="1267" spans="1:7" ht="15">
      <c r="A1267" s="84" t="s">
        <v>3192</v>
      </c>
      <c r="B1267" s="83">
        <v>2</v>
      </c>
      <c r="C1267" s="110">
        <v>0.007526975524470884</v>
      </c>
      <c r="D1267" s="83" t="s">
        <v>2681</v>
      </c>
      <c r="E1267" s="83" t="b">
        <v>0</v>
      </c>
      <c r="F1267" s="83" t="b">
        <v>0</v>
      </c>
      <c r="G1267" s="83" t="b">
        <v>0</v>
      </c>
    </row>
    <row r="1268" spans="1:7" ht="15">
      <c r="A1268" s="84" t="s">
        <v>2746</v>
      </c>
      <c r="B1268" s="83">
        <v>2</v>
      </c>
      <c r="C1268" s="110">
        <v>0.007526975524470884</v>
      </c>
      <c r="D1268" s="83" t="s">
        <v>2681</v>
      </c>
      <c r="E1268" s="83" t="b">
        <v>1</v>
      </c>
      <c r="F1268" s="83" t="b">
        <v>0</v>
      </c>
      <c r="G1268" s="83" t="b">
        <v>0</v>
      </c>
    </row>
    <row r="1269" spans="1:7" ht="15">
      <c r="A1269" s="84" t="s">
        <v>2951</v>
      </c>
      <c r="B1269" s="83">
        <v>2</v>
      </c>
      <c r="C1269" s="110">
        <v>0.010314290299137377</v>
      </c>
      <c r="D1269" s="83" t="s">
        <v>2681</v>
      </c>
      <c r="E1269" s="83" t="b">
        <v>0</v>
      </c>
      <c r="F1269" s="83" t="b">
        <v>0</v>
      </c>
      <c r="G1269" s="83" t="b">
        <v>0</v>
      </c>
    </row>
    <row r="1270" spans="1:7" ht="15">
      <c r="A1270" s="84" t="s">
        <v>2868</v>
      </c>
      <c r="B1270" s="83">
        <v>2</v>
      </c>
      <c r="C1270" s="110">
        <v>0.007526975524470884</v>
      </c>
      <c r="D1270" s="83" t="s">
        <v>2681</v>
      </c>
      <c r="E1270" s="83" t="b">
        <v>0</v>
      </c>
      <c r="F1270" s="83" t="b">
        <v>0</v>
      </c>
      <c r="G1270" s="83" t="b">
        <v>0</v>
      </c>
    </row>
    <row r="1271" spans="1:7" ht="15">
      <c r="A1271" s="84" t="s">
        <v>3198</v>
      </c>
      <c r="B1271" s="83">
        <v>2</v>
      </c>
      <c r="C1271" s="110">
        <v>0.007526975524470884</v>
      </c>
      <c r="D1271" s="83" t="s">
        <v>2681</v>
      </c>
      <c r="E1271" s="83" t="b">
        <v>0</v>
      </c>
      <c r="F1271" s="83" t="b">
        <v>0</v>
      </c>
      <c r="G1271" s="83" t="b">
        <v>0</v>
      </c>
    </row>
    <row r="1272" spans="1:7" ht="15">
      <c r="A1272" s="84" t="s">
        <v>3199</v>
      </c>
      <c r="B1272" s="83">
        <v>2</v>
      </c>
      <c r="C1272" s="110">
        <v>0.007526975524470884</v>
      </c>
      <c r="D1272" s="83" t="s">
        <v>2681</v>
      </c>
      <c r="E1272" s="83" t="b">
        <v>0</v>
      </c>
      <c r="F1272" s="83" t="b">
        <v>0</v>
      </c>
      <c r="G1272" s="83" t="b">
        <v>0</v>
      </c>
    </row>
    <row r="1273" spans="1:7" ht="15">
      <c r="A1273" s="84" t="s">
        <v>3200</v>
      </c>
      <c r="B1273" s="83">
        <v>2</v>
      </c>
      <c r="C1273" s="110">
        <v>0.007526975524470884</v>
      </c>
      <c r="D1273" s="83" t="s">
        <v>2681</v>
      </c>
      <c r="E1273" s="83" t="b">
        <v>0</v>
      </c>
      <c r="F1273" s="83" t="b">
        <v>0</v>
      </c>
      <c r="G1273" s="83" t="b">
        <v>0</v>
      </c>
    </row>
    <row r="1274" spans="1:7" ht="15">
      <c r="A1274" s="84" t="s">
        <v>3201</v>
      </c>
      <c r="B1274" s="83">
        <v>2</v>
      </c>
      <c r="C1274" s="110">
        <v>0.007526975524470884</v>
      </c>
      <c r="D1274" s="83" t="s">
        <v>2681</v>
      </c>
      <c r="E1274" s="83" t="b">
        <v>0</v>
      </c>
      <c r="F1274" s="83" t="b">
        <v>0</v>
      </c>
      <c r="G1274" s="83" t="b">
        <v>0</v>
      </c>
    </row>
    <row r="1275" spans="1:7" ht="15">
      <c r="A1275" s="84" t="s">
        <v>2904</v>
      </c>
      <c r="B1275" s="83">
        <v>3</v>
      </c>
      <c r="C1275" s="110">
        <v>0.1302164839473606</v>
      </c>
      <c r="D1275" s="83" t="s">
        <v>2682</v>
      </c>
      <c r="E1275" s="83" t="b">
        <v>1</v>
      </c>
      <c r="F1275" s="83" t="b">
        <v>0</v>
      </c>
      <c r="G1275" s="83" t="b">
        <v>0</v>
      </c>
    </row>
    <row r="1276" spans="1:7" ht="15">
      <c r="A1276" s="84" t="s">
        <v>1885</v>
      </c>
      <c r="B1276" s="83">
        <v>2</v>
      </c>
      <c r="C1276" s="110">
        <v>0.11390195222988368</v>
      </c>
      <c r="D1276" s="83" t="s">
        <v>2682</v>
      </c>
      <c r="E1276" s="83" t="b">
        <v>0</v>
      </c>
      <c r="F1276" s="83" t="b">
        <v>0</v>
      </c>
      <c r="G1276" s="83" t="b">
        <v>0</v>
      </c>
    </row>
    <row r="1277" spans="1:7" ht="15">
      <c r="A1277" s="84" t="s">
        <v>1421</v>
      </c>
      <c r="B1277" s="83">
        <v>3</v>
      </c>
      <c r="C1277" s="110">
        <v>0.017848390944042846</v>
      </c>
      <c r="D1277" s="83" t="s">
        <v>2683</v>
      </c>
      <c r="E1277" s="83" t="b">
        <v>1</v>
      </c>
      <c r="F1277" s="83" t="b">
        <v>0</v>
      </c>
      <c r="G1277" s="83" t="b">
        <v>0</v>
      </c>
    </row>
    <row r="1278" spans="1:7" ht="15">
      <c r="A1278" s="84" t="s">
        <v>2972</v>
      </c>
      <c r="B1278" s="83">
        <v>2</v>
      </c>
      <c r="C1278" s="110">
        <v>0.028669523396569637</v>
      </c>
      <c r="D1278" s="83" t="s">
        <v>2683</v>
      </c>
      <c r="E1278" s="83" t="b">
        <v>0</v>
      </c>
      <c r="F1278" s="83" t="b">
        <v>0</v>
      </c>
      <c r="G1278" s="83" t="b">
        <v>0</v>
      </c>
    </row>
    <row r="1279" spans="1:7" ht="15">
      <c r="A1279" s="84" t="s">
        <v>2782</v>
      </c>
      <c r="B1279" s="83">
        <v>2</v>
      </c>
      <c r="C1279" s="110">
        <v>0.0665685718415256</v>
      </c>
      <c r="D1279" s="83" t="s">
        <v>2686</v>
      </c>
      <c r="E1279" s="83" t="b">
        <v>0</v>
      </c>
      <c r="F1279" s="83" t="b">
        <v>0</v>
      </c>
      <c r="G1279" s="83" t="b">
        <v>0</v>
      </c>
    </row>
    <row r="1280" spans="1:7" ht="15">
      <c r="A1280" s="84" t="s">
        <v>2825</v>
      </c>
      <c r="B1280" s="83">
        <v>2</v>
      </c>
      <c r="C1280" s="110">
        <v>0.0665685718415256</v>
      </c>
      <c r="D1280" s="83" t="s">
        <v>2686</v>
      </c>
      <c r="E1280" s="83" t="b">
        <v>0</v>
      </c>
      <c r="F1280" s="83" t="b">
        <v>0</v>
      </c>
      <c r="G1280" s="83" t="b">
        <v>0</v>
      </c>
    </row>
    <row r="1281" spans="1:7" ht="15">
      <c r="A1281" s="84" t="s">
        <v>3293</v>
      </c>
      <c r="B1281" s="83">
        <v>2</v>
      </c>
      <c r="C1281" s="110">
        <v>0.0665685718415256</v>
      </c>
      <c r="D1281" s="83" t="s">
        <v>2686</v>
      </c>
      <c r="E1281" s="83" t="b">
        <v>0</v>
      </c>
      <c r="F1281" s="83" t="b">
        <v>0</v>
      </c>
      <c r="G1281"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DF0E7-C06C-45C0-9D59-EEC5D68C5C14}">
  <dimension ref="A1:L35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3366</v>
      </c>
      <c r="B1" s="13" t="s">
        <v>3367</v>
      </c>
      <c r="C1" s="13" t="s">
        <v>3357</v>
      </c>
      <c r="D1" s="13" t="s">
        <v>3361</v>
      </c>
      <c r="E1" s="13" t="s">
        <v>3368</v>
      </c>
      <c r="F1" s="13" t="s">
        <v>144</v>
      </c>
      <c r="G1" s="13" t="s">
        <v>3369</v>
      </c>
      <c r="H1" s="13" t="s">
        <v>3370</v>
      </c>
      <c r="I1" s="13" t="s">
        <v>3371</v>
      </c>
      <c r="J1" s="13" t="s">
        <v>3372</v>
      </c>
      <c r="K1" s="13" t="s">
        <v>3373</v>
      </c>
      <c r="L1" s="13" t="s">
        <v>3374</v>
      </c>
    </row>
    <row r="2" spans="1:12" ht="15">
      <c r="A2" s="83" t="s">
        <v>1421</v>
      </c>
      <c r="B2" s="83" t="s">
        <v>2739</v>
      </c>
      <c r="C2" s="83">
        <v>11</v>
      </c>
      <c r="D2" s="110">
        <v>0.005030668125894384</v>
      </c>
      <c r="E2" s="110">
        <v>1.9951160140433062</v>
      </c>
      <c r="F2" s="83" t="s">
        <v>3362</v>
      </c>
      <c r="G2" s="83" t="b">
        <v>1</v>
      </c>
      <c r="H2" s="83" t="b">
        <v>0</v>
      </c>
      <c r="I2" s="83" t="b">
        <v>0</v>
      </c>
      <c r="J2" s="83" t="b">
        <v>1</v>
      </c>
      <c r="K2" s="83" t="b">
        <v>0</v>
      </c>
      <c r="L2" s="83" t="b">
        <v>0</v>
      </c>
    </row>
    <row r="3" spans="1:12" ht="15">
      <c r="A3" s="84" t="s">
        <v>2777</v>
      </c>
      <c r="B3" s="83" t="s">
        <v>2734</v>
      </c>
      <c r="C3" s="83">
        <v>8</v>
      </c>
      <c r="D3" s="110">
        <v>0.004530359580761011</v>
      </c>
      <c r="E3" s="110">
        <v>2.3781382330887406</v>
      </c>
      <c r="F3" s="83" t="s">
        <v>3362</v>
      </c>
      <c r="G3" s="83" t="b">
        <v>0</v>
      </c>
      <c r="H3" s="83" t="b">
        <v>0</v>
      </c>
      <c r="I3" s="83" t="b">
        <v>0</v>
      </c>
      <c r="J3" s="83" t="b">
        <v>0</v>
      </c>
      <c r="K3" s="83" t="b">
        <v>0</v>
      </c>
      <c r="L3" s="83" t="b">
        <v>0</v>
      </c>
    </row>
    <row r="4" spans="1:12" ht="15">
      <c r="A4" s="84" t="s">
        <v>2734</v>
      </c>
      <c r="B4" s="83" t="s">
        <v>2755</v>
      </c>
      <c r="C4" s="83">
        <v>8</v>
      </c>
      <c r="D4" s="110">
        <v>0.004530359580761011</v>
      </c>
      <c r="E4" s="110">
        <v>2.3134129034520856</v>
      </c>
      <c r="F4" s="83" t="s">
        <v>3362</v>
      </c>
      <c r="G4" s="83" t="b">
        <v>0</v>
      </c>
      <c r="H4" s="83" t="b">
        <v>0</v>
      </c>
      <c r="I4" s="83" t="b">
        <v>0</v>
      </c>
      <c r="J4" s="83" t="b">
        <v>0</v>
      </c>
      <c r="K4" s="83" t="b">
        <v>0</v>
      </c>
      <c r="L4" s="83" t="b">
        <v>0</v>
      </c>
    </row>
    <row r="5" spans="1:12" ht="15">
      <c r="A5" s="84" t="s">
        <v>2755</v>
      </c>
      <c r="B5" s="83" t="s">
        <v>2717</v>
      </c>
      <c r="C5" s="83">
        <v>8</v>
      </c>
      <c r="D5" s="110">
        <v>0.004530359580761011</v>
      </c>
      <c r="E5" s="110">
        <v>1.82529626443096</v>
      </c>
      <c r="F5" s="83" t="s">
        <v>3362</v>
      </c>
      <c r="G5" s="83" t="b">
        <v>0</v>
      </c>
      <c r="H5" s="83" t="b">
        <v>0</v>
      </c>
      <c r="I5" s="83" t="b">
        <v>0</v>
      </c>
      <c r="J5" s="83" t="b">
        <v>0</v>
      </c>
      <c r="K5" s="83" t="b">
        <v>0</v>
      </c>
      <c r="L5" s="83" t="b">
        <v>0</v>
      </c>
    </row>
    <row r="6" spans="1:12" ht="15">
      <c r="A6" s="84" t="s">
        <v>2724</v>
      </c>
      <c r="B6" s="83" t="s">
        <v>2717</v>
      </c>
      <c r="C6" s="83">
        <v>8</v>
      </c>
      <c r="D6" s="110">
        <v>0.004048141230192966</v>
      </c>
      <c r="E6" s="110">
        <v>1.5030769696970407</v>
      </c>
      <c r="F6" s="83" t="s">
        <v>3362</v>
      </c>
      <c r="G6" s="83" t="b">
        <v>0</v>
      </c>
      <c r="H6" s="83" t="b">
        <v>0</v>
      </c>
      <c r="I6" s="83" t="b">
        <v>0</v>
      </c>
      <c r="J6" s="83" t="b">
        <v>0</v>
      </c>
      <c r="K6" s="83" t="b">
        <v>0</v>
      </c>
      <c r="L6" s="83" t="b">
        <v>0</v>
      </c>
    </row>
    <row r="7" spans="1:12" ht="15">
      <c r="A7" s="84" t="s">
        <v>2740</v>
      </c>
      <c r="B7" s="83" t="s">
        <v>2781</v>
      </c>
      <c r="C7" s="83">
        <v>8</v>
      </c>
      <c r="D7" s="110">
        <v>0.004180972161999738</v>
      </c>
      <c r="E7" s="110">
        <v>2.445085022719354</v>
      </c>
      <c r="F7" s="83" t="s">
        <v>3362</v>
      </c>
      <c r="G7" s="83" t="b">
        <v>0</v>
      </c>
      <c r="H7" s="83" t="b">
        <v>0</v>
      </c>
      <c r="I7" s="83" t="b">
        <v>0</v>
      </c>
      <c r="J7" s="83" t="b">
        <v>0</v>
      </c>
      <c r="K7" s="83" t="b">
        <v>0</v>
      </c>
      <c r="L7" s="83" t="b">
        <v>0</v>
      </c>
    </row>
    <row r="8" spans="1:12" ht="15">
      <c r="A8" s="84" t="s">
        <v>2756</v>
      </c>
      <c r="B8" s="83" t="s">
        <v>2796</v>
      </c>
      <c r="C8" s="83">
        <v>7</v>
      </c>
      <c r="D8" s="110">
        <v>0.0035421235764188457</v>
      </c>
      <c r="E8" s="110">
        <v>2.524266268766979</v>
      </c>
      <c r="F8" s="83" t="s">
        <v>3362</v>
      </c>
      <c r="G8" s="83" t="b">
        <v>0</v>
      </c>
      <c r="H8" s="83" t="b">
        <v>0</v>
      </c>
      <c r="I8" s="83" t="b">
        <v>0</v>
      </c>
      <c r="J8" s="83" t="b">
        <v>0</v>
      </c>
      <c r="K8" s="83" t="b">
        <v>0</v>
      </c>
      <c r="L8" s="83" t="b">
        <v>0</v>
      </c>
    </row>
    <row r="9" spans="1:12" ht="15">
      <c r="A9" s="84" t="s">
        <v>2724</v>
      </c>
      <c r="B9" s="83" t="s">
        <v>2722</v>
      </c>
      <c r="C9" s="83">
        <v>6</v>
      </c>
      <c r="D9" s="110">
        <v>0.0032535583566897217</v>
      </c>
      <c r="E9" s="110">
        <v>1.6184703883991103</v>
      </c>
      <c r="F9" s="83" t="s">
        <v>3362</v>
      </c>
      <c r="G9" s="83" t="b">
        <v>0</v>
      </c>
      <c r="H9" s="83" t="b">
        <v>0</v>
      </c>
      <c r="I9" s="83" t="b">
        <v>0</v>
      </c>
      <c r="J9" s="83" t="b">
        <v>0</v>
      </c>
      <c r="K9" s="83" t="b">
        <v>0</v>
      </c>
      <c r="L9" s="83" t="b">
        <v>0</v>
      </c>
    </row>
    <row r="10" spans="1:12" ht="15">
      <c r="A10" s="84" t="s">
        <v>2782</v>
      </c>
      <c r="B10" s="83" t="s">
        <v>2825</v>
      </c>
      <c r="C10" s="83">
        <v>6</v>
      </c>
      <c r="D10" s="110">
        <v>0.003845730988642159</v>
      </c>
      <c r="E10" s="110">
        <v>2.679168228752722</v>
      </c>
      <c r="F10" s="83" t="s">
        <v>3362</v>
      </c>
      <c r="G10" s="83" t="b">
        <v>0</v>
      </c>
      <c r="H10" s="83" t="b">
        <v>0</v>
      </c>
      <c r="I10" s="83" t="b">
        <v>0</v>
      </c>
      <c r="J10" s="83" t="b">
        <v>0</v>
      </c>
      <c r="K10" s="83" t="b">
        <v>0</v>
      </c>
      <c r="L10" s="83" t="b">
        <v>0</v>
      </c>
    </row>
    <row r="11" spans="1:12" ht="15">
      <c r="A11" s="84" t="s">
        <v>2827</v>
      </c>
      <c r="B11" s="83" t="s">
        <v>2828</v>
      </c>
      <c r="C11" s="83">
        <v>6</v>
      </c>
      <c r="D11" s="110">
        <v>0.003135729121499804</v>
      </c>
      <c r="E11" s="110">
        <v>2.7461150183833354</v>
      </c>
      <c r="F11" s="83" t="s">
        <v>3362</v>
      </c>
      <c r="G11" s="83" t="b">
        <v>0</v>
      </c>
      <c r="H11" s="83" t="b">
        <v>0</v>
      </c>
      <c r="I11" s="83" t="b">
        <v>0</v>
      </c>
      <c r="J11" s="83" t="b">
        <v>0</v>
      </c>
      <c r="K11" s="83" t="b">
        <v>0</v>
      </c>
      <c r="L11" s="83" t="b">
        <v>0</v>
      </c>
    </row>
    <row r="12" spans="1:12" ht="15">
      <c r="A12" s="84" t="s">
        <v>2802</v>
      </c>
      <c r="B12" s="83" t="s">
        <v>2803</v>
      </c>
      <c r="C12" s="83">
        <v>5</v>
      </c>
      <c r="D12" s="110">
        <v>0.002831474737975632</v>
      </c>
      <c r="E12" s="110">
        <v>2.82529626443096</v>
      </c>
      <c r="F12" s="83" t="s">
        <v>3362</v>
      </c>
      <c r="G12" s="83" t="b">
        <v>0</v>
      </c>
      <c r="H12" s="83" t="b">
        <v>0</v>
      </c>
      <c r="I12" s="83" t="b">
        <v>0</v>
      </c>
      <c r="J12" s="83" t="b">
        <v>0</v>
      </c>
      <c r="K12" s="83" t="b">
        <v>0</v>
      </c>
      <c r="L12" s="83" t="b">
        <v>0</v>
      </c>
    </row>
    <row r="13" spans="1:12" ht="15">
      <c r="A13" s="84" t="s">
        <v>2753</v>
      </c>
      <c r="B13" s="83" t="s">
        <v>2753</v>
      </c>
      <c r="C13" s="83">
        <v>5</v>
      </c>
      <c r="D13" s="110">
        <v>0.0027112986305747678</v>
      </c>
      <c r="E13" s="110">
        <v>2.268993763663673</v>
      </c>
      <c r="F13" s="83" t="s">
        <v>3362</v>
      </c>
      <c r="G13" s="83" t="b">
        <v>0</v>
      </c>
      <c r="H13" s="83" t="b">
        <v>0</v>
      </c>
      <c r="I13" s="83" t="b">
        <v>0</v>
      </c>
      <c r="J13" s="83" t="b">
        <v>0</v>
      </c>
      <c r="K13" s="83" t="b">
        <v>0</v>
      </c>
      <c r="L13" s="83" t="b">
        <v>0</v>
      </c>
    </row>
    <row r="14" spans="1:12" ht="15">
      <c r="A14" s="84" t="s">
        <v>2853</v>
      </c>
      <c r="B14" s="83" t="s">
        <v>2854</v>
      </c>
      <c r="C14" s="83">
        <v>5</v>
      </c>
      <c r="D14" s="110">
        <v>0.0027112986305747678</v>
      </c>
      <c r="E14" s="110">
        <v>2.82529626443096</v>
      </c>
      <c r="F14" s="83" t="s">
        <v>3362</v>
      </c>
      <c r="G14" s="83" t="b">
        <v>0</v>
      </c>
      <c r="H14" s="83" t="b">
        <v>0</v>
      </c>
      <c r="I14" s="83" t="b">
        <v>0</v>
      </c>
      <c r="J14" s="83" t="b">
        <v>0</v>
      </c>
      <c r="K14" s="83" t="b">
        <v>0</v>
      </c>
      <c r="L14" s="83" t="b">
        <v>0</v>
      </c>
    </row>
    <row r="15" spans="1:12" ht="15">
      <c r="A15" s="84" t="s">
        <v>2721</v>
      </c>
      <c r="B15" s="83" t="s">
        <v>2855</v>
      </c>
      <c r="C15" s="83">
        <v>5</v>
      </c>
      <c r="D15" s="110">
        <v>0.0035780769097612996</v>
      </c>
      <c r="E15" s="110">
        <v>2.0929025046079914</v>
      </c>
      <c r="F15" s="83" t="s">
        <v>3362</v>
      </c>
      <c r="G15" s="83" t="b">
        <v>0</v>
      </c>
      <c r="H15" s="83" t="b">
        <v>0</v>
      </c>
      <c r="I15" s="83" t="b">
        <v>0</v>
      </c>
      <c r="J15" s="83" t="b">
        <v>0</v>
      </c>
      <c r="K15" s="83" t="b">
        <v>0</v>
      </c>
      <c r="L15" s="83" t="b">
        <v>0</v>
      </c>
    </row>
    <row r="16" spans="1:12" ht="15">
      <c r="A16" s="84" t="s">
        <v>2718</v>
      </c>
      <c r="B16" s="83" t="s">
        <v>2731</v>
      </c>
      <c r="C16" s="83">
        <v>4</v>
      </c>
      <c r="D16" s="110">
        <v>0.0022651797903805054</v>
      </c>
      <c r="E16" s="110">
        <v>1.5700237593276538</v>
      </c>
      <c r="F16" s="83" t="s">
        <v>3362</v>
      </c>
      <c r="G16" s="83" t="b">
        <v>0</v>
      </c>
      <c r="H16" s="83" t="b">
        <v>0</v>
      </c>
      <c r="I16" s="83" t="b">
        <v>0</v>
      </c>
      <c r="J16" s="83" t="b">
        <v>0</v>
      </c>
      <c r="K16" s="83" t="b">
        <v>0</v>
      </c>
      <c r="L16" s="83" t="b">
        <v>0</v>
      </c>
    </row>
    <row r="17" spans="1:12" ht="15">
      <c r="A17" s="84" t="s">
        <v>2760</v>
      </c>
      <c r="B17" s="83" t="s">
        <v>2860</v>
      </c>
      <c r="C17" s="83">
        <v>4</v>
      </c>
      <c r="D17" s="110">
        <v>0.0022651797903805054</v>
      </c>
      <c r="E17" s="110">
        <v>2.570023759327654</v>
      </c>
      <c r="F17" s="83" t="s">
        <v>3362</v>
      </c>
      <c r="G17" s="83" t="b">
        <v>0</v>
      </c>
      <c r="H17" s="83" t="b">
        <v>0</v>
      </c>
      <c r="I17" s="83" t="b">
        <v>0</v>
      </c>
      <c r="J17" s="83" t="b">
        <v>0</v>
      </c>
      <c r="K17" s="83" t="b">
        <v>0</v>
      </c>
      <c r="L17" s="83" t="b">
        <v>0</v>
      </c>
    </row>
    <row r="18" spans="1:12" ht="15">
      <c r="A18" s="84" t="s">
        <v>2718</v>
      </c>
      <c r="B18" s="83" t="s">
        <v>2727</v>
      </c>
      <c r="C18" s="83">
        <v>4</v>
      </c>
      <c r="D18" s="110">
        <v>0.0022651797903805054</v>
      </c>
      <c r="E18" s="110">
        <v>1.6078123202170538</v>
      </c>
      <c r="F18" s="83" t="s">
        <v>3362</v>
      </c>
      <c r="G18" s="83" t="b">
        <v>0</v>
      </c>
      <c r="H18" s="83" t="b">
        <v>0</v>
      </c>
      <c r="I18" s="83" t="b">
        <v>0</v>
      </c>
      <c r="J18" s="83" t="b">
        <v>0</v>
      </c>
      <c r="K18" s="83" t="b">
        <v>0</v>
      </c>
      <c r="L18" s="83" t="b">
        <v>0</v>
      </c>
    </row>
    <row r="19" spans="1:12" ht="15">
      <c r="A19" s="84" t="s">
        <v>2717</v>
      </c>
      <c r="B19" s="83" t="s">
        <v>2777</v>
      </c>
      <c r="C19" s="83">
        <v>4</v>
      </c>
      <c r="D19" s="110">
        <v>0.0022651797903805054</v>
      </c>
      <c r="E19" s="110">
        <v>1.7760782417607783</v>
      </c>
      <c r="F19" s="83" t="s">
        <v>3362</v>
      </c>
      <c r="G19" s="83" t="b">
        <v>0</v>
      </c>
      <c r="H19" s="83" t="b">
        <v>0</v>
      </c>
      <c r="I19" s="83" t="b">
        <v>0</v>
      </c>
      <c r="J19" s="83" t="b">
        <v>0</v>
      </c>
      <c r="K19" s="83" t="b">
        <v>0</v>
      </c>
      <c r="L19" s="83" t="b">
        <v>0</v>
      </c>
    </row>
    <row r="20" spans="1:12" ht="15">
      <c r="A20" s="84" t="s">
        <v>2869</v>
      </c>
      <c r="B20" s="83" t="s">
        <v>2734</v>
      </c>
      <c r="C20" s="83">
        <v>4</v>
      </c>
      <c r="D20" s="110">
        <v>0.0025638206590947728</v>
      </c>
      <c r="E20" s="110">
        <v>2.3781382330887406</v>
      </c>
      <c r="F20" s="83" t="s">
        <v>3362</v>
      </c>
      <c r="G20" s="83" t="b">
        <v>0</v>
      </c>
      <c r="H20" s="83" t="b">
        <v>0</v>
      </c>
      <c r="I20" s="83" t="b">
        <v>0</v>
      </c>
      <c r="J20" s="83" t="b">
        <v>0</v>
      </c>
      <c r="K20" s="83" t="b">
        <v>0</v>
      </c>
      <c r="L20" s="83" t="b">
        <v>0</v>
      </c>
    </row>
    <row r="21" spans="1:12" ht="15">
      <c r="A21" s="84" t="s">
        <v>2751</v>
      </c>
      <c r="B21" s="83" t="s">
        <v>2767</v>
      </c>
      <c r="C21" s="83">
        <v>4</v>
      </c>
      <c r="D21" s="110">
        <v>0.0022651797903805054</v>
      </c>
      <c r="E21" s="110">
        <v>2.3269857106413596</v>
      </c>
      <c r="F21" s="83" t="s">
        <v>3362</v>
      </c>
      <c r="G21" s="83" t="b">
        <v>0</v>
      </c>
      <c r="H21" s="83" t="b">
        <v>0</v>
      </c>
      <c r="I21" s="83" t="b">
        <v>0</v>
      </c>
      <c r="J21" s="83" t="b">
        <v>0</v>
      </c>
      <c r="K21" s="83" t="b">
        <v>0</v>
      </c>
      <c r="L21" s="83" t="b">
        <v>0</v>
      </c>
    </row>
    <row r="22" spans="1:12" ht="15">
      <c r="A22" s="84" t="s">
        <v>2765</v>
      </c>
      <c r="B22" s="83" t="s">
        <v>2730</v>
      </c>
      <c r="C22" s="83">
        <v>4</v>
      </c>
      <c r="D22" s="110">
        <v>0.0022651797903805054</v>
      </c>
      <c r="E22" s="110">
        <v>2.047145014047316</v>
      </c>
      <c r="F22" s="83" t="s">
        <v>3362</v>
      </c>
      <c r="G22" s="83" t="b">
        <v>0</v>
      </c>
      <c r="H22" s="83" t="b">
        <v>0</v>
      </c>
      <c r="I22" s="83" t="b">
        <v>0</v>
      </c>
      <c r="J22" s="83" t="b">
        <v>0</v>
      </c>
      <c r="K22" s="83" t="b">
        <v>1</v>
      </c>
      <c r="L22" s="83" t="b">
        <v>0</v>
      </c>
    </row>
    <row r="23" spans="1:12" ht="15">
      <c r="A23" s="84" t="s">
        <v>2819</v>
      </c>
      <c r="B23" s="83" t="s">
        <v>2718</v>
      </c>
      <c r="C23" s="83">
        <v>4</v>
      </c>
      <c r="D23" s="110">
        <v>0.0023891269497141364</v>
      </c>
      <c r="E23" s="110">
        <v>1.9332016617404795</v>
      </c>
      <c r="F23" s="83" t="s">
        <v>3362</v>
      </c>
      <c r="G23" s="83" t="b">
        <v>0</v>
      </c>
      <c r="H23" s="83" t="b">
        <v>0</v>
      </c>
      <c r="I23" s="83" t="b">
        <v>0</v>
      </c>
      <c r="J23" s="83" t="b">
        <v>0</v>
      </c>
      <c r="K23" s="83" t="b">
        <v>0</v>
      </c>
      <c r="L23" s="83" t="b">
        <v>0</v>
      </c>
    </row>
    <row r="24" spans="1:12" ht="15">
      <c r="A24" s="84" t="s">
        <v>2716</v>
      </c>
      <c r="B24" s="83" t="s">
        <v>2849</v>
      </c>
      <c r="C24" s="83">
        <v>4</v>
      </c>
      <c r="D24" s="110">
        <v>0.0022651797903805054</v>
      </c>
      <c r="E24" s="110">
        <v>1.8615084370854047</v>
      </c>
      <c r="F24" s="83" t="s">
        <v>3362</v>
      </c>
      <c r="G24" s="83" t="b">
        <v>0</v>
      </c>
      <c r="H24" s="83" t="b">
        <v>0</v>
      </c>
      <c r="I24" s="83" t="b">
        <v>0</v>
      </c>
      <c r="J24" s="83" t="b">
        <v>0</v>
      </c>
      <c r="K24" s="83" t="b">
        <v>0</v>
      </c>
      <c r="L24" s="83" t="b">
        <v>0</v>
      </c>
    </row>
    <row r="25" spans="1:12" ht="15">
      <c r="A25" s="84" t="s">
        <v>2721</v>
      </c>
      <c r="B25" s="83" t="s">
        <v>2915</v>
      </c>
      <c r="C25" s="83">
        <v>4</v>
      </c>
      <c r="D25" s="110">
        <v>0.0028624615278090397</v>
      </c>
      <c r="E25" s="110">
        <v>2.0929025046079914</v>
      </c>
      <c r="F25" s="83" t="s">
        <v>3362</v>
      </c>
      <c r="G25" s="83" t="b">
        <v>0</v>
      </c>
      <c r="H25" s="83" t="b">
        <v>0</v>
      </c>
      <c r="I25" s="83" t="b">
        <v>0</v>
      </c>
      <c r="J25" s="83" t="b">
        <v>0</v>
      </c>
      <c r="K25" s="83" t="b">
        <v>0</v>
      </c>
      <c r="L25" s="83" t="b">
        <v>0</v>
      </c>
    </row>
    <row r="26" spans="1:12" ht="15">
      <c r="A26" s="84" t="s">
        <v>2861</v>
      </c>
      <c r="B26" s="83" t="s">
        <v>2735</v>
      </c>
      <c r="C26" s="83">
        <v>3</v>
      </c>
      <c r="D26" s="110">
        <v>0.0019228654943210795</v>
      </c>
      <c r="E26" s="110">
        <v>2.285384179851842</v>
      </c>
      <c r="F26" s="83" t="s">
        <v>3362</v>
      </c>
      <c r="G26" s="83" t="b">
        <v>0</v>
      </c>
      <c r="H26" s="83" t="b">
        <v>1</v>
      </c>
      <c r="I26" s="83" t="b">
        <v>0</v>
      </c>
      <c r="J26" s="83" t="b">
        <v>0</v>
      </c>
      <c r="K26" s="83" t="b">
        <v>0</v>
      </c>
      <c r="L26" s="83" t="b">
        <v>0</v>
      </c>
    </row>
    <row r="27" spans="1:12" ht="15">
      <c r="A27" s="84" t="s">
        <v>2721</v>
      </c>
      <c r="B27" s="83" t="s">
        <v>2926</v>
      </c>
      <c r="C27" s="83">
        <v>3</v>
      </c>
      <c r="D27" s="110">
        <v>0.0021468461458567798</v>
      </c>
      <c r="E27" s="110">
        <v>2.0929025046079914</v>
      </c>
      <c r="F27" s="83" t="s">
        <v>3362</v>
      </c>
      <c r="G27" s="83" t="b">
        <v>0</v>
      </c>
      <c r="H27" s="83" t="b">
        <v>0</v>
      </c>
      <c r="I27" s="83" t="b">
        <v>0</v>
      </c>
      <c r="J27" s="83" t="b">
        <v>0</v>
      </c>
      <c r="K27" s="83" t="b">
        <v>0</v>
      </c>
      <c r="L27" s="83" t="b">
        <v>0</v>
      </c>
    </row>
    <row r="28" spans="1:12" ht="15">
      <c r="A28" s="84" t="s">
        <v>2773</v>
      </c>
      <c r="B28" s="83" t="s">
        <v>2721</v>
      </c>
      <c r="C28" s="83">
        <v>3</v>
      </c>
      <c r="D28" s="110">
        <v>0.0017918452122856023</v>
      </c>
      <c r="E28" s="110">
        <v>1.7003575278226601</v>
      </c>
      <c r="F28" s="83" t="s">
        <v>3362</v>
      </c>
      <c r="G28" s="83" t="b">
        <v>0</v>
      </c>
      <c r="H28" s="83" t="b">
        <v>0</v>
      </c>
      <c r="I28" s="83" t="b">
        <v>0</v>
      </c>
      <c r="J28" s="83" t="b">
        <v>0</v>
      </c>
      <c r="K28" s="83" t="b">
        <v>0</v>
      </c>
      <c r="L28" s="83" t="b">
        <v>0</v>
      </c>
    </row>
    <row r="29" spans="1:12" ht="15">
      <c r="A29" s="84" t="s">
        <v>2753</v>
      </c>
      <c r="B29" s="83" t="s">
        <v>2774</v>
      </c>
      <c r="C29" s="83">
        <v>3</v>
      </c>
      <c r="D29" s="110">
        <v>0.0017918452122856023</v>
      </c>
      <c r="E29" s="110">
        <v>2.144055027055373</v>
      </c>
      <c r="F29" s="83" t="s">
        <v>3362</v>
      </c>
      <c r="G29" s="83" t="b">
        <v>0</v>
      </c>
      <c r="H29" s="83" t="b">
        <v>0</v>
      </c>
      <c r="I29" s="83" t="b">
        <v>0</v>
      </c>
      <c r="J29" s="83" t="b">
        <v>0</v>
      </c>
      <c r="K29" s="83" t="b">
        <v>0</v>
      </c>
      <c r="L29" s="83" t="b">
        <v>0</v>
      </c>
    </row>
    <row r="30" spans="1:12" ht="15">
      <c r="A30" s="84" t="s">
        <v>1110</v>
      </c>
      <c r="B30" s="83" t="s">
        <v>2763</v>
      </c>
      <c r="C30" s="83">
        <v>3</v>
      </c>
      <c r="D30" s="110">
        <v>0.0017918452122856023</v>
      </c>
      <c r="E30" s="110">
        <v>2.2020469740330597</v>
      </c>
      <c r="F30" s="83" t="s">
        <v>3362</v>
      </c>
      <c r="G30" s="83" t="b">
        <v>1</v>
      </c>
      <c r="H30" s="83" t="b">
        <v>0</v>
      </c>
      <c r="I30" s="83" t="b">
        <v>0</v>
      </c>
      <c r="J30" s="83" t="b">
        <v>0</v>
      </c>
      <c r="K30" s="83" t="b">
        <v>0</v>
      </c>
      <c r="L30" s="83" t="b">
        <v>0</v>
      </c>
    </row>
    <row r="31" spans="1:12" ht="15">
      <c r="A31" s="84" t="s">
        <v>2727</v>
      </c>
      <c r="B31" s="83" t="s">
        <v>2760</v>
      </c>
      <c r="C31" s="83">
        <v>3</v>
      </c>
      <c r="D31" s="110">
        <v>0.0017918452122856023</v>
      </c>
      <c r="E31" s="110">
        <v>2.144055027055373</v>
      </c>
      <c r="F31" s="83" t="s">
        <v>3362</v>
      </c>
      <c r="G31" s="83" t="b">
        <v>0</v>
      </c>
      <c r="H31" s="83" t="b">
        <v>0</v>
      </c>
      <c r="I31" s="83" t="b">
        <v>0</v>
      </c>
      <c r="J31" s="83" t="b">
        <v>0</v>
      </c>
      <c r="K31" s="83" t="b">
        <v>0</v>
      </c>
      <c r="L31" s="83" t="b">
        <v>0</v>
      </c>
    </row>
    <row r="32" spans="1:12" ht="15">
      <c r="A32" s="84" t="s">
        <v>2936</v>
      </c>
      <c r="B32" s="83" t="s">
        <v>2937</v>
      </c>
      <c r="C32" s="83">
        <v>3</v>
      </c>
      <c r="D32" s="110">
        <v>0.0017918452122856023</v>
      </c>
      <c r="E32" s="110">
        <v>3.047145014047316</v>
      </c>
      <c r="F32" s="83" t="s">
        <v>3362</v>
      </c>
      <c r="G32" s="83" t="b">
        <v>0</v>
      </c>
      <c r="H32" s="83" t="b">
        <v>0</v>
      </c>
      <c r="I32" s="83" t="b">
        <v>0</v>
      </c>
      <c r="J32" s="83" t="b">
        <v>0</v>
      </c>
      <c r="K32" s="83" t="b">
        <v>0</v>
      </c>
      <c r="L32" s="83" t="b">
        <v>0</v>
      </c>
    </row>
    <row r="33" spans="1:12" ht="15">
      <c r="A33" s="84" t="s">
        <v>2961</v>
      </c>
      <c r="B33" s="83" t="s">
        <v>2717</v>
      </c>
      <c r="C33" s="83">
        <v>3</v>
      </c>
      <c r="D33" s="110">
        <v>0.0019228654943210795</v>
      </c>
      <c r="E33" s="110">
        <v>1.9222062774390165</v>
      </c>
      <c r="F33" s="83" t="s">
        <v>3362</v>
      </c>
      <c r="G33" s="83" t="b">
        <v>0</v>
      </c>
      <c r="H33" s="83" t="b">
        <v>0</v>
      </c>
      <c r="I33" s="83" t="b">
        <v>0</v>
      </c>
      <c r="J33" s="83" t="b">
        <v>0</v>
      </c>
      <c r="K33" s="83" t="b">
        <v>0</v>
      </c>
      <c r="L33" s="83" t="b">
        <v>0</v>
      </c>
    </row>
    <row r="34" spans="1:12" ht="15">
      <c r="A34" s="84" t="s">
        <v>2838</v>
      </c>
      <c r="B34" s="83" t="s">
        <v>2748</v>
      </c>
      <c r="C34" s="83">
        <v>3</v>
      </c>
      <c r="D34" s="110">
        <v>0.0017918452122856023</v>
      </c>
      <c r="E34" s="110">
        <v>2.399327532158679</v>
      </c>
      <c r="F34" s="83" t="s">
        <v>3362</v>
      </c>
      <c r="G34" s="83" t="b">
        <v>0</v>
      </c>
      <c r="H34" s="83" t="b">
        <v>0</v>
      </c>
      <c r="I34" s="83" t="b">
        <v>0</v>
      </c>
      <c r="J34" s="83" t="b">
        <v>0</v>
      </c>
      <c r="K34" s="83" t="b">
        <v>0</v>
      </c>
      <c r="L34" s="83" t="b">
        <v>0</v>
      </c>
    </row>
    <row r="35" spans="1:12" ht="15">
      <c r="A35" s="84" t="s">
        <v>2981</v>
      </c>
      <c r="B35" s="83" t="s">
        <v>2891</v>
      </c>
      <c r="C35" s="83">
        <v>3</v>
      </c>
      <c r="D35" s="110">
        <v>0.0017918452122856023</v>
      </c>
      <c r="E35" s="110">
        <v>2.9222062774390163</v>
      </c>
      <c r="F35" s="83" t="s">
        <v>3362</v>
      </c>
      <c r="G35" s="83" t="b">
        <v>0</v>
      </c>
      <c r="H35" s="83" t="b">
        <v>0</v>
      </c>
      <c r="I35" s="83" t="b">
        <v>0</v>
      </c>
      <c r="J35" s="83" t="b">
        <v>0</v>
      </c>
      <c r="K35" s="83" t="b">
        <v>1</v>
      </c>
      <c r="L35" s="83" t="b">
        <v>0</v>
      </c>
    </row>
    <row r="36" spans="1:12" ht="15">
      <c r="A36" s="84" t="s">
        <v>2807</v>
      </c>
      <c r="B36" s="83" t="s">
        <v>2717</v>
      </c>
      <c r="C36" s="83">
        <v>3</v>
      </c>
      <c r="D36" s="110">
        <v>0.0017918452122856023</v>
      </c>
      <c r="E36" s="110">
        <v>1.6211762817750353</v>
      </c>
      <c r="F36" s="83" t="s">
        <v>3362</v>
      </c>
      <c r="G36" s="83" t="b">
        <v>0</v>
      </c>
      <c r="H36" s="83" t="b">
        <v>0</v>
      </c>
      <c r="I36" s="83" t="b">
        <v>0</v>
      </c>
      <c r="J36" s="83" t="b">
        <v>0</v>
      </c>
      <c r="K36" s="83" t="b">
        <v>0</v>
      </c>
      <c r="L36" s="83" t="b">
        <v>0</v>
      </c>
    </row>
    <row r="37" spans="1:12" ht="15">
      <c r="A37" s="84" t="s">
        <v>2718</v>
      </c>
      <c r="B37" s="83" t="s">
        <v>3011</v>
      </c>
      <c r="C37" s="83">
        <v>3</v>
      </c>
      <c r="D37" s="110">
        <v>0.0017918452122856023</v>
      </c>
      <c r="E37" s="110">
        <v>2.047145014047316</v>
      </c>
      <c r="F37" s="83" t="s">
        <v>3362</v>
      </c>
      <c r="G37" s="83" t="b">
        <v>0</v>
      </c>
      <c r="H37" s="83" t="b">
        <v>0</v>
      </c>
      <c r="I37" s="83" t="b">
        <v>0</v>
      </c>
      <c r="J37" s="83" t="b">
        <v>0</v>
      </c>
      <c r="K37" s="83" t="b">
        <v>1</v>
      </c>
      <c r="L37" s="83" t="b">
        <v>0</v>
      </c>
    </row>
    <row r="38" spans="1:12" ht="15">
      <c r="A38" s="84" t="s">
        <v>2788</v>
      </c>
      <c r="B38" s="83" t="s">
        <v>3019</v>
      </c>
      <c r="C38" s="83">
        <v>3</v>
      </c>
      <c r="D38" s="110">
        <v>0.0021468461458567798</v>
      </c>
      <c r="E38" s="110">
        <v>2.679168228752722</v>
      </c>
      <c r="F38" s="83" t="s">
        <v>3362</v>
      </c>
      <c r="G38" s="83" t="b">
        <v>0</v>
      </c>
      <c r="H38" s="83" t="b">
        <v>1</v>
      </c>
      <c r="I38" s="83" t="b">
        <v>0</v>
      </c>
      <c r="J38" s="83" t="b">
        <v>0</v>
      </c>
      <c r="K38" s="83" t="b">
        <v>1</v>
      </c>
      <c r="L38" s="83" t="b">
        <v>0</v>
      </c>
    </row>
    <row r="39" spans="1:12" ht="15">
      <c r="A39" s="84" t="s">
        <v>2735</v>
      </c>
      <c r="B39" s="83" t="s">
        <v>2730</v>
      </c>
      <c r="C39" s="83">
        <v>3</v>
      </c>
      <c r="D39" s="110">
        <v>0.0017918452122856023</v>
      </c>
      <c r="E39" s="110">
        <v>1.7113529121241233</v>
      </c>
      <c r="F39" s="83" t="s">
        <v>3362</v>
      </c>
      <c r="G39" s="83" t="b">
        <v>0</v>
      </c>
      <c r="H39" s="83" t="b">
        <v>0</v>
      </c>
      <c r="I39" s="83" t="b">
        <v>0</v>
      </c>
      <c r="J39" s="83" t="b">
        <v>0</v>
      </c>
      <c r="K39" s="83" t="b">
        <v>1</v>
      </c>
      <c r="L39" s="83" t="b">
        <v>0</v>
      </c>
    </row>
    <row r="40" spans="1:12" ht="15">
      <c r="A40" s="84" t="s">
        <v>3037</v>
      </c>
      <c r="B40" s="83" t="s">
        <v>3038</v>
      </c>
      <c r="C40" s="83">
        <v>3</v>
      </c>
      <c r="D40" s="110">
        <v>0.0017918452122856023</v>
      </c>
      <c r="E40" s="110">
        <v>3.047145014047316</v>
      </c>
      <c r="F40" s="83" t="s">
        <v>3362</v>
      </c>
      <c r="G40" s="83" t="b">
        <v>0</v>
      </c>
      <c r="H40" s="83" t="b">
        <v>0</v>
      </c>
      <c r="I40" s="83" t="b">
        <v>0</v>
      </c>
      <c r="J40" s="83" t="b">
        <v>0</v>
      </c>
      <c r="K40" s="83" t="b">
        <v>0</v>
      </c>
      <c r="L40" s="83" t="b">
        <v>0</v>
      </c>
    </row>
    <row r="41" spans="1:12" ht="15">
      <c r="A41" s="84" t="s">
        <v>2736</v>
      </c>
      <c r="B41" s="83" t="s">
        <v>2747</v>
      </c>
      <c r="C41" s="83">
        <v>3</v>
      </c>
      <c r="D41" s="110">
        <v>0.0017918452122856023</v>
      </c>
      <c r="E41" s="110">
        <v>2.0982975364946976</v>
      </c>
      <c r="F41" s="83" t="s">
        <v>3362</v>
      </c>
      <c r="G41" s="83" t="b">
        <v>0</v>
      </c>
      <c r="H41" s="83" t="b">
        <v>0</v>
      </c>
      <c r="I41" s="83" t="b">
        <v>0</v>
      </c>
      <c r="J41" s="83" t="b">
        <v>0</v>
      </c>
      <c r="K41" s="83" t="b">
        <v>0</v>
      </c>
      <c r="L41" s="83" t="b">
        <v>0</v>
      </c>
    </row>
    <row r="42" spans="1:12" ht="15">
      <c r="A42" s="84" t="s">
        <v>2721</v>
      </c>
      <c r="B42" s="83" t="s">
        <v>3053</v>
      </c>
      <c r="C42" s="83">
        <v>3</v>
      </c>
      <c r="D42" s="110">
        <v>0.0019228654943210795</v>
      </c>
      <c r="E42" s="110">
        <v>2.0929025046079914</v>
      </c>
      <c r="F42" s="83" t="s">
        <v>3362</v>
      </c>
      <c r="G42" s="83" t="b">
        <v>0</v>
      </c>
      <c r="H42" s="83" t="b">
        <v>0</v>
      </c>
      <c r="I42" s="83" t="b">
        <v>0</v>
      </c>
      <c r="J42" s="83" t="b">
        <v>0</v>
      </c>
      <c r="K42" s="83" t="b">
        <v>0</v>
      </c>
      <c r="L42" s="83" t="b">
        <v>0</v>
      </c>
    </row>
    <row r="43" spans="1:12" ht="15">
      <c r="A43" s="84" t="s">
        <v>3074</v>
      </c>
      <c r="B43" s="83" t="s">
        <v>3075</v>
      </c>
      <c r="C43" s="83">
        <v>2</v>
      </c>
      <c r="D43" s="110">
        <v>0.0012819103295473864</v>
      </c>
      <c r="E43" s="110">
        <v>3.2232362731029975</v>
      </c>
      <c r="F43" s="83" t="s">
        <v>3362</v>
      </c>
      <c r="G43" s="83" t="b">
        <v>1</v>
      </c>
      <c r="H43" s="83" t="b">
        <v>0</v>
      </c>
      <c r="I43" s="83" t="b">
        <v>0</v>
      </c>
      <c r="J43" s="83" t="b">
        <v>0</v>
      </c>
      <c r="K43" s="83" t="b">
        <v>0</v>
      </c>
      <c r="L43" s="83" t="b">
        <v>0</v>
      </c>
    </row>
    <row r="44" spans="1:12" ht="15">
      <c r="A44" s="84" t="s">
        <v>2744</v>
      </c>
      <c r="B44" s="83" t="s">
        <v>2787</v>
      </c>
      <c r="C44" s="83">
        <v>2</v>
      </c>
      <c r="D44" s="110">
        <v>0.0012819103295473864</v>
      </c>
      <c r="E44" s="110">
        <v>2.0849335749367164</v>
      </c>
      <c r="F44" s="83" t="s">
        <v>3362</v>
      </c>
      <c r="G44" s="83" t="b">
        <v>0</v>
      </c>
      <c r="H44" s="83" t="b">
        <v>0</v>
      </c>
      <c r="I44" s="83" t="b">
        <v>0</v>
      </c>
      <c r="J44" s="83" t="b">
        <v>0</v>
      </c>
      <c r="K44" s="83" t="b">
        <v>0</v>
      </c>
      <c r="L44" s="83" t="b">
        <v>0</v>
      </c>
    </row>
    <row r="45" spans="1:12" ht="15">
      <c r="A45" s="84" t="s">
        <v>2789</v>
      </c>
      <c r="B45" s="83" t="s">
        <v>2727</v>
      </c>
      <c r="C45" s="83">
        <v>2</v>
      </c>
      <c r="D45" s="110">
        <v>0.0012819103295473864</v>
      </c>
      <c r="E45" s="110">
        <v>2.0057523288890913</v>
      </c>
      <c r="F45" s="83" t="s">
        <v>3362</v>
      </c>
      <c r="G45" s="83" t="b">
        <v>0</v>
      </c>
      <c r="H45" s="83" t="b">
        <v>0</v>
      </c>
      <c r="I45" s="83" t="b">
        <v>0</v>
      </c>
      <c r="J45" s="83" t="b">
        <v>0</v>
      </c>
      <c r="K45" s="83" t="b">
        <v>0</v>
      </c>
      <c r="L45" s="83" t="b">
        <v>0</v>
      </c>
    </row>
    <row r="46" spans="1:12" ht="15">
      <c r="A46" s="84" t="s">
        <v>2865</v>
      </c>
      <c r="B46" s="83" t="s">
        <v>2719</v>
      </c>
      <c r="C46" s="83">
        <v>2</v>
      </c>
      <c r="D46" s="110">
        <v>0.0012819103295473864</v>
      </c>
      <c r="E46" s="110">
        <v>1.9864471736937046</v>
      </c>
      <c r="F46" s="83" t="s">
        <v>3362</v>
      </c>
      <c r="G46" s="83" t="b">
        <v>0</v>
      </c>
      <c r="H46" s="83" t="b">
        <v>1</v>
      </c>
      <c r="I46" s="83" t="b">
        <v>0</v>
      </c>
      <c r="J46" s="83" t="b">
        <v>1</v>
      </c>
      <c r="K46" s="83" t="b">
        <v>0</v>
      </c>
      <c r="L46" s="83" t="b">
        <v>0</v>
      </c>
    </row>
    <row r="47" spans="1:12" ht="15">
      <c r="A47" s="84" t="s">
        <v>3082</v>
      </c>
      <c r="B47" s="83" t="s">
        <v>3083</v>
      </c>
      <c r="C47" s="83">
        <v>2</v>
      </c>
      <c r="D47" s="110">
        <v>0.0014312307639045199</v>
      </c>
      <c r="E47" s="110">
        <v>3.2232362731029975</v>
      </c>
      <c r="F47" s="83" t="s">
        <v>3362</v>
      </c>
      <c r="G47" s="83" t="b">
        <v>0</v>
      </c>
      <c r="H47" s="83" t="b">
        <v>1</v>
      </c>
      <c r="I47" s="83" t="b">
        <v>0</v>
      </c>
      <c r="J47" s="83" t="b">
        <v>0</v>
      </c>
      <c r="K47" s="83" t="b">
        <v>0</v>
      </c>
      <c r="L47" s="83" t="b">
        <v>0</v>
      </c>
    </row>
    <row r="48" spans="1:12" ht="15">
      <c r="A48" s="84" t="s">
        <v>3094</v>
      </c>
      <c r="B48" s="83" t="s">
        <v>3095</v>
      </c>
      <c r="C48" s="83">
        <v>2</v>
      </c>
      <c r="D48" s="110">
        <v>0.0014312307639045199</v>
      </c>
      <c r="E48" s="110">
        <v>3.2232362731029975</v>
      </c>
      <c r="F48" s="83" t="s">
        <v>3362</v>
      </c>
      <c r="G48" s="83" t="b">
        <v>0</v>
      </c>
      <c r="H48" s="83" t="b">
        <v>1</v>
      </c>
      <c r="I48" s="83" t="b">
        <v>0</v>
      </c>
      <c r="J48" s="83" t="b">
        <v>0</v>
      </c>
      <c r="K48" s="83" t="b">
        <v>0</v>
      </c>
      <c r="L48" s="83" t="b">
        <v>0</v>
      </c>
    </row>
    <row r="49" spans="1:12" ht="15">
      <c r="A49" s="84" t="s">
        <v>2719</v>
      </c>
      <c r="B49" s="83" t="s">
        <v>2814</v>
      </c>
      <c r="C49" s="83">
        <v>2</v>
      </c>
      <c r="D49" s="110">
        <v>0.0012819103295473864</v>
      </c>
      <c r="E49" s="110">
        <v>1.694962495935954</v>
      </c>
      <c r="F49" s="83" t="s">
        <v>3362</v>
      </c>
      <c r="G49" s="83" t="b">
        <v>1</v>
      </c>
      <c r="H49" s="83" t="b">
        <v>0</v>
      </c>
      <c r="I49" s="83" t="b">
        <v>0</v>
      </c>
      <c r="J49" s="83" t="b">
        <v>0</v>
      </c>
      <c r="K49" s="83" t="b">
        <v>0</v>
      </c>
      <c r="L49" s="83" t="b">
        <v>0</v>
      </c>
    </row>
    <row r="50" spans="1:12" ht="15">
      <c r="A50" s="84" t="s">
        <v>3099</v>
      </c>
      <c r="B50" s="83" t="s">
        <v>3100</v>
      </c>
      <c r="C50" s="83">
        <v>2</v>
      </c>
      <c r="D50" s="110">
        <v>0.0012819103295473864</v>
      </c>
      <c r="E50" s="110">
        <v>3.2232362731029975</v>
      </c>
      <c r="F50" s="83" t="s">
        <v>3362</v>
      </c>
      <c r="G50" s="83" t="b">
        <v>0</v>
      </c>
      <c r="H50" s="83" t="b">
        <v>0</v>
      </c>
      <c r="I50" s="83" t="b">
        <v>0</v>
      </c>
      <c r="J50" s="83" t="b">
        <v>0</v>
      </c>
      <c r="K50" s="83" t="b">
        <v>0</v>
      </c>
      <c r="L50" s="83" t="b">
        <v>0</v>
      </c>
    </row>
    <row r="51" spans="1:12" ht="15">
      <c r="A51" s="84" t="s">
        <v>2734</v>
      </c>
      <c r="B51" s="83" t="s">
        <v>3102</v>
      </c>
      <c r="C51" s="83">
        <v>2</v>
      </c>
      <c r="D51" s="110">
        <v>0.0014312307639045199</v>
      </c>
      <c r="E51" s="110">
        <v>2.410322916460142</v>
      </c>
      <c r="F51" s="83" t="s">
        <v>3362</v>
      </c>
      <c r="G51" s="83" t="b">
        <v>0</v>
      </c>
      <c r="H51" s="83" t="b">
        <v>0</v>
      </c>
      <c r="I51" s="83" t="b">
        <v>0</v>
      </c>
      <c r="J51" s="83" t="b">
        <v>0</v>
      </c>
      <c r="K51" s="83" t="b">
        <v>0</v>
      </c>
      <c r="L51" s="83" t="b">
        <v>0</v>
      </c>
    </row>
    <row r="52" spans="1:12" ht="15">
      <c r="A52" s="84" t="s">
        <v>3104</v>
      </c>
      <c r="B52" s="83" t="s">
        <v>2718</v>
      </c>
      <c r="C52" s="83">
        <v>2</v>
      </c>
      <c r="D52" s="110">
        <v>0.0012819103295473864</v>
      </c>
      <c r="E52" s="110">
        <v>2.1092929207961606</v>
      </c>
      <c r="F52" s="83" t="s">
        <v>3362</v>
      </c>
      <c r="G52" s="83" t="b">
        <v>1</v>
      </c>
      <c r="H52" s="83" t="b">
        <v>0</v>
      </c>
      <c r="I52" s="83" t="b">
        <v>0</v>
      </c>
      <c r="J52" s="83" t="b">
        <v>0</v>
      </c>
      <c r="K52" s="83" t="b">
        <v>0</v>
      </c>
      <c r="L52" s="83" t="b">
        <v>0</v>
      </c>
    </row>
    <row r="53" spans="1:12" ht="15">
      <c r="A53" s="84" t="s">
        <v>2872</v>
      </c>
      <c r="B53" s="83" t="s">
        <v>2748</v>
      </c>
      <c r="C53" s="83">
        <v>2</v>
      </c>
      <c r="D53" s="110">
        <v>0.0012819103295473864</v>
      </c>
      <c r="E53" s="110">
        <v>2.2232362731029975</v>
      </c>
      <c r="F53" s="83" t="s">
        <v>3362</v>
      </c>
      <c r="G53" s="83" t="b">
        <v>1</v>
      </c>
      <c r="H53" s="83" t="b">
        <v>0</v>
      </c>
      <c r="I53" s="83" t="b">
        <v>0</v>
      </c>
      <c r="J53" s="83" t="b">
        <v>0</v>
      </c>
      <c r="K53" s="83" t="b">
        <v>0</v>
      </c>
      <c r="L53" s="83" t="b">
        <v>0</v>
      </c>
    </row>
    <row r="54" spans="1:12" ht="15">
      <c r="A54" s="84" t="s">
        <v>2748</v>
      </c>
      <c r="B54" s="83" t="s">
        <v>2754</v>
      </c>
      <c r="C54" s="83">
        <v>2</v>
      </c>
      <c r="D54" s="110">
        <v>0.0012819103295473864</v>
      </c>
      <c r="E54" s="110">
        <v>2.172083750655616</v>
      </c>
      <c r="F54" s="83" t="s">
        <v>3362</v>
      </c>
      <c r="G54" s="83" t="b">
        <v>0</v>
      </c>
      <c r="H54" s="83" t="b">
        <v>0</v>
      </c>
      <c r="I54" s="83" t="b">
        <v>0</v>
      </c>
      <c r="J54" s="83" t="b">
        <v>1</v>
      </c>
      <c r="K54" s="83" t="b">
        <v>0</v>
      </c>
      <c r="L54" s="83" t="b">
        <v>0</v>
      </c>
    </row>
    <row r="55" spans="1:12" ht="15">
      <c r="A55" s="84" t="s">
        <v>2754</v>
      </c>
      <c r="B55" s="83" t="s">
        <v>2955</v>
      </c>
      <c r="C55" s="83">
        <v>2</v>
      </c>
      <c r="D55" s="110">
        <v>0.0012819103295473864</v>
      </c>
      <c r="E55" s="110">
        <v>2.445085022719354</v>
      </c>
      <c r="F55" s="83" t="s">
        <v>3362</v>
      </c>
      <c r="G55" s="83" t="b">
        <v>1</v>
      </c>
      <c r="H55" s="83" t="b">
        <v>0</v>
      </c>
      <c r="I55" s="83" t="b">
        <v>0</v>
      </c>
      <c r="J55" s="83" t="b">
        <v>0</v>
      </c>
      <c r="K55" s="83" t="b">
        <v>0</v>
      </c>
      <c r="L55" s="83" t="b">
        <v>0</v>
      </c>
    </row>
    <row r="56" spans="1:12" ht="15">
      <c r="A56" s="84" t="s">
        <v>2955</v>
      </c>
      <c r="B56" s="83" t="s">
        <v>2956</v>
      </c>
      <c r="C56" s="83">
        <v>2</v>
      </c>
      <c r="D56" s="110">
        <v>0.0012819103295473864</v>
      </c>
      <c r="E56" s="110">
        <v>2.8710537549916353</v>
      </c>
      <c r="F56" s="83" t="s">
        <v>3362</v>
      </c>
      <c r="G56" s="83" t="b">
        <v>0</v>
      </c>
      <c r="H56" s="83" t="b">
        <v>0</v>
      </c>
      <c r="I56" s="83" t="b">
        <v>0</v>
      </c>
      <c r="J56" s="83" t="b">
        <v>0</v>
      </c>
      <c r="K56" s="83" t="b">
        <v>0</v>
      </c>
      <c r="L56" s="83" t="b">
        <v>0</v>
      </c>
    </row>
    <row r="57" spans="1:12" ht="15">
      <c r="A57" s="84" t="s">
        <v>2956</v>
      </c>
      <c r="B57" s="83" t="s">
        <v>3105</v>
      </c>
      <c r="C57" s="83">
        <v>2</v>
      </c>
      <c r="D57" s="110">
        <v>0.0012819103295473864</v>
      </c>
      <c r="E57" s="110">
        <v>3.047145014047316</v>
      </c>
      <c r="F57" s="83" t="s">
        <v>3362</v>
      </c>
      <c r="G57" s="83" t="b">
        <v>0</v>
      </c>
      <c r="H57" s="83" t="b">
        <v>0</v>
      </c>
      <c r="I57" s="83" t="b">
        <v>0</v>
      </c>
      <c r="J57" s="83" t="b">
        <v>0</v>
      </c>
      <c r="K57" s="83" t="b">
        <v>0</v>
      </c>
      <c r="L57" s="83" t="b">
        <v>0</v>
      </c>
    </row>
    <row r="58" spans="1:12" ht="15">
      <c r="A58" s="84" t="s">
        <v>3105</v>
      </c>
      <c r="B58" s="83" t="s">
        <v>2777</v>
      </c>
      <c r="C58" s="83">
        <v>2</v>
      </c>
      <c r="D58" s="110">
        <v>0.0012819103295473864</v>
      </c>
      <c r="E58" s="110">
        <v>2.621176281775035</v>
      </c>
      <c r="F58" s="83" t="s">
        <v>3362</v>
      </c>
      <c r="G58" s="83" t="b">
        <v>0</v>
      </c>
      <c r="H58" s="83" t="b">
        <v>0</v>
      </c>
      <c r="I58" s="83" t="b">
        <v>0</v>
      </c>
      <c r="J58" s="83" t="b">
        <v>0</v>
      </c>
      <c r="K58" s="83" t="b">
        <v>0</v>
      </c>
      <c r="L58" s="83" t="b">
        <v>0</v>
      </c>
    </row>
    <row r="59" spans="1:12" ht="15">
      <c r="A59" s="84" t="s">
        <v>2958</v>
      </c>
      <c r="B59" s="83" t="s">
        <v>2793</v>
      </c>
      <c r="C59" s="83">
        <v>2</v>
      </c>
      <c r="D59" s="110">
        <v>0.0012819103295473864</v>
      </c>
      <c r="E59" s="110">
        <v>2.570023759327654</v>
      </c>
      <c r="F59" s="83" t="s">
        <v>3362</v>
      </c>
      <c r="G59" s="83" t="b">
        <v>1</v>
      </c>
      <c r="H59" s="83" t="b">
        <v>0</v>
      </c>
      <c r="I59" s="83" t="b">
        <v>0</v>
      </c>
      <c r="J59" s="83" t="b">
        <v>0</v>
      </c>
      <c r="K59" s="83" t="b">
        <v>0</v>
      </c>
      <c r="L59" s="83" t="b">
        <v>0</v>
      </c>
    </row>
    <row r="60" spans="1:12" ht="15">
      <c r="A60" s="84" t="s">
        <v>3106</v>
      </c>
      <c r="B60" s="83" t="s">
        <v>3107</v>
      </c>
      <c r="C60" s="83">
        <v>2</v>
      </c>
      <c r="D60" s="110">
        <v>0.0012819103295473864</v>
      </c>
      <c r="E60" s="110">
        <v>3.2232362731029975</v>
      </c>
      <c r="F60" s="83" t="s">
        <v>3362</v>
      </c>
      <c r="G60" s="83" t="b">
        <v>0</v>
      </c>
      <c r="H60" s="83" t="b">
        <v>0</v>
      </c>
      <c r="I60" s="83" t="b">
        <v>0</v>
      </c>
      <c r="J60" s="83" t="b">
        <v>0</v>
      </c>
      <c r="K60" s="83" t="b">
        <v>0</v>
      </c>
      <c r="L60" s="83" t="b">
        <v>0</v>
      </c>
    </row>
    <row r="61" spans="1:12" ht="15">
      <c r="A61" s="84" t="s">
        <v>2831</v>
      </c>
      <c r="B61" s="83" t="s">
        <v>2797</v>
      </c>
      <c r="C61" s="83">
        <v>2</v>
      </c>
      <c r="D61" s="110">
        <v>0.0012819103295473864</v>
      </c>
      <c r="E61" s="110">
        <v>2.3781382330887406</v>
      </c>
      <c r="F61" s="83" t="s">
        <v>3362</v>
      </c>
      <c r="G61" s="83" t="b">
        <v>1</v>
      </c>
      <c r="H61" s="83" t="b">
        <v>0</v>
      </c>
      <c r="I61" s="83" t="b">
        <v>0</v>
      </c>
      <c r="J61" s="83" t="b">
        <v>0</v>
      </c>
      <c r="K61" s="83" t="b">
        <v>0</v>
      </c>
      <c r="L61" s="83" t="b">
        <v>0</v>
      </c>
    </row>
    <row r="62" spans="1:12" ht="15">
      <c r="A62" s="84" t="s">
        <v>2797</v>
      </c>
      <c r="B62" s="83" t="s">
        <v>3112</v>
      </c>
      <c r="C62" s="83">
        <v>2</v>
      </c>
      <c r="D62" s="110">
        <v>0.0012819103295473864</v>
      </c>
      <c r="E62" s="110">
        <v>2.679168228752722</v>
      </c>
      <c r="F62" s="83" t="s">
        <v>3362</v>
      </c>
      <c r="G62" s="83" t="b">
        <v>0</v>
      </c>
      <c r="H62" s="83" t="b">
        <v>0</v>
      </c>
      <c r="I62" s="83" t="b">
        <v>0</v>
      </c>
      <c r="J62" s="83" t="b">
        <v>0</v>
      </c>
      <c r="K62" s="83" t="b">
        <v>0</v>
      </c>
      <c r="L62" s="83" t="b">
        <v>0</v>
      </c>
    </row>
    <row r="63" spans="1:12" ht="15">
      <c r="A63" s="84" t="s">
        <v>3112</v>
      </c>
      <c r="B63" s="83" t="s">
        <v>2810</v>
      </c>
      <c r="C63" s="83">
        <v>2</v>
      </c>
      <c r="D63" s="110">
        <v>0.0012819103295473864</v>
      </c>
      <c r="E63" s="110">
        <v>2.7461150183833354</v>
      </c>
      <c r="F63" s="83" t="s">
        <v>3362</v>
      </c>
      <c r="G63" s="83" t="b">
        <v>0</v>
      </c>
      <c r="H63" s="83" t="b">
        <v>0</v>
      </c>
      <c r="I63" s="83" t="b">
        <v>0</v>
      </c>
      <c r="J63" s="83" t="b">
        <v>1</v>
      </c>
      <c r="K63" s="83" t="b">
        <v>0</v>
      </c>
      <c r="L63" s="83" t="b">
        <v>0</v>
      </c>
    </row>
    <row r="64" spans="1:12" ht="15">
      <c r="A64" s="84" t="s">
        <v>2810</v>
      </c>
      <c r="B64" s="83" t="s">
        <v>3113</v>
      </c>
      <c r="C64" s="83">
        <v>2</v>
      </c>
      <c r="D64" s="110">
        <v>0.0012819103295473864</v>
      </c>
      <c r="E64" s="110">
        <v>2.82529626443096</v>
      </c>
      <c r="F64" s="83" t="s">
        <v>3362</v>
      </c>
      <c r="G64" s="83" t="b">
        <v>1</v>
      </c>
      <c r="H64" s="83" t="b">
        <v>0</v>
      </c>
      <c r="I64" s="83" t="b">
        <v>0</v>
      </c>
      <c r="J64" s="83" t="b">
        <v>0</v>
      </c>
      <c r="K64" s="83" t="b">
        <v>0</v>
      </c>
      <c r="L64" s="83" t="b">
        <v>0</v>
      </c>
    </row>
    <row r="65" spans="1:12" ht="15">
      <c r="A65" s="84" t="s">
        <v>3113</v>
      </c>
      <c r="B65" s="83" t="s">
        <v>2735</v>
      </c>
      <c r="C65" s="83">
        <v>2</v>
      </c>
      <c r="D65" s="110">
        <v>0.0012819103295473864</v>
      </c>
      <c r="E65" s="110">
        <v>2.410322916460142</v>
      </c>
      <c r="F65" s="83" t="s">
        <v>3362</v>
      </c>
      <c r="G65" s="83" t="b">
        <v>0</v>
      </c>
      <c r="H65" s="83" t="b">
        <v>0</v>
      </c>
      <c r="I65" s="83" t="b">
        <v>0</v>
      </c>
      <c r="J65" s="83" t="b">
        <v>0</v>
      </c>
      <c r="K65" s="83" t="b">
        <v>0</v>
      </c>
      <c r="L65" s="83" t="b">
        <v>0</v>
      </c>
    </row>
    <row r="66" spans="1:12" ht="15">
      <c r="A66" s="84" t="s">
        <v>2735</v>
      </c>
      <c r="B66" s="83" t="s">
        <v>2960</v>
      </c>
      <c r="C66" s="83">
        <v>2</v>
      </c>
      <c r="D66" s="110">
        <v>0.0012819103295473864</v>
      </c>
      <c r="E66" s="110">
        <v>2.234231657404461</v>
      </c>
      <c r="F66" s="83" t="s">
        <v>3362</v>
      </c>
      <c r="G66" s="83" t="b">
        <v>0</v>
      </c>
      <c r="H66" s="83" t="b">
        <v>0</v>
      </c>
      <c r="I66" s="83" t="b">
        <v>0</v>
      </c>
      <c r="J66" s="83" t="b">
        <v>0</v>
      </c>
      <c r="K66" s="83" t="b">
        <v>0</v>
      </c>
      <c r="L66" s="83" t="b">
        <v>0</v>
      </c>
    </row>
    <row r="67" spans="1:12" ht="15">
      <c r="A67" s="84" t="s">
        <v>2960</v>
      </c>
      <c r="B67" s="83" t="s">
        <v>2795</v>
      </c>
      <c r="C67" s="83">
        <v>2</v>
      </c>
      <c r="D67" s="110">
        <v>0.0012819103295473864</v>
      </c>
      <c r="E67" s="110">
        <v>2.5030769696970405</v>
      </c>
      <c r="F67" s="83" t="s">
        <v>3362</v>
      </c>
      <c r="G67" s="83" t="b">
        <v>0</v>
      </c>
      <c r="H67" s="83" t="b">
        <v>0</v>
      </c>
      <c r="I67" s="83" t="b">
        <v>0</v>
      </c>
      <c r="J67" s="83" t="b">
        <v>0</v>
      </c>
      <c r="K67" s="83" t="b">
        <v>0</v>
      </c>
      <c r="L67" s="83" t="b">
        <v>0</v>
      </c>
    </row>
    <row r="68" spans="1:12" ht="15">
      <c r="A68" s="84" t="s">
        <v>2795</v>
      </c>
      <c r="B68" s="83" t="s">
        <v>2778</v>
      </c>
      <c r="C68" s="83">
        <v>2</v>
      </c>
      <c r="D68" s="110">
        <v>0.0012819103295473864</v>
      </c>
      <c r="E68" s="110">
        <v>2.0771082374247594</v>
      </c>
      <c r="F68" s="83" t="s">
        <v>3362</v>
      </c>
      <c r="G68" s="83" t="b">
        <v>0</v>
      </c>
      <c r="H68" s="83" t="b">
        <v>0</v>
      </c>
      <c r="I68" s="83" t="b">
        <v>0</v>
      </c>
      <c r="J68" s="83" t="b">
        <v>0</v>
      </c>
      <c r="K68" s="83" t="b">
        <v>0</v>
      </c>
      <c r="L68" s="83" t="b">
        <v>0</v>
      </c>
    </row>
    <row r="69" spans="1:12" ht="15">
      <c r="A69" s="84" t="s">
        <v>2778</v>
      </c>
      <c r="B69" s="83" t="s">
        <v>2818</v>
      </c>
      <c r="C69" s="83">
        <v>2</v>
      </c>
      <c r="D69" s="110">
        <v>0.0012819103295473864</v>
      </c>
      <c r="E69" s="110">
        <v>2.144055027055373</v>
      </c>
      <c r="F69" s="83" t="s">
        <v>3362</v>
      </c>
      <c r="G69" s="83" t="b">
        <v>0</v>
      </c>
      <c r="H69" s="83" t="b">
        <v>0</v>
      </c>
      <c r="I69" s="83" t="b">
        <v>0</v>
      </c>
      <c r="J69" s="83" t="b">
        <v>0</v>
      </c>
      <c r="K69" s="83" t="b">
        <v>0</v>
      </c>
      <c r="L69" s="83" t="b">
        <v>0</v>
      </c>
    </row>
    <row r="70" spans="1:12" ht="15">
      <c r="A70" s="84" t="s">
        <v>2738</v>
      </c>
      <c r="B70" s="83" t="s">
        <v>2833</v>
      </c>
      <c r="C70" s="83">
        <v>2</v>
      </c>
      <c r="D70" s="110">
        <v>0.0012819103295473864</v>
      </c>
      <c r="E70" s="110">
        <v>2.0849335749367164</v>
      </c>
      <c r="F70" s="83" t="s">
        <v>3362</v>
      </c>
      <c r="G70" s="83" t="b">
        <v>0</v>
      </c>
      <c r="H70" s="83" t="b">
        <v>0</v>
      </c>
      <c r="I70" s="83" t="b">
        <v>0</v>
      </c>
      <c r="J70" s="83" t="b">
        <v>0</v>
      </c>
      <c r="K70" s="83" t="b">
        <v>0</v>
      </c>
      <c r="L70" s="83" t="b">
        <v>0</v>
      </c>
    </row>
    <row r="71" spans="1:12" ht="15">
      <c r="A71" s="84" t="s">
        <v>2963</v>
      </c>
      <c r="B71" s="83" t="s">
        <v>2798</v>
      </c>
      <c r="C71" s="83">
        <v>2</v>
      </c>
      <c r="D71" s="110">
        <v>0.0012819103295473864</v>
      </c>
      <c r="E71" s="110">
        <v>2.7461150183833354</v>
      </c>
      <c r="F71" s="83" t="s">
        <v>3362</v>
      </c>
      <c r="G71" s="83" t="b">
        <v>0</v>
      </c>
      <c r="H71" s="83" t="b">
        <v>0</v>
      </c>
      <c r="I71" s="83" t="b">
        <v>0</v>
      </c>
      <c r="J71" s="83" t="b">
        <v>0</v>
      </c>
      <c r="K71" s="83" t="b">
        <v>0</v>
      </c>
      <c r="L71" s="83" t="b">
        <v>0</v>
      </c>
    </row>
    <row r="72" spans="1:12" ht="15">
      <c r="A72" s="84" t="s">
        <v>2879</v>
      </c>
      <c r="B72" s="83" t="s">
        <v>2771</v>
      </c>
      <c r="C72" s="83">
        <v>2</v>
      </c>
      <c r="D72" s="110">
        <v>0.0012819103295473864</v>
      </c>
      <c r="E72" s="110">
        <v>2.3781382330887406</v>
      </c>
      <c r="F72" s="83" t="s">
        <v>3362</v>
      </c>
      <c r="G72" s="83" t="b">
        <v>0</v>
      </c>
      <c r="H72" s="83" t="b">
        <v>1</v>
      </c>
      <c r="I72" s="83" t="b">
        <v>0</v>
      </c>
      <c r="J72" s="83" t="b">
        <v>0</v>
      </c>
      <c r="K72" s="83" t="b">
        <v>0</v>
      </c>
      <c r="L72" s="83" t="b">
        <v>0</v>
      </c>
    </row>
    <row r="73" spans="1:12" ht="15">
      <c r="A73" s="84" t="s">
        <v>2798</v>
      </c>
      <c r="B73" s="83" t="s">
        <v>3138</v>
      </c>
      <c r="C73" s="83">
        <v>2</v>
      </c>
      <c r="D73" s="110">
        <v>0.0012819103295473864</v>
      </c>
      <c r="E73" s="110">
        <v>2.82529626443096</v>
      </c>
      <c r="F73" s="83" t="s">
        <v>3362</v>
      </c>
      <c r="G73" s="83" t="b">
        <v>0</v>
      </c>
      <c r="H73" s="83" t="b">
        <v>0</v>
      </c>
      <c r="I73" s="83" t="b">
        <v>0</v>
      </c>
      <c r="J73" s="83" t="b">
        <v>0</v>
      </c>
      <c r="K73" s="83" t="b">
        <v>0</v>
      </c>
      <c r="L73" s="83" t="b">
        <v>0</v>
      </c>
    </row>
    <row r="74" spans="1:12" ht="15">
      <c r="A74" s="84" t="s">
        <v>2973</v>
      </c>
      <c r="B74" s="83" t="s">
        <v>3145</v>
      </c>
      <c r="C74" s="83">
        <v>2</v>
      </c>
      <c r="D74" s="110">
        <v>0.0012819103295473864</v>
      </c>
      <c r="E74" s="110">
        <v>3.047145014047316</v>
      </c>
      <c r="F74" s="83" t="s">
        <v>3362</v>
      </c>
      <c r="G74" s="83" t="b">
        <v>0</v>
      </c>
      <c r="H74" s="83" t="b">
        <v>0</v>
      </c>
      <c r="I74" s="83" t="b">
        <v>0</v>
      </c>
      <c r="J74" s="83" t="b">
        <v>0</v>
      </c>
      <c r="K74" s="83" t="b">
        <v>0</v>
      </c>
      <c r="L74" s="83" t="b">
        <v>0</v>
      </c>
    </row>
    <row r="75" spans="1:12" ht="15">
      <c r="A75" s="84" t="s">
        <v>2749</v>
      </c>
      <c r="B75" s="83" t="s">
        <v>2767</v>
      </c>
      <c r="C75" s="83">
        <v>2</v>
      </c>
      <c r="D75" s="110">
        <v>0.0012819103295473864</v>
      </c>
      <c r="E75" s="110">
        <v>1.871053754991635</v>
      </c>
      <c r="F75" s="83" t="s">
        <v>3362</v>
      </c>
      <c r="G75" s="83" t="b">
        <v>0</v>
      </c>
      <c r="H75" s="83" t="b">
        <v>0</v>
      </c>
      <c r="I75" s="83" t="b">
        <v>0</v>
      </c>
      <c r="J75" s="83" t="b">
        <v>0</v>
      </c>
      <c r="K75" s="83" t="b">
        <v>0</v>
      </c>
      <c r="L75" s="83" t="b">
        <v>0</v>
      </c>
    </row>
    <row r="76" spans="1:12" ht="15">
      <c r="A76" s="84" t="s">
        <v>3147</v>
      </c>
      <c r="B76" s="83" t="s">
        <v>2974</v>
      </c>
      <c r="C76" s="83">
        <v>2</v>
      </c>
      <c r="D76" s="110">
        <v>0.0012819103295473864</v>
      </c>
      <c r="E76" s="110">
        <v>3.2232362731029975</v>
      </c>
      <c r="F76" s="83" t="s">
        <v>3362</v>
      </c>
      <c r="G76" s="83" t="b">
        <v>0</v>
      </c>
      <c r="H76" s="83" t="b">
        <v>0</v>
      </c>
      <c r="I76" s="83" t="b">
        <v>0</v>
      </c>
      <c r="J76" s="83" t="b">
        <v>0</v>
      </c>
      <c r="K76" s="83" t="b">
        <v>0</v>
      </c>
      <c r="L76" s="83" t="b">
        <v>0</v>
      </c>
    </row>
    <row r="77" spans="1:12" ht="15">
      <c r="A77" s="84" t="s">
        <v>2890</v>
      </c>
      <c r="B77" s="83" t="s">
        <v>2820</v>
      </c>
      <c r="C77" s="83">
        <v>2</v>
      </c>
      <c r="D77" s="110">
        <v>0.0012819103295473864</v>
      </c>
      <c r="E77" s="110">
        <v>2.6492050053752787</v>
      </c>
      <c r="F77" s="83" t="s">
        <v>3362</v>
      </c>
      <c r="G77" s="83" t="b">
        <v>0</v>
      </c>
      <c r="H77" s="83" t="b">
        <v>0</v>
      </c>
      <c r="I77" s="83" t="b">
        <v>0</v>
      </c>
      <c r="J77" s="83" t="b">
        <v>0</v>
      </c>
      <c r="K77" s="83" t="b">
        <v>0</v>
      </c>
      <c r="L77" s="83" t="b">
        <v>0</v>
      </c>
    </row>
    <row r="78" spans="1:12" ht="15">
      <c r="A78" s="84" t="s">
        <v>2744</v>
      </c>
      <c r="B78" s="83" t="s">
        <v>2981</v>
      </c>
      <c r="C78" s="83">
        <v>2</v>
      </c>
      <c r="D78" s="110">
        <v>0.0012819103295473864</v>
      </c>
      <c r="E78" s="110">
        <v>2.3067823245530725</v>
      </c>
      <c r="F78" s="83" t="s">
        <v>3362</v>
      </c>
      <c r="G78" s="83" t="b">
        <v>0</v>
      </c>
      <c r="H78" s="83" t="b">
        <v>0</v>
      </c>
      <c r="I78" s="83" t="b">
        <v>0</v>
      </c>
      <c r="J78" s="83" t="b">
        <v>0</v>
      </c>
      <c r="K78" s="83" t="b">
        <v>0</v>
      </c>
      <c r="L78" s="83" t="b">
        <v>0</v>
      </c>
    </row>
    <row r="79" spans="1:12" ht="15">
      <c r="A79" s="84" t="s">
        <v>2724</v>
      </c>
      <c r="B79" s="83" t="s">
        <v>2724</v>
      </c>
      <c r="C79" s="83">
        <v>2</v>
      </c>
      <c r="D79" s="110">
        <v>0.0012819103295473864</v>
      </c>
      <c r="E79" s="110">
        <v>1.2020469740330595</v>
      </c>
      <c r="F79" s="83" t="s">
        <v>3362</v>
      </c>
      <c r="G79" s="83" t="b">
        <v>0</v>
      </c>
      <c r="H79" s="83" t="b">
        <v>0</v>
      </c>
      <c r="I79" s="83" t="b">
        <v>0</v>
      </c>
      <c r="J79" s="83" t="b">
        <v>0</v>
      </c>
      <c r="K79" s="83" t="b">
        <v>0</v>
      </c>
      <c r="L79" s="83" t="b">
        <v>0</v>
      </c>
    </row>
    <row r="80" spans="1:12" ht="15">
      <c r="A80" s="84" t="s">
        <v>2895</v>
      </c>
      <c r="B80" s="83" t="s">
        <v>2733</v>
      </c>
      <c r="C80" s="83">
        <v>2</v>
      </c>
      <c r="D80" s="110">
        <v>0.0012819103295473864</v>
      </c>
      <c r="E80" s="110">
        <v>2.5030769696970405</v>
      </c>
      <c r="F80" s="83" t="s">
        <v>3362</v>
      </c>
      <c r="G80" s="83" t="b">
        <v>0</v>
      </c>
      <c r="H80" s="83" t="b">
        <v>1</v>
      </c>
      <c r="I80" s="83" t="b">
        <v>0</v>
      </c>
      <c r="J80" s="83" t="b">
        <v>0</v>
      </c>
      <c r="K80" s="83" t="b">
        <v>0</v>
      </c>
      <c r="L80" s="83" t="b">
        <v>0</v>
      </c>
    </row>
    <row r="81" spans="1:12" ht="15">
      <c r="A81" s="84" t="s">
        <v>2723</v>
      </c>
      <c r="B81" s="83" t="s">
        <v>2716</v>
      </c>
      <c r="C81" s="83">
        <v>2</v>
      </c>
      <c r="D81" s="110">
        <v>0.0012819103295473864</v>
      </c>
      <c r="E81" s="110">
        <v>1.1440550270553729</v>
      </c>
      <c r="F81" s="83" t="s">
        <v>3362</v>
      </c>
      <c r="G81" s="83" t="b">
        <v>0</v>
      </c>
      <c r="H81" s="83" t="b">
        <v>0</v>
      </c>
      <c r="I81" s="83" t="b">
        <v>0</v>
      </c>
      <c r="J81" s="83" t="b">
        <v>0</v>
      </c>
      <c r="K81" s="83" t="b">
        <v>0</v>
      </c>
      <c r="L81" s="83" t="b">
        <v>0</v>
      </c>
    </row>
    <row r="82" spans="1:12" ht="15">
      <c r="A82" s="84" t="s">
        <v>2999</v>
      </c>
      <c r="B82" s="83" t="s">
        <v>3180</v>
      </c>
      <c r="C82" s="83">
        <v>2</v>
      </c>
      <c r="D82" s="110">
        <v>0.0012819103295473864</v>
      </c>
      <c r="E82" s="110">
        <v>3.2232362731029975</v>
      </c>
      <c r="F82" s="83" t="s">
        <v>3362</v>
      </c>
      <c r="G82" s="83" t="b">
        <v>0</v>
      </c>
      <c r="H82" s="83" t="b">
        <v>0</v>
      </c>
      <c r="I82" s="83" t="b">
        <v>0</v>
      </c>
      <c r="J82" s="83" t="b">
        <v>0</v>
      </c>
      <c r="K82" s="83" t="b">
        <v>0</v>
      </c>
      <c r="L82" s="83" t="b">
        <v>0</v>
      </c>
    </row>
    <row r="83" spans="1:12" ht="15">
      <c r="A83" s="84" t="s">
        <v>3180</v>
      </c>
      <c r="B83" s="83" t="s">
        <v>2842</v>
      </c>
      <c r="C83" s="83">
        <v>2</v>
      </c>
      <c r="D83" s="110">
        <v>0.0012819103295473864</v>
      </c>
      <c r="E83" s="110">
        <v>2.82529626443096</v>
      </c>
      <c r="F83" s="83" t="s">
        <v>3362</v>
      </c>
      <c r="G83" s="83" t="b">
        <v>0</v>
      </c>
      <c r="H83" s="83" t="b">
        <v>0</v>
      </c>
      <c r="I83" s="83" t="b">
        <v>0</v>
      </c>
      <c r="J83" s="83" t="b">
        <v>0</v>
      </c>
      <c r="K83" s="83" t="b">
        <v>0</v>
      </c>
      <c r="L83" s="83" t="b">
        <v>0</v>
      </c>
    </row>
    <row r="84" spans="1:12" ht="15">
      <c r="A84" s="84" t="s">
        <v>2986</v>
      </c>
      <c r="B84" s="83" t="s">
        <v>2898</v>
      </c>
      <c r="C84" s="83">
        <v>2</v>
      </c>
      <c r="D84" s="110">
        <v>0.0012819103295473864</v>
      </c>
      <c r="E84" s="110">
        <v>2.7461150183833354</v>
      </c>
      <c r="F84" s="83" t="s">
        <v>3362</v>
      </c>
      <c r="G84" s="83" t="b">
        <v>0</v>
      </c>
      <c r="H84" s="83" t="b">
        <v>0</v>
      </c>
      <c r="I84" s="83" t="b">
        <v>0</v>
      </c>
      <c r="J84" s="83" t="b">
        <v>0</v>
      </c>
      <c r="K84" s="83" t="b">
        <v>0</v>
      </c>
      <c r="L84" s="83" t="b">
        <v>0</v>
      </c>
    </row>
    <row r="85" spans="1:12" ht="15">
      <c r="A85" s="84" t="s">
        <v>2898</v>
      </c>
      <c r="B85" s="83" t="s">
        <v>2801</v>
      </c>
      <c r="C85" s="83">
        <v>2</v>
      </c>
      <c r="D85" s="110">
        <v>0.0012819103295473864</v>
      </c>
      <c r="E85" s="110">
        <v>2.679168228752722</v>
      </c>
      <c r="F85" s="83" t="s">
        <v>3362</v>
      </c>
      <c r="G85" s="83" t="b">
        <v>0</v>
      </c>
      <c r="H85" s="83" t="b">
        <v>0</v>
      </c>
      <c r="I85" s="83" t="b">
        <v>0</v>
      </c>
      <c r="J85" s="83" t="b">
        <v>0</v>
      </c>
      <c r="K85" s="83" t="b">
        <v>0</v>
      </c>
      <c r="L85" s="83" t="b">
        <v>0</v>
      </c>
    </row>
    <row r="86" spans="1:12" ht="15">
      <c r="A86" s="84" t="s">
        <v>3002</v>
      </c>
      <c r="B86" s="83" t="s">
        <v>2900</v>
      </c>
      <c r="C86" s="83">
        <v>2</v>
      </c>
      <c r="D86" s="110">
        <v>0.0012819103295473864</v>
      </c>
      <c r="E86" s="110">
        <v>2.7461150183833354</v>
      </c>
      <c r="F86" s="83" t="s">
        <v>3362</v>
      </c>
      <c r="G86" s="83" t="b">
        <v>0</v>
      </c>
      <c r="H86" s="83" t="b">
        <v>0</v>
      </c>
      <c r="I86" s="83" t="b">
        <v>0</v>
      </c>
      <c r="J86" s="83" t="b">
        <v>0</v>
      </c>
      <c r="K86" s="83" t="b">
        <v>0</v>
      </c>
      <c r="L86" s="83" t="b">
        <v>0</v>
      </c>
    </row>
    <row r="87" spans="1:12" ht="15">
      <c r="A87" s="84" t="s">
        <v>3198</v>
      </c>
      <c r="B87" s="83" t="s">
        <v>2846</v>
      </c>
      <c r="C87" s="83">
        <v>2</v>
      </c>
      <c r="D87" s="110">
        <v>0.0012819103295473864</v>
      </c>
      <c r="E87" s="110">
        <v>2.82529626443096</v>
      </c>
      <c r="F87" s="83" t="s">
        <v>3362</v>
      </c>
      <c r="G87" s="83" t="b">
        <v>0</v>
      </c>
      <c r="H87" s="83" t="b">
        <v>0</v>
      </c>
      <c r="I87" s="83" t="b">
        <v>0</v>
      </c>
      <c r="J87" s="83" t="b">
        <v>0</v>
      </c>
      <c r="K87" s="83" t="b">
        <v>0</v>
      </c>
      <c r="L87" s="83" t="b">
        <v>0</v>
      </c>
    </row>
    <row r="88" spans="1:12" ht="15">
      <c r="A88" s="84" t="s">
        <v>2901</v>
      </c>
      <c r="B88" s="83" t="s">
        <v>3199</v>
      </c>
      <c r="C88" s="83">
        <v>2</v>
      </c>
      <c r="D88" s="110">
        <v>0.0012819103295473864</v>
      </c>
      <c r="E88" s="110">
        <v>2.9222062774390163</v>
      </c>
      <c r="F88" s="83" t="s">
        <v>3362</v>
      </c>
      <c r="G88" s="83" t="b">
        <v>0</v>
      </c>
      <c r="H88" s="83" t="b">
        <v>0</v>
      </c>
      <c r="I88" s="83" t="b">
        <v>0</v>
      </c>
      <c r="J88" s="83" t="b">
        <v>0</v>
      </c>
      <c r="K88" s="83" t="b">
        <v>0</v>
      </c>
      <c r="L88" s="83" t="b">
        <v>0</v>
      </c>
    </row>
    <row r="89" spans="1:12" ht="15">
      <c r="A89" s="84" t="s">
        <v>3200</v>
      </c>
      <c r="B89" s="83" t="s">
        <v>3201</v>
      </c>
      <c r="C89" s="83">
        <v>2</v>
      </c>
      <c r="D89" s="110">
        <v>0.0012819103295473864</v>
      </c>
      <c r="E89" s="110">
        <v>3.2232362731029975</v>
      </c>
      <c r="F89" s="83" t="s">
        <v>3362</v>
      </c>
      <c r="G89" s="83" t="b">
        <v>0</v>
      </c>
      <c r="H89" s="83" t="b">
        <v>0</v>
      </c>
      <c r="I89" s="83" t="b">
        <v>0</v>
      </c>
      <c r="J89" s="83" t="b">
        <v>0</v>
      </c>
      <c r="K89" s="83" t="b">
        <v>0</v>
      </c>
      <c r="L89" s="83" t="b">
        <v>0</v>
      </c>
    </row>
    <row r="90" spans="1:12" ht="15">
      <c r="A90" s="84" t="s">
        <v>3202</v>
      </c>
      <c r="B90" s="83" t="s">
        <v>3203</v>
      </c>
      <c r="C90" s="83">
        <v>2</v>
      </c>
      <c r="D90" s="110">
        <v>0.0012819103295473864</v>
      </c>
      <c r="E90" s="110">
        <v>3.2232362731029975</v>
      </c>
      <c r="F90" s="83" t="s">
        <v>3362</v>
      </c>
      <c r="G90" s="83" t="b">
        <v>0</v>
      </c>
      <c r="H90" s="83" t="b">
        <v>0</v>
      </c>
      <c r="I90" s="83" t="b">
        <v>0</v>
      </c>
      <c r="J90" s="83" t="b">
        <v>0</v>
      </c>
      <c r="K90" s="83" t="b">
        <v>0</v>
      </c>
      <c r="L90" s="83" t="b">
        <v>0</v>
      </c>
    </row>
    <row r="91" spans="1:12" ht="15">
      <c r="A91" s="84" t="s">
        <v>2847</v>
      </c>
      <c r="B91" s="83" t="s">
        <v>3205</v>
      </c>
      <c r="C91" s="83">
        <v>2</v>
      </c>
      <c r="D91" s="110">
        <v>0.0014312307639045199</v>
      </c>
      <c r="E91" s="110">
        <v>2.82529626443096</v>
      </c>
      <c r="F91" s="83" t="s">
        <v>3362</v>
      </c>
      <c r="G91" s="83" t="b">
        <v>0</v>
      </c>
      <c r="H91" s="83" t="b">
        <v>0</v>
      </c>
      <c r="I91" s="83" t="b">
        <v>0</v>
      </c>
      <c r="J91" s="83" t="b">
        <v>0</v>
      </c>
      <c r="K91" s="83" t="b">
        <v>0</v>
      </c>
      <c r="L91" s="83" t="b">
        <v>0</v>
      </c>
    </row>
    <row r="92" spans="1:12" ht="15">
      <c r="A92" s="84" t="s">
        <v>2773</v>
      </c>
      <c r="B92" s="83" t="s">
        <v>2797</v>
      </c>
      <c r="C92" s="83">
        <v>2</v>
      </c>
      <c r="D92" s="110">
        <v>0.0012819103295473864</v>
      </c>
      <c r="E92" s="110">
        <v>2.0771082374247594</v>
      </c>
      <c r="F92" s="83" t="s">
        <v>3362</v>
      </c>
      <c r="G92" s="83" t="b">
        <v>0</v>
      </c>
      <c r="H92" s="83" t="b">
        <v>0</v>
      </c>
      <c r="I92" s="83" t="b">
        <v>0</v>
      </c>
      <c r="J92" s="83" t="b">
        <v>0</v>
      </c>
      <c r="K92" s="83" t="b">
        <v>0</v>
      </c>
      <c r="L92" s="83" t="b">
        <v>0</v>
      </c>
    </row>
    <row r="93" spans="1:12" ht="15">
      <c r="A93" s="84" t="s">
        <v>2797</v>
      </c>
      <c r="B93" s="83" t="s">
        <v>2903</v>
      </c>
      <c r="C93" s="83">
        <v>2</v>
      </c>
      <c r="D93" s="110">
        <v>0.0014312307639045199</v>
      </c>
      <c r="E93" s="110">
        <v>2.3781382330887406</v>
      </c>
      <c r="F93" s="83" t="s">
        <v>3362</v>
      </c>
      <c r="G93" s="83" t="b">
        <v>0</v>
      </c>
      <c r="H93" s="83" t="b">
        <v>0</v>
      </c>
      <c r="I93" s="83" t="b">
        <v>0</v>
      </c>
      <c r="J93" s="83" t="b">
        <v>0</v>
      </c>
      <c r="K93" s="83" t="b">
        <v>0</v>
      </c>
      <c r="L93" s="83" t="b">
        <v>0</v>
      </c>
    </row>
    <row r="94" spans="1:12" ht="15">
      <c r="A94" s="84" t="s">
        <v>2774</v>
      </c>
      <c r="B94" s="83" t="s">
        <v>3208</v>
      </c>
      <c r="C94" s="83">
        <v>2</v>
      </c>
      <c r="D94" s="110">
        <v>0.0014312307639045199</v>
      </c>
      <c r="E94" s="110">
        <v>2.621176281775035</v>
      </c>
      <c r="F94" s="83" t="s">
        <v>3362</v>
      </c>
      <c r="G94" s="83" t="b">
        <v>0</v>
      </c>
      <c r="H94" s="83" t="b">
        <v>0</v>
      </c>
      <c r="I94" s="83" t="b">
        <v>0</v>
      </c>
      <c r="J94" s="83" t="b">
        <v>0</v>
      </c>
      <c r="K94" s="83" t="b">
        <v>0</v>
      </c>
      <c r="L94" s="83" t="b">
        <v>0</v>
      </c>
    </row>
    <row r="95" spans="1:12" ht="15">
      <c r="A95" s="84" t="s">
        <v>3210</v>
      </c>
      <c r="B95" s="83" t="s">
        <v>2720</v>
      </c>
      <c r="C95" s="83">
        <v>2</v>
      </c>
      <c r="D95" s="110">
        <v>0.0012819103295473864</v>
      </c>
      <c r="E95" s="110">
        <v>2.0929025046079914</v>
      </c>
      <c r="F95" s="83" t="s">
        <v>3362</v>
      </c>
      <c r="G95" s="83" t="b">
        <v>0</v>
      </c>
      <c r="H95" s="83" t="b">
        <v>0</v>
      </c>
      <c r="I95" s="83" t="b">
        <v>0</v>
      </c>
      <c r="J95" s="83" t="b">
        <v>0</v>
      </c>
      <c r="K95" s="83" t="b">
        <v>0</v>
      </c>
      <c r="L95" s="83" t="b">
        <v>0</v>
      </c>
    </row>
    <row r="96" spans="1:12" ht="15">
      <c r="A96" s="84" t="s">
        <v>3007</v>
      </c>
      <c r="B96" s="83" t="s">
        <v>2847</v>
      </c>
      <c r="C96" s="83">
        <v>2</v>
      </c>
      <c r="D96" s="110">
        <v>0.0014312307639045199</v>
      </c>
      <c r="E96" s="110">
        <v>2.6492050053752787</v>
      </c>
      <c r="F96" s="83" t="s">
        <v>3362</v>
      </c>
      <c r="G96" s="83" t="b">
        <v>0</v>
      </c>
      <c r="H96" s="83" t="b">
        <v>0</v>
      </c>
      <c r="I96" s="83" t="b">
        <v>0</v>
      </c>
      <c r="J96" s="83" t="b">
        <v>0</v>
      </c>
      <c r="K96" s="83" t="b">
        <v>0</v>
      </c>
      <c r="L96" s="83" t="b">
        <v>0</v>
      </c>
    </row>
    <row r="97" spans="1:12" ht="15">
      <c r="A97" s="84" t="s">
        <v>3008</v>
      </c>
      <c r="B97" s="83" t="s">
        <v>2786</v>
      </c>
      <c r="C97" s="83">
        <v>2</v>
      </c>
      <c r="D97" s="110">
        <v>0.0012819103295473864</v>
      </c>
      <c r="E97" s="110">
        <v>2.5030769696970405</v>
      </c>
      <c r="F97" s="83" t="s">
        <v>3362</v>
      </c>
      <c r="G97" s="83" t="b">
        <v>0</v>
      </c>
      <c r="H97" s="83" t="b">
        <v>0</v>
      </c>
      <c r="I97" s="83" t="b">
        <v>0</v>
      </c>
      <c r="J97" s="83" t="b">
        <v>0</v>
      </c>
      <c r="K97" s="83" t="b">
        <v>0</v>
      </c>
      <c r="L97" s="83" t="b">
        <v>0</v>
      </c>
    </row>
    <row r="98" spans="1:12" ht="15">
      <c r="A98" s="84" t="s">
        <v>2786</v>
      </c>
      <c r="B98" s="83" t="s">
        <v>2846</v>
      </c>
      <c r="C98" s="83">
        <v>2</v>
      </c>
      <c r="D98" s="110">
        <v>0.0012819103295473864</v>
      </c>
      <c r="E98" s="110">
        <v>2.2812282200806844</v>
      </c>
      <c r="F98" s="83" t="s">
        <v>3362</v>
      </c>
      <c r="G98" s="83" t="b">
        <v>0</v>
      </c>
      <c r="H98" s="83" t="b">
        <v>0</v>
      </c>
      <c r="I98" s="83" t="b">
        <v>0</v>
      </c>
      <c r="J98" s="83" t="b">
        <v>0</v>
      </c>
      <c r="K98" s="83" t="b">
        <v>0</v>
      </c>
      <c r="L98" s="83" t="b">
        <v>0</v>
      </c>
    </row>
    <row r="99" spans="1:12" ht="15">
      <c r="A99" s="84" t="s">
        <v>2846</v>
      </c>
      <c r="B99" s="83" t="s">
        <v>3009</v>
      </c>
      <c r="C99" s="83">
        <v>2</v>
      </c>
      <c r="D99" s="110">
        <v>0.0012819103295473864</v>
      </c>
      <c r="E99" s="110">
        <v>2.6492050053752787</v>
      </c>
      <c r="F99" s="83" t="s">
        <v>3362</v>
      </c>
      <c r="G99" s="83" t="b">
        <v>0</v>
      </c>
      <c r="H99" s="83" t="b">
        <v>0</v>
      </c>
      <c r="I99" s="83" t="b">
        <v>0</v>
      </c>
      <c r="J99" s="83" t="b">
        <v>0</v>
      </c>
      <c r="K99" s="83" t="b">
        <v>0</v>
      </c>
      <c r="L99" s="83" t="b">
        <v>0</v>
      </c>
    </row>
    <row r="100" spans="1:12" ht="15">
      <c r="A100" s="84" t="s">
        <v>3009</v>
      </c>
      <c r="B100" s="83" t="s">
        <v>2786</v>
      </c>
      <c r="C100" s="83">
        <v>2</v>
      </c>
      <c r="D100" s="110">
        <v>0.0012819103295473864</v>
      </c>
      <c r="E100" s="110">
        <v>2.5030769696970405</v>
      </c>
      <c r="F100" s="83" t="s">
        <v>3362</v>
      </c>
      <c r="G100" s="83" t="b">
        <v>0</v>
      </c>
      <c r="H100" s="83" t="b">
        <v>0</v>
      </c>
      <c r="I100" s="83" t="b">
        <v>0</v>
      </c>
      <c r="J100" s="83" t="b">
        <v>0</v>
      </c>
      <c r="K100" s="83" t="b">
        <v>0</v>
      </c>
      <c r="L100" s="83" t="b">
        <v>0</v>
      </c>
    </row>
    <row r="101" spans="1:12" ht="15">
      <c r="A101" s="84" t="s">
        <v>2786</v>
      </c>
      <c r="B101" s="83" t="s">
        <v>2785</v>
      </c>
      <c r="C101" s="83">
        <v>2</v>
      </c>
      <c r="D101" s="110">
        <v>0.0012819103295473864</v>
      </c>
      <c r="E101" s="110">
        <v>2.2020469740330597</v>
      </c>
      <c r="F101" s="83" t="s">
        <v>3362</v>
      </c>
      <c r="G101" s="83" t="b">
        <v>0</v>
      </c>
      <c r="H101" s="83" t="b">
        <v>0</v>
      </c>
      <c r="I101" s="83" t="b">
        <v>0</v>
      </c>
      <c r="J101" s="83" t="b">
        <v>0</v>
      </c>
      <c r="K101" s="83" t="b">
        <v>0</v>
      </c>
      <c r="L101" s="83" t="b">
        <v>0</v>
      </c>
    </row>
    <row r="102" spans="1:12" ht="15">
      <c r="A102" s="84" t="s">
        <v>2785</v>
      </c>
      <c r="B102" s="83" t="s">
        <v>2732</v>
      </c>
      <c r="C102" s="83">
        <v>2</v>
      </c>
      <c r="D102" s="110">
        <v>0.0012819103295473864</v>
      </c>
      <c r="E102" s="110">
        <v>2.2020469740330597</v>
      </c>
      <c r="F102" s="83" t="s">
        <v>3362</v>
      </c>
      <c r="G102" s="83" t="b">
        <v>0</v>
      </c>
      <c r="H102" s="83" t="b">
        <v>0</v>
      </c>
      <c r="I102" s="83" t="b">
        <v>0</v>
      </c>
      <c r="J102" s="83" t="b">
        <v>1</v>
      </c>
      <c r="K102" s="83" t="b">
        <v>0</v>
      </c>
      <c r="L102" s="83" t="b">
        <v>0</v>
      </c>
    </row>
    <row r="103" spans="1:12" ht="15">
      <c r="A103" s="84" t="s">
        <v>2795</v>
      </c>
      <c r="B103" s="83" t="s">
        <v>3211</v>
      </c>
      <c r="C103" s="83">
        <v>2</v>
      </c>
      <c r="D103" s="110">
        <v>0.0012819103295473864</v>
      </c>
      <c r="E103" s="110">
        <v>2.679168228752722</v>
      </c>
      <c r="F103" s="83" t="s">
        <v>3362</v>
      </c>
      <c r="G103" s="83" t="b">
        <v>0</v>
      </c>
      <c r="H103" s="83" t="b">
        <v>0</v>
      </c>
      <c r="I103" s="83" t="b">
        <v>0</v>
      </c>
      <c r="J103" s="83" t="b">
        <v>0</v>
      </c>
      <c r="K103" s="83" t="b">
        <v>0</v>
      </c>
      <c r="L103" s="83" t="b">
        <v>0</v>
      </c>
    </row>
    <row r="104" spans="1:12" ht="15">
      <c r="A104" s="84" t="s">
        <v>3211</v>
      </c>
      <c r="B104" s="83" t="s">
        <v>2778</v>
      </c>
      <c r="C104" s="83">
        <v>2</v>
      </c>
      <c r="D104" s="110">
        <v>0.0012819103295473864</v>
      </c>
      <c r="E104" s="110">
        <v>2.621176281775035</v>
      </c>
      <c r="F104" s="83" t="s">
        <v>3362</v>
      </c>
      <c r="G104" s="83" t="b">
        <v>0</v>
      </c>
      <c r="H104" s="83" t="b">
        <v>0</v>
      </c>
      <c r="I104" s="83" t="b">
        <v>0</v>
      </c>
      <c r="J104" s="83" t="b">
        <v>0</v>
      </c>
      <c r="K104" s="83" t="b">
        <v>0</v>
      </c>
      <c r="L104" s="83" t="b">
        <v>0</v>
      </c>
    </row>
    <row r="105" spans="1:12" ht="15">
      <c r="A105" s="84" t="s">
        <v>2778</v>
      </c>
      <c r="B105" s="83" t="s">
        <v>2816</v>
      </c>
      <c r="C105" s="83">
        <v>2</v>
      </c>
      <c r="D105" s="110">
        <v>0.0012819103295473864</v>
      </c>
      <c r="E105" s="110">
        <v>2.2232362731029975</v>
      </c>
      <c r="F105" s="83" t="s">
        <v>3362</v>
      </c>
      <c r="G105" s="83" t="b">
        <v>0</v>
      </c>
      <c r="H105" s="83" t="b">
        <v>0</v>
      </c>
      <c r="I105" s="83" t="b">
        <v>0</v>
      </c>
      <c r="J105" s="83" t="b">
        <v>1</v>
      </c>
      <c r="K105" s="83" t="b">
        <v>0</v>
      </c>
      <c r="L105" s="83" t="b">
        <v>0</v>
      </c>
    </row>
    <row r="106" spans="1:12" ht="15">
      <c r="A106" s="84" t="s">
        <v>2816</v>
      </c>
      <c r="B106" s="83" t="s">
        <v>3010</v>
      </c>
      <c r="C106" s="83">
        <v>2</v>
      </c>
      <c r="D106" s="110">
        <v>0.0012819103295473864</v>
      </c>
      <c r="E106" s="110">
        <v>2.570023759327654</v>
      </c>
      <c r="F106" s="83" t="s">
        <v>3362</v>
      </c>
      <c r="G106" s="83" t="b">
        <v>1</v>
      </c>
      <c r="H106" s="83" t="b">
        <v>0</v>
      </c>
      <c r="I106" s="83" t="b">
        <v>0</v>
      </c>
      <c r="J106" s="83" t="b">
        <v>1</v>
      </c>
      <c r="K106" s="83" t="b">
        <v>0</v>
      </c>
      <c r="L106" s="83" t="b">
        <v>0</v>
      </c>
    </row>
    <row r="107" spans="1:12" ht="15">
      <c r="A107" s="84" t="s">
        <v>3010</v>
      </c>
      <c r="B107" s="83" t="s">
        <v>2823</v>
      </c>
      <c r="C107" s="83">
        <v>2</v>
      </c>
      <c r="D107" s="110">
        <v>0.0012819103295473864</v>
      </c>
      <c r="E107" s="110">
        <v>2.570023759327654</v>
      </c>
      <c r="F107" s="83" t="s">
        <v>3362</v>
      </c>
      <c r="G107" s="83" t="b">
        <v>1</v>
      </c>
      <c r="H107" s="83" t="b">
        <v>0</v>
      </c>
      <c r="I107" s="83" t="b">
        <v>0</v>
      </c>
      <c r="J107" s="83" t="b">
        <v>0</v>
      </c>
      <c r="K107" s="83" t="b">
        <v>0</v>
      </c>
      <c r="L107" s="83" t="b">
        <v>0</v>
      </c>
    </row>
    <row r="108" spans="1:12" ht="15">
      <c r="A108" s="84" t="s">
        <v>2721</v>
      </c>
      <c r="B108" s="83" t="s">
        <v>2903</v>
      </c>
      <c r="C108" s="83">
        <v>2</v>
      </c>
      <c r="D108" s="110">
        <v>0.0014312307639045199</v>
      </c>
      <c r="E108" s="110">
        <v>1.7918725089440102</v>
      </c>
      <c r="F108" s="83" t="s">
        <v>3362</v>
      </c>
      <c r="G108" s="83" t="b">
        <v>0</v>
      </c>
      <c r="H108" s="83" t="b">
        <v>0</v>
      </c>
      <c r="I108" s="83" t="b">
        <v>0</v>
      </c>
      <c r="J108" s="83" t="b">
        <v>0</v>
      </c>
      <c r="K108" s="83" t="b">
        <v>0</v>
      </c>
      <c r="L108" s="83" t="b">
        <v>0</v>
      </c>
    </row>
    <row r="109" spans="1:12" ht="15">
      <c r="A109" s="84" t="s">
        <v>2957</v>
      </c>
      <c r="B109" s="83" t="s">
        <v>3214</v>
      </c>
      <c r="C109" s="83">
        <v>2</v>
      </c>
      <c r="D109" s="110">
        <v>0.0012819103295473864</v>
      </c>
      <c r="E109" s="110">
        <v>3.2232362731029975</v>
      </c>
      <c r="F109" s="83" t="s">
        <v>3362</v>
      </c>
      <c r="G109" s="83" t="b">
        <v>0</v>
      </c>
      <c r="H109" s="83" t="b">
        <v>0</v>
      </c>
      <c r="I109" s="83" t="b">
        <v>0</v>
      </c>
      <c r="J109" s="83" t="b">
        <v>0</v>
      </c>
      <c r="K109" s="83" t="b">
        <v>0</v>
      </c>
      <c r="L109" s="83" t="b">
        <v>0</v>
      </c>
    </row>
    <row r="110" spans="1:12" ht="15">
      <c r="A110" s="84" t="s">
        <v>3214</v>
      </c>
      <c r="B110" s="83" t="s">
        <v>3215</v>
      </c>
      <c r="C110" s="83">
        <v>2</v>
      </c>
      <c r="D110" s="110">
        <v>0.0012819103295473864</v>
      </c>
      <c r="E110" s="110">
        <v>3.2232362731029975</v>
      </c>
      <c r="F110" s="83" t="s">
        <v>3362</v>
      </c>
      <c r="G110" s="83" t="b">
        <v>0</v>
      </c>
      <c r="H110" s="83" t="b">
        <v>0</v>
      </c>
      <c r="I110" s="83" t="b">
        <v>0</v>
      </c>
      <c r="J110" s="83" t="b">
        <v>1</v>
      </c>
      <c r="K110" s="83" t="b">
        <v>0</v>
      </c>
      <c r="L110" s="83" t="b">
        <v>0</v>
      </c>
    </row>
    <row r="111" spans="1:12" ht="15">
      <c r="A111" s="84" t="s">
        <v>3013</v>
      </c>
      <c r="B111" s="83" t="s">
        <v>2886</v>
      </c>
      <c r="C111" s="83">
        <v>2</v>
      </c>
      <c r="D111" s="110">
        <v>0.0014312307639045199</v>
      </c>
      <c r="E111" s="110">
        <v>2.8710537549916353</v>
      </c>
      <c r="F111" s="83" t="s">
        <v>3362</v>
      </c>
      <c r="G111" s="83" t="b">
        <v>0</v>
      </c>
      <c r="H111" s="83" t="b">
        <v>0</v>
      </c>
      <c r="I111" s="83" t="b">
        <v>0</v>
      </c>
      <c r="J111" s="83" t="b">
        <v>0</v>
      </c>
      <c r="K111" s="83" t="b">
        <v>0</v>
      </c>
      <c r="L111" s="83" t="b">
        <v>0</v>
      </c>
    </row>
    <row r="112" spans="1:12" ht="15">
      <c r="A112" s="84" t="s">
        <v>3019</v>
      </c>
      <c r="B112" s="83" t="s">
        <v>3021</v>
      </c>
      <c r="C112" s="83">
        <v>2</v>
      </c>
      <c r="D112" s="110">
        <v>0.0014312307639045199</v>
      </c>
      <c r="E112" s="110">
        <v>2.8710537549916353</v>
      </c>
      <c r="F112" s="83" t="s">
        <v>3362</v>
      </c>
      <c r="G112" s="83" t="b">
        <v>0</v>
      </c>
      <c r="H112" s="83" t="b">
        <v>1</v>
      </c>
      <c r="I112" s="83" t="b">
        <v>0</v>
      </c>
      <c r="J112" s="83" t="b">
        <v>0</v>
      </c>
      <c r="K112" s="83" t="b">
        <v>0</v>
      </c>
      <c r="L112" s="83" t="b">
        <v>0</v>
      </c>
    </row>
    <row r="113" spans="1:12" ht="15">
      <c r="A113" s="84" t="s">
        <v>3218</v>
      </c>
      <c r="B113" s="83" t="s">
        <v>3219</v>
      </c>
      <c r="C113" s="83">
        <v>2</v>
      </c>
      <c r="D113" s="110">
        <v>0.0014312307639045199</v>
      </c>
      <c r="E113" s="110">
        <v>3.2232362731029975</v>
      </c>
      <c r="F113" s="83" t="s">
        <v>3362</v>
      </c>
      <c r="G113" s="83" t="b">
        <v>0</v>
      </c>
      <c r="H113" s="83" t="b">
        <v>0</v>
      </c>
      <c r="I113" s="83" t="b">
        <v>0</v>
      </c>
      <c r="J113" s="83" t="b">
        <v>0</v>
      </c>
      <c r="K113" s="83" t="b">
        <v>1</v>
      </c>
      <c r="L113" s="83" t="b">
        <v>0</v>
      </c>
    </row>
    <row r="114" spans="1:12" ht="15">
      <c r="A114" s="84" t="s">
        <v>2758</v>
      </c>
      <c r="B114" s="83" t="s">
        <v>3226</v>
      </c>
      <c r="C114" s="83">
        <v>2</v>
      </c>
      <c r="D114" s="110">
        <v>0.0012819103295473864</v>
      </c>
      <c r="E114" s="110">
        <v>2.524266268766979</v>
      </c>
      <c r="F114" s="83" t="s">
        <v>3362</v>
      </c>
      <c r="G114" s="83" t="b">
        <v>0</v>
      </c>
      <c r="H114" s="83" t="b">
        <v>0</v>
      </c>
      <c r="I114" s="83" t="b">
        <v>0</v>
      </c>
      <c r="J114" s="83" t="b">
        <v>0</v>
      </c>
      <c r="K114" s="83" t="b">
        <v>0</v>
      </c>
      <c r="L114" s="83" t="b">
        <v>0</v>
      </c>
    </row>
    <row r="115" spans="1:12" ht="15">
      <c r="A115" s="84" t="s">
        <v>2787</v>
      </c>
      <c r="B115" s="83" t="s">
        <v>2724</v>
      </c>
      <c r="C115" s="83">
        <v>2</v>
      </c>
      <c r="D115" s="110">
        <v>0.0012819103295473864</v>
      </c>
      <c r="E115" s="110">
        <v>1.6791682287527219</v>
      </c>
      <c r="F115" s="83" t="s">
        <v>3362</v>
      </c>
      <c r="G115" s="83" t="b">
        <v>0</v>
      </c>
      <c r="H115" s="83" t="b">
        <v>0</v>
      </c>
      <c r="I115" s="83" t="b">
        <v>0</v>
      </c>
      <c r="J115" s="83" t="b">
        <v>0</v>
      </c>
      <c r="K115" s="83" t="b">
        <v>0</v>
      </c>
      <c r="L115" s="83" t="b">
        <v>0</v>
      </c>
    </row>
    <row r="116" spans="1:12" ht="15">
      <c r="A116" s="84" t="s">
        <v>2905</v>
      </c>
      <c r="B116" s="83" t="s">
        <v>2760</v>
      </c>
      <c r="C116" s="83">
        <v>2</v>
      </c>
      <c r="D116" s="110">
        <v>0.0014312307639045199</v>
      </c>
      <c r="E116" s="110">
        <v>2.3201462861110542</v>
      </c>
      <c r="F116" s="83" t="s">
        <v>3362</v>
      </c>
      <c r="G116" s="83" t="b">
        <v>0</v>
      </c>
      <c r="H116" s="83" t="b">
        <v>0</v>
      </c>
      <c r="I116" s="83" t="b">
        <v>0</v>
      </c>
      <c r="J116" s="83" t="b">
        <v>0</v>
      </c>
      <c r="K116" s="83" t="b">
        <v>0</v>
      </c>
      <c r="L116" s="83" t="b">
        <v>0</v>
      </c>
    </row>
    <row r="117" spans="1:12" ht="15">
      <c r="A117" s="84" t="s">
        <v>2760</v>
      </c>
      <c r="B117" s="83" t="s">
        <v>3231</v>
      </c>
      <c r="C117" s="83">
        <v>2</v>
      </c>
      <c r="D117" s="110">
        <v>0.0014312307639045199</v>
      </c>
      <c r="E117" s="110">
        <v>2.570023759327654</v>
      </c>
      <c r="F117" s="83" t="s">
        <v>3362</v>
      </c>
      <c r="G117" s="83" t="b">
        <v>0</v>
      </c>
      <c r="H117" s="83" t="b">
        <v>0</v>
      </c>
      <c r="I117" s="83" t="b">
        <v>0</v>
      </c>
      <c r="J117" s="83" t="b">
        <v>0</v>
      </c>
      <c r="K117" s="83" t="b">
        <v>0</v>
      </c>
      <c r="L117" s="83" t="b">
        <v>0</v>
      </c>
    </row>
    <row r="118" spans="1:12" ht="15">
      <c r="A118" s="84" t="s">
        <v>3231</v>
      </c>
      <c r="B118" s="83" t="s">
        <v>3232</v>
      </c>
      <c r="C118" s="83">
        <v>2</v>
      </c>
      <c r="D118" s="110">
        <v>0.0014312307639045199</v>
      </c>
      <c r="E118" s="110">
        <v>3.2232362731029975</v>
      </c>
      <c r="F118" s="83" t="s">
        <v>3362</v>
      </c>
      <c r="G118" s="83" t="b">
        <v>0</v>
      </c>
      <c r="H118" s="83" t="b">
        <v>0</v>
      </c>
      <c r="I118" s="83" t="b">
        <v>0</v>
      </c>
      <c r="J118" s="83" t="b">
        <v>0</v>
      </c>
      <c r="K118" s="83" t="b">
        <v>0</v>
      </c>
      <c r="L118" s="83" t="b">
        <v>0</v>
      </c>
    </row>
    <row r="119" spans="1:12" ht="15">
      <c r="A119" s="84" t="s">
        <v>3232</v>
      </c>
      <c r="B119" s="83" t="s">
        <v>3233</v>
      </c>
      <c r="C119" s="83">
        <v>2</v>
      </c>
      <c r="D119" s="110">
        <v>0.0014312307639045199</v>
      </c>
      <c r="E119" s="110">
        <v>3.2232362731029975</v>
      </c>
      <c r="F119" s="83" t="s">
        <v>3362</v>
      </c>
      <c r="G119" s="83" t="b">
        <v>0</v>
      </c>
      <c r="H119" s="83" t="b">
        <v>0</v>
      </c>
      <c r="I119" s="83" t="b">
        <v>0</v>
      </c>
      <c r="J119" s="83" t="b">
        <v>0</v>
      </c>
      <c r="K119" s="83" t="b">
        <v>0</v>
      </c>
      <c r="L119" s="83" t="b">
        <v>0</v>
      </c>
    </row>
    <row r="120" spans="1:12" ht="15">
      <c r="A120" s="84" t="s">
        <v>3233</v>
      </c>
      <c r="B120" s="83" t="s">
        <v>3234</v>
      </c>
      <c r="C120" s="83">
        <v>2</v>
      </c>
      <c r="D120" s="110">
        <v>0.0014312307639045199</v>
      </c>
      <c r="E120" s="110">
        <v>3.2232362731029975</v>
      </c>
      <c r="F120" s="83" t="s">
        <v>3362</v>
      </c>
      <c r="G120" s="83" t="b">
        <v>0</v>
      </c>
      <c r="H120" s="83" t="b">
        <v>0</v>
      </c>
      <c r="I120" s="83" t="b">
        <v>0</v>
      </c>
      <c r="J120" s="83" t="b">
        <v>0</v>
      </c>
      <c r="K120" s="83" t="b">
        <v>0</v>
      </c>
      <c r="L120" s="83" t="b">
        <v>0</v>
      </c>
    </row>
    <row r="121" spans="1:12" ht="15">
      <c r="A121" s="84" t="s">
        <v>3234</v>
      </c>
      <c r="B121" s="83" t="s">
        <v>2754</v>
      </c>
      <c r="C121" s="83">
        <v>2</v>
      </c>
      <c r="D121" s="110">
        <v>0.0014312307639045199</v>
      </c>
      <c r="E121" s="110">
        <v>2.82529626443096</v>
      </c>
      <c r="F121" s="83" t="s">
        <v>3362</v>
      </c>
      <c r="G121" s="83" t="b">
        <v>0</v>
      </c>
      <c r="H121" s="83" t="b">
        <v>0</v>
      </c>
      <c r="I121" s="83" t="b">
        <v>0</v>
      </c>
      <c r="J121" s="83" t="b">
        <v>1</v>
      </c>
      <c r="K121" s="83" t="b">
        <v>0</v>
      </c>
      <c r="L121" s="83" t="b">
        <v>0</v>
      </c>
    </row>
    <row r="122" spans="1:12" ht="15">
      <c r="A122" s="84" t="s">
        <v>2754</v>
      </c>
      <c r="B122" s="83" t="s">
        <v>3025</v>
      </c>
      <c r="C122" s="83">
        <v>2</v>
      </c>
      <c r="D122" s="110">
        <v>0.0014312307639045199</v>
      </c>
      <c r="E122" s="110">
        <v>2.445085022719354</v>
      </c>
      <c r="F122" s="83" t="s">
        <v>3362</v>
      </c>
      <c r="G122" s="83" t="b">
        <v>1</v>
      </c>
      <c r="H122" s="83" t="b">
        <v>0</v>
      </c>
      <c r="I122" s="83" t="b">
        <v>0</v>
      </c>
      <c r="J122" s="83" t="b">
        <v>0</v>
      </c>
      <c r="K122" s="83" t="b">
        <v>0</v>
      </c>
      <c r="L122" s="83" t="b">
        <v>0</v>
      </c>
    </row>
    <row r="123" spans="1:12" ht="15">
      <c r="A123" s="84" t="s">
        <v>2825</v>
      </c>
      <c r="B123" s="83" t="s">
        <v>3235</v>
      </c>
      <c r="C123" s="83">
        <v>2</v>
      </c>
      <c r="D123" s="110">
        <v>0.0014312307639045199</v>
      </c>
      <c r="E123" s="110">
        <v>2.7461150183833354</v>
      </c>
      <c r="F123" s="83" t="s">
        <v>3362</v>
      </c>
      <c r="G123" s="83" t="b">
        <v>0</v>
      </c>
      <c r="H123" s="83" t="b">
        <v>0</v>
      </c>
      <c r="I123" s="83" t="b">
        <v>0</v>
      </c>
      <c r="J123" s="83" t="b">
        <v>0</v>
      </c>
      <c r="K123" s="83" t="b">
        <v>0</v>
      </c>
      <c r="L123" s="83" t="b">
        <v>0</v>
      </c>
    </row>
    <row r="124" spans="1:12" ht="15">
      <c r="A124" s="84" t="s">
        <v>2721</v>
      </c>
      <c r="B124" s="83" t="s">
        <v>3026</v>
      </c>
      <c r="C124" s="83">
        <v>2</v>
      </c>
      <c r="D124" s="110">
        <v>0.0014312307639045199</v>
      </c>
      <c r="E124" s="110">
        <v>1.9168112455523103</v>
      </c>
      <c r="F124" s="83" t="s">
        <v>3362</v>
      </c>
      <c r="G124" s="83" t="b">
        <v>0</v>
      </c>
      <c r="H124" s="83" t="b">
        <v>0</v>
      </c>
      <c r="I124" s="83" t="b">
        <v>0</v>
      </c>
      <c r="J124" s="83" t="b">
        <v>0</v>
      </c>
      <c r="K124" s="83" t="b">
        <v>0</v>
      </c>
      <c r="L124" s="83" t="b">
        <v>0</v>
      </c>
    </row>
    <row r="125" spans="1:12" ht="15">
      <c r="A125" s="84" t="s">
        <v>3026</v>
      </c>
      <c r="B125" s="83" t="s">
        <v>3237</v>
      </c>
      <c r="C125" s="83">
        <v>2</v>
      </c>
      <c r="D125" s="110">
        <v>0.0014312307639045199</v>
      </c>
      <c r="E125" s="110">
        <v>3.047145014047316</v>
      </c>
      <c r="F125" s="83" t="s">
        <v>3362</v>
      </c>
      <c r="G125" s="83" t="b">
        <v>0</v>
      </c>
      <c r="H125" s="83" t="b">
        <v>0</v>
      </c>
      <c r="I125" s="83" t="b">
        <v>0</v>
      </c>
      <c r="J125" s="83" t="b">
        <v>0</v>
      </c>
      <c r="K125" s="83" t="b">
        <v>0</v>
      </c>
      <c r="L125" s="83" t="b">
        <v>0</v>
      </c>
    </row>
    <row r="126" spans="1:12" ht="15">
      <c r="A126" s="84" t="s">
        <v>2825</v>
      </c>
      <c r="B126" s="83" t="s">
        <v>3238</v>
      </c>
      <c r="C126" s="83">
        <v>2</v>
      </c>
      <c r="D126" s="110">
        <v>0.0014312307639045199</v>
      </c>
      <c r="E126" s="110">
        <v>2.7461150183833354</v>
      </c>
      <c r="F126" s="83" t="s">
        <v>3362</v>
      </c>
      <c r="G126" s="83" t="b">
        <v>0</v>
      </c>
      <c r="H126" s="83" t="b">
        <v>0</v>
      </c>
      <c r="I126" s="83" t="b">
        <v>0</v>
      </c>
      <c r="J126" s="83" t="b">
        <v>0</v>
      </c>
      <c r="K126" s="83" t="b">
        <v>0</v>
      </c>
      <c r="L126" s="83" t="b">
        <v>0</v>
      </c>
    </row>
    <row r="127" spans="1:12" ht="15">
      <c r="A127" s="84" t="s">
        <v>2780</v>
      </c>
      <c r="B127" s="83" t="s">
        <v>3239</v>
      </c>
      <c r="C127" s="83">
        <v>2</v>
      </c>
      <c r="D127" s="110">
        <v>0.0014312307639045199</v>
      </c>
      <c r="E127" s="110">
        <v>2.621176281775035</v>
      </c>
      <c r="F127" s="83" t="s">
        <v>3362</v>
      </c>
      <c r="G127" s="83" t="b">
        <v>0</v>
      </c>
      <c r="H127" s="83" t="b">
        <v>0</v>
      </c>
      <c r="I127" s="83" t="b">
        <v>0</v>
      </c>
      <c r="J127" s="83" t="b">
        <v>0</v>
      </c>
      <c r="K127" s="83" t="b">
        <v>0</v>
      </c>
      <c r="L127" s="83" t="b">
        <v>0</v>
      </c>
    </row>
    <row r="128" spans="1:12" ht="15">
      <c r="A128" s="84" t="s">
        <v>2737</v>
      </c>
      <c r="B128" s="83" t="s">
        <v>2818</v>
      </c>
      <c r="C128" s="83">
        <v>2</v>
      </c>
      <c r="D128" s="110">
        <v>0.0012819103295473864</v>
      </c>
      <c r="E128" s="110">
        <v>1.9679637679996915</v>
      </c>
      <c r="F128" s="83" t="s">
        <v>3362</v>
      </c>
      <c r="G128" s="83" t="b">
        <v>0</v>
      </c>
      <c r="H128" s="83" t="b">
        <v>0</v>
      </c>
      <c r="I128" s="83" t="b">
        <v>0</v>
      </c>
      <c r="J128" s="83" t="b">
        <v>0</v>
      </c>
      <c r="K128" s="83" t="b">
        <v>0</v>
      </c>
      <c r="L128" s="83" t="b">
        <v>0</v>
      </c>
    </row>
    <row r="129" spans="1:12" ht="15">
      <c r="A129" s="84" t="s">
        <v>3240</v>
      </c>
      <c r="B129" s="83" t="s">
        <v>3005</v>
      </c>
      <c r="C129" s="83">
        <v>2</v>
      </c>
      <c r="D129" s="110">
        <v>0.0012819103295473864</v>
      </c>
      <c r="E129" s="110">
        <v>3.047145014047316</v>
      </c>
      <c r="F129" s="83" t="s">
        <v>3362</v>
      </c>
      <c r="G129" s="83" t="b">
        <v>0</v>
      </c>
      <c r="H129" s="83" t="b">
        <v>0</v>
      </c>
      <c r="I129" s="83" t="b">
        <v>0</v>
      </c>
      <c r="J129" s="83" t="b">
        <v>1</v>
      </c>
      <c r="K129" s="83" t="b">
        <v>0</v>
      </c>
      <c r="L129" s="83" t="b">
        <v>0</v>
      </c>
    </row>
    <row r="130" spans="1:12" ht="15">
      <c r="A130" s="84" t="s">
        <v>2848</v>
      </c>
      <c r="B130" s="83" t="s">
        <v>2720</v>
      </c>
      <c r="C130" s="83">
        <v>2</v>
      </c>
      <c r="D130" s="110">
        <v>0.0012819103295473864</v>
      </c>
      <c r="E130" s="110">
        <v>1.694962495935954</v>
      </c>
      <c r="F130" s="83" t="s">
        <v>3362</v>
      </c>
      <c r="G130" s="83" t="b">
        <v>0</v>
      </c>
      <c r="H130" s="83" t="b">
        <v>0</v>
      </c>
      <c r="I130" s="83" t="b">
        <v>0</v>
      </c>
      <c r="J130" s="83" t="b">
        <v>0</v>
      </c>
      <c r="K130" s="83" t="b">
        <v>0</v>
      </c>
      <c r="L130" s="83" t="b">
        <v>0</v>
      </c>
    </row>
    <row r="131" spans="1:12" ht="15">
      <c r="A131" s="84" t="s">
        <v>2997</v>
      </c>
      <c r="B131" s="83" t="s">
        <v>2850</v>
      </c>
      <c r="C131" s="83">
        <v>2</v>
      </c>
      <c r="D131" s="110">
        <v>0.0012819103295473864</v>
      </c>
      <c r="E131" s="110">
        <v>2.6492050053752787</v>
      </c>
      <c r="F131" s="83" t="s">
        <v>3362</v>
      </c>
      <c r="G131" s="83" t="b">
        <v>0</v>
      </c>
      <c r="H131" s="83" t="b">
        <v>0</v>
      </c>
      <c r="I131" s="83" t="b">
        <v>0</v>
      </c>
      <c r="J131" s="83" t="b">
        <v>0</v>
      </c>
      <c r="K131" s="83" t="b">
        <v>0</v>
      </c>
      <c r="L131" s="83" t="b">
        <v>0</v>
      </c>
    </row>
    <row r="132" spans="1:12" ht="15">
      <c r="A132" s="84" t="s">
        <v>3256</v>
      </c>
      <c r="B132" s="83" t="s">
        <v>2719</v>
      </c>
      <c r="C132" s="83">
        <v>2</v>
      </c>
      <c r="D132" s="110">
        <v>0.0012819103295473864</v>
      </c>
      <c r="E132" s="110">
        <v>2.1625384327493857</v>
      </c>
      <c r="F132" s="83" t="s">
        <v>3362</v>
      </c>
      <c r="G132" s="83" t="b">
        <v>0</v>
      </c>
      <c r="H132" s="83" t="b">
        <v>0</v>
      </c>
      <c r="I132" s="83" t="b">
        <v>0</v>
      </c>
      <c r="J132" s="83" t="b">
        <v>1</v>
      </c>
      <c r="K132" s="83" t="b">
        <v>0</v>
      </c>
      <c r="L132" s="83" t="b">
        <v>0</v>
      </c>
    </row>
    <row r="133" spans="1:12" ht="15">
      <c r="A133" s="84" t="s">
        <v>2908</v>
      </c>
      <c r="B133" s="83" t="s">
        <v>2741</v>
      </c>
      <c r="C133" s="83">
        <v>2</v>
      </c>
      <c r="D133" s="110">
        <v>0.0012819103295473864</v>
      </c>
      <c r="E133" s="110">
        <v>2.1818435879447726</v>
      </c>
      <c r="F133" s="83" t="s">
        <v>3362</v>
      </c>
      <c r="G133" s="83" t="b">
        <v>0</v>
      </c>
      <c r="H133" s="83" t="b">
        <v>0</v>
      </c>
      <c r="I133" s="83" t="b">
        <v>0</v>
      </c>
      <c r="J133" s="83" t="b">
        <v>0</v>
      </c>
      <c r="K133" s="83" t="b">
        <v>0</v>
      </c>
      <c r="L133" s="83" t="b">
        <v>0</v>
      </c>
    </row>
    <row r="134" spans="1:12" ht="15">
      <c r="A134" s="84" t="s">
        <v>3259</v>
      </c>
      <c r="B134" s="83" t="s">
        <v>3033</v>
      </c>
      <c r="C134" s="83">
        <v>2</v>
      </c>
      <c r="D134" s="110">
        <v>0.0014312307639045199</v>
      </c>
      <c r="E134" s="110">
        <v>3.047145014047316</v>
      </c>
      <c r="F134" s="83" t="s">
        <v>3362</v>
      </c>
      <c r="G134" s="83" t="b">
        <v>0</v>
      </c>
      <c r="H134" s="83" t="b">
        <v>0</v>
      </c>
      <c r="I134" s="83" t="b">
        <v>0</v>
      </c>
      <c r="J134" s="83" t="b">
        <v>0</v>
      </c>
      <c r="K134" s="83" t="b">
        <v>1</v>
      </c>
      <c r="L134" s="83" t="b">
        <v>0</v>
      </c>
    </row>
    <row r="135" spans="1:12" ht="15">
      <c r="A135" s="84" t="s">
        <v>3033</v>
      </c>
      <c r="B135" s="83" t="s">
        <v>3261</v>
      </c>
      <c r="C135" s="83">
        <v>2</v>
      </c>
      <c r="D135" s="110">
        <v>0.0014312307639045199</v>
      </c>
      <c r="E135" s="110">
        <v>3.047145014047316</v>
      </c>
      <c r="F135" s="83" t="s">
        <v>3362</v>
      </c>
      <c r="G135" s="83" t="b">
        <v>0</v>
      </c>
      <c r="H135" s="83" t="b">
        <v>1</v>
      </c>
      <c r="I135" s="83" t="b">
        <v>0</v>
      </c>
      <c r="J135" s="83" t="b">
        <v>0</v>
      </c>
      <c r="K135" s="83" t="b">
        <v>1</v>
      </c>
      <c r="L135" s="83" t="b">
        <v>0</v>
      </c>
    </row>
    <row r="136" spans="1:12" ht="15">
      <c r="A136" s="84" t="s">
        <v>3264</v>
      </c>
      <c r="B136" s="83" t="s">
        <v>2881</v>
      </c>
      <c r="C136" s="83">
        <v>2</v>
      </c>
      <c r="D136" s="110">
        <v>0.0014312307639045199</v>
      </c>
      <c r="E136" s="110">
        <v>3.047145014047316</v>
      </c>
      <c r="F136" s="83" t="s">
        <v>3362</v>
      </c>
      <c r="G136" s="83" t="b">
        <v>1</v>
      </c>
      <c r="H136" s="83" t="b">
        <v>0</v>
      </c>
      <c r="I136" s="83" t="b">
        <v>0</v>
      </c>
      <c r="J136" s="83" t="b">
        <v>0</v>
      </c>
      <c r="K136" s="83" t="b">
        <v>0</v>
      </c>
      <c r="L136" s="83" t="b">
        <v>0</v>
      </c>
    </row>
    <row r="137" spans="1:12" ht="15">
      <c r="A137" s="84" t="s">
        <v>2881</v>
      </c>
      <c r="B137" s="83" t="s">
        <v>3016</v>
      </c>
      <c r="C137" s="83">
        <v>2</v>
      </c>
      <c r="D137" s="110">
        <v>0.0014312307639045199</v>
      </c>
      <c r="E137" s="110">
        <v>2.7461150183833354</v>
      </c>
      <c r="F137" s="83" t="s">
        <v>3362</v>
      </c>
      <c r="G137" s="83" t="b">
        <v>0</v>
      </c>
      <c r="H137" s="83" t="b">
        <v>0</v>
      </c>
      <c r="I137" s="83" t="b">
        <v>0</v>
      </c>
      <c r="J137" s="83" t="b">
        <v>0</v>
      </c>
      <c r="K137" s="83" t="b">
        <v>0</v>
      </c>
      <c r="L137" s="83" t="b">
        <v>0</v>
      </c>
    </row>
    <row r="138" spans="1:12" ht="15">
      <c r="A138" s="84" t="s">
        <v>3265</v>
      </c>
      <c r="B138" s="83" t="s">
        <v>3020</v>
      </c>
      <c r="C138" s="83">
        <v>2</v>
      </c>
      <c r="D138" s="110">
        <v>0.0014312307639045199</v>
      </c>
      <c r="E138" s="110">
        <v>3.047145014047316</v>
      </c>
      <c r="F138" s="83" t="s">
        <v>3362</v>
      </c>
      <c r="G138" s="83" t="b">
        <v>0</v>
      </c>
      <c r="H138" s="83" t="b">
        <v>0</v>
      </c>
      <c r="I138" s="83" t="b">
        <v>0</v>
      </c>
      <c r="J138" s="83" t="b">
        <v>0</v>
      </c>
      <c r="K138" s="83" t="b">
        <v>0</v>
      </c>
      <c r="L138" s="83" t="b">
        <v>0</v>
      </c>
    </row>
    <row r="139" spans="1:12" ht="15">
      <c r="A139" s="84" t="s">
        <v>2716</v>
      </c>
      <c r="B139" s="83" t="s">
        <v>2850</v>
      </c>
      <c r="C139" s="83">
        <v>2</v>
      </c>
      <c r="D139" s="110">
        <v>0.0012819103295473864</v>
      </c>
      <c r="E139" s="110">
        <v>1.463568428413367</v>
      </c>
      <c r="F139" s="83" t="s">
        <v>3362</v>
      </c>
      <c r="G139" s="83" t="b">
        <v>0</v>
      </c>
      <c r="H139" s="83" t="b">
        <v>0</v>
      </c>
      <c r="I139" s="83" t="b">
        <v>0</v>
      </c>
      <c r="J139" s="83" t="b">
        <v>0</v>
      </c>
      <c r="K139" s="83" t="b">
        <v>0</v>
      </c>
      <c r="L139" s="83" t="b">
        <v>0</v>
      </c>
    </row>
    <row r="140" spans="1:12" ht="15">
      <c r="A140" s="84" t="s">
        <v>2851</v>
      </c>
      <c r="B140" s="83" t="s">
        <v>2784</v>
      </c>
      <c r="C140" s="83">
        <v>2</v>
      </c>
      <c r="D140" s="110">
        <v>0.0012819103295473864</v>
      </c>
      <c r="E140" s="110">
        <v>2.2812282200806844</v>
      </c>
      <c r="F140" s="83" t="s">
        <v>3362</v>
      </c>
      <c r="G140" s="83" t="b">
        <v>0</v>
      </c>
      <c r="H140" s="83" t="b">
        <v>0</v>
      </c>
      <c r="I140" s="83" t="b">
        <v>0</v>
      </c>
      <c r="J140" s="83" t="b">
        <v>0</v>
      </c>
      <c r="K140" s="83" t="b">
        <v>0</v>
      </c>
      <c r="L140" s="83" t="b">
        <v>0</v>
      </c>
    </row>
    <row r="141" spans="1:12" ht="15">
      <c r="A141" s="84" t="s">
        <v>2826</v>
      </c>
      <c r="B141" s="83" t="s">
        <v>2783</v>
      </c>
      <c r="C141" s="83">
        <v>2</v>
      </c>
      <c r="D141" s="110">
        <v>0.0012819103295473864</v>
      </c>
      <c r="E141" s="110">
        <v>2.2020469740330597</v>
      </c>
      <c r="F141" s="83" t="s">
        <v>3362</v>
      </c>
      <c r="G141" s="83" t="b">
        <v>0</v>
      </c>
      <c r="H141" s="83" t="b">
        <v>0</v>
      </c>
      <c r="I141" s="83" t="b">
        <v>0</v>
      </c>
      <c r="J141" s="83" t="b">
        <v>0</v>
      </c>
      <c r="K141" s="83" t="b">
        <v>0</v>
      </c>
      <c r="L141" s="83" t="b">
        <v>0</v>
      </c>
    </row>
    <row r="142" spans="1:12" ht="15">
      <c r="A142" s="84" t="s">
        <v>2758</v>
      </c>
      <c r="B142" s="83" t="s">
        <v>3278</v>
      </c>
      <c r="C142" s="83">
        <v>2</v>
      </c>
      <c r="D142" s="110">
        <v>0.0012819103295473864</v>
      </c>
      <c r="E142" s="110">
        <v>2.524266268766979</v>
      </c>
      <c r="F142" s="83" t="s">
        <v>3362</v>
      </c>
      <c r="G142" s="83" t="b">
        <v>0</v>
      </c>
      <c r="H142" s="83" t="b">
        <v>0</v>
      </c>
      <c r="I142" s="83" t="b">
        <v>0</v>
      </c>
      <c r="J142" s="83" t="b">
        <v>0</v>
      </c>
      <c r="K142" s="83" t="b">
        <v>0</v>
      </c>
      <c r="L142" s="83" t="b">
        <v>0</v>
      </c>
    </row>
    <row r="143" spans="1:12" ht="15">
      <c r="A143" s="84" t="s">
        <v>3038</v>
      </c>
      <c r="B143" s="83" t="s">
        <v>2716</v>
      </c>
      <c r="C143" s="83">
        <v>2</v>
      </c>
      <c r="D143" s="110">
        <v>0.0012819103295473864</v>
      </c>
      <c r="E143" s="110">
        <v>1.871053754991635</v>
      </c>
      <c r="F143" s="83" t="s">
        <v>3362</v>
      </c>
      <c r="G143" s="83" t="b">
        <v>0</v>
      </c>
      <c r="H143" s="83" t="b">
        <v>0</v>
      </c>
      <c r="I143" s="83" t="b">
        <v>0</v>
      </c>
      <c r="J143" s="83" t="b">
        <v>0</v>
      </c>
      <c r="K143" s="83" t="b">
        <v>0</v>
      </c>
      <c r="L143" s="83" t="b">
        <v>0</v>
      </c>
    </row>
    <row r="144" spans="1:12" ht="15">
      <c r="A144" s="84" t="s">
        <v>2716</v>
      </c>
      <c r="B144" s="83" t="s">
        <v>2747</v>
      </c>
      <c r="C144" s="83">
        <v>2</v>
      </c>
      <c r="D144" s="110">
        <v>0.0012819103295473864</v>
      </c>
      <c r="E144" s="110">
        <v>1.1625384327493857</v>
      </c>
      <c r="F144" s="83" t="s">
        <v>3362</v>
      </c>
      <c r="G144" s="83" t="b">
        <v>0</v>
      </c>
      <c r="H144" s="83" t="b">
        <v>0</v>
      </c>
      <c r="I144" s="83" t="b">
        <v>0</v>
      </c>
      <c r="J144" s="83" t="b">
        <v>0</v>
      </c>
      <c r="K144" s="83" t="b">
        <v>0</v>
      </c>
      <c r="L144" s="83" t="b">
        <v>0</v>
      </c>
    </row>
    <row r="145" spans="1:12" ht="15">
      <c r="A145" s="84" t="s">
        <v>2716</v>
      </c>
      <c r="B145" s="83" t="s">
        <v>2716</v>
      </c>
      <c r="C145" s="83">
        <v>2</v>
      </c>
      <c r="D145" s="110">
        <v>0.0012819103295473864</v>
      </c>
      <c r="E145" s="110">
        <v>0.6854171780297235</v>
      </c>
      <c r="F145" s="83" t="s">
        <v>3362</v>
      </c>
      <c r="G145" s="83" t="b">
        <v>0</v>
      </c>
      <c r="H145" s="83" t="b">
        <v>0</v>
      </c>
      <c r="I145" s="83" t="b">
        <v>0</v>
      </c>
      <c r="J145" s="83" t="b">
        <v>0</v>
      </c>
      <c r="K145" s="83" t="b">
        <v>0</v>
      </c>
      <c r="L145" s="83" t="b">
        <v>0</v>
      </c>
    </row>
    <row r="146" spans="1:12" ht="15">
      <c r="A146" s="84" t="s">
        <v>2747</v>
      </c>
      <c r="B146" s="83" t="s">
        <v>2716</v>
      </c>
      <c r="C146" s="83">
        <v>2</v>
      </c>
      <c r="D146" s="110">
        <v>0.0012819103295473864</v>
      </c>
      <c r="E146" s="110">
        <v>1.3939325002719727</v>
      </c>
      <c r="F146" s="83" t="s">
        <v>3362</v>
      </c>
      <c r="G146" s="83" t="b">
        <v>0</v>
      </c>
      <c r="H146" s="83" t="b">
        <v>0</v>
      </c>
      <c r="I146" s="83" t="b">
        <v>0</v>
      </c>
      <c r="J146" s="83" t="b">
        <v>0</v>
      </c>
      <c r="K146" s="83" t="b">
        <v>0</v>
      </c>
      <c r="L146" s="83" t="b">
        <v>0</v>
      </c>
    </row>
    <row r="147" spans="1:12" ht="15">
      <c r="A147" s="84" t="s">
        <v>3286</v>
      </c>
      <c r="B147" s="83" t="s">
        <v>3287</v>
      </c>
      <c r="C147" s="83">
        <v>2</v>
      </c>
      <c r="D147" s="110">
        <v>0.0014312307639045199</v>
      </c>
      <c r="E147" s="110">
        <v>3.2232362731029975</v>
      </c>
      <c r="F147" s="83" t="s">
        <v>3362</v>
      </c>
      <c r="G147" s="83" t="b">
        <v>0</v>
      </c>
      <c r="H147" s="83" t="b">
        <v>0</v>
      </c>
      <c r="I147" s="83" t="b">
        <v>0</v>
      </c>
      <c r="J147" s="83" t="b">
        <v>0</v>
      </c>
      <c r="K147" s="83" t="b">
        <v>0</v>
      </c>
      <c r="L147" s="83" t="b">
        <v>0</v>
      </c>
    </row>
    <row r="148" spans="1:12" ht="15">
      <c r="A148" s="84" t="s">
        <v>3287</v>
      </c>
      <c r="B148" s="83" t="s">
        <v>3288</v>
      </c>
      <c r="C148" s="83">
        <v>2</v>
      </c>
      <c r="D148" s="110">
        <v>0.0014312307639045199</v>
      </c>
      <c r="E148" s="110">
        <v>3.2232362731029975</v>
      </c>
      <c r="F148" s="83" t="s">
        <v>3362</v>
      </c>
      <c r="G148" s="83" t="b">
        <v>0</v>
      </c>
      <c r="H148" s="83" t="b">
        <v>0</v>
      </c>
      <c r="I148" s="83" t="b">
        <v>0</v>
      </c>
      <c r="J148" s="83" t="b">
        <v>0</v>
      </c>
      <c r="K148" s="83" t="b">
        <v>0</v>
      </c>
      <c r="L148" s="83" t="b">
        <v>0</v>
      </c>
    </row>
    <row r="149" spans="1:12" ht="15">
      <c r="A149" s="84" t="s">
        <v>2780</v>
      </c>
      <c r="B149" s="83" t="s">
        <v>2911</v>
      </c>
      <c r="C149" s="83">
        <v>2</v>
      </c>
      <c r="D149" s="110">
        <v>0.0014312307639045199</v>
      </c>
      <c r="E149" s="110">
        <v>2.3201462861110542</v>
      </c>
      <c r="F149" s="83" t="s">
        <v>3362</v>
      </c>
      <c r="G149" s="83" t="b">
        <v>0</v>
      </c>
      <c r="H149" s="83" t="b">
        <v>0</v>
      </c>
      <c r="I149" s="83" t="b">
        <v>0</v>
      </c>
      <c r="J149" s="83" t="b">
        <v>0</v>
      </c>
      <c r="K149" s="83" t="b">
        <v>0</v>
      </c>
      <c r="L149" s="83" t="b">
        <v>0</v>
      </c>
    </row>
    <row r="150" spans="1:12" ht="15">
      <c r="A150" s="84" t="s">
        <v>2825</v>
      </c>
      <c r="B150" s="83" t="s">
        <v>3293</v>
      </c>
      <c r="C150" s="83">
        <v>2</v>
      </c>
      <c r="D150" s="110">
        <v>0.0014312307639045199</v>
      </c>
      <c r="E150" s="110">
        <v>2.7461150183833354</v>
      </c>
      <c r="F150" s="83" t="s">
        <v>3362</v>
      </c>
      <c r="G150" s="83" t="b">
        <v>0</v>
      </c>
      <c r="H150" s="83" t="b">
        <v>0</v>
      </c>
      <c r="I150" s="83" t="b">
        <v>0</v>
      </c>
      <c r="J150" s="83" t="b">
        <v>0</v>
      </c>
      <c r="K150" s="83" t="b">
        <v>0</v>
      </c>
      <c r="L150" s="83" t="b">
        <v>0</v>
      </c>
    </row>
    <row r="151" spans="1:12" ht="15">
      <c r="A151" s="84" t="s">
        <v>3294</v>
      </c>
      <c r="B151" s="83" t="s">
        <v>3295</v>
      </c>
      <c r="C151" s="83">
        <v>2</v>
      </c>
      <c r="D151" s="110">
        <v>0.0012819103295473864</v>
      </c>
      <c r="E151" s="110">
        <v>3.2232362731029975</v>
      </c>
      <c r="F151" s="83" t="s">
        <v>3362</v>
      </c>
      <c r="G151" s="83" t="b">
        <v>0</v>
      </c>
      <c r="H151" s="83" t="b">
        <v>0</v>
      </c>
      <c r="I151" s="83" t="b">
        <v>0</v>
      </c>
      <c r="J151" s="83" t="b">
        <v>0</v>
      </c>
      <c r="K151" s="83" t="b">
        <v>0</v>
      </c>
      <c r="L151" s="83" t="b">
        <v>0</v>
      </c>
    </row>
    <row r="152" spans="1:12" ht="15">
      <c r="A152" s="84" t="s">
        <v>2756</v>
      </c>
      <c r="B152" s="83" t="s">
        <v>2745</v>
      </c>
      <c r="C152" s="83">
        <v>2</v>
      </c>
      <c r="D152" s="110">
        <v>0.0012819103295473864</v>
      </c>
      <c r="E152" s="110">
        <v>1.9801982244167031</v>
      </c>
      <c r="F152" s="83" t="s">
        <v>3362</v>
      </c>
      <c r="G152" s="83" t="b">
        <v>0</v>
      </c>
      <c r="H152" s="83" t="b">
        <v>0</v>
      </c>
      <c r="I152" s="83" t="b">
        <v>0</v>
      </c>
      <c r="J152" s="83" t="b">
        <v>0</v>
      </c>
      <c r="K152" s="83" t="b">
        <v>0</v>
      </c>
      <c r="L152" s="83" t="b">
        <v>0</v>
      </c>
    </row>
    <row r="153" spans="1:12" ht="15">
      <c r="A153" s="84" t="s">
        <v>3297</v>
      </c>
      <c r="B153" s="83" t="s">
        <v>2912</v>
      </c>
      <c r="C153" s="83">
        <v>2</v>
      </c>
      <c r="D153" s="110">
        <v>0.0012819103295473864</v>
      </c>
      <c r="E153" s="110">
        <v>2.9222062774390163</v>
      </c>
      <c r="F153" s="83" t="s">
        <v>3362</v>
      </c>
      <c r="G153" s="83" t="b">
        <v>0</v>
      </c>
      <c r="H153" s="83" t="b">
        <v>0</v>
      </c>
      <c r="I153" s="83" t="b">
        <v>0</v>
      </c>
      <c r="J153" s="83" t="b">
        <v>0</v>
      </c>
      <c r="K153" s="83" t="b">
        <v>0</v>
      </c>
      <c r="L153" s="83" t="b">
        <v>0</v>
      </c>
    </row>
    <row r="154" spans="1:12" ht="15">
      <c r="A154" s="84" t="s">
        <v>2912</v>
      </c>
      <c r="B154" s="83" t="s">
        <v>3298</v>
      </c>
      <c r="C154" s="83">
        <v>2</v>
      </c>
      <c r="D154" s="110">
        <v>0.0012819103295473864</v>
      </c>
      <c r="E154" s="110">
        <v>2.9222062774390163</v>
      </c>
      <c r="F154" s="83" t="s">
        <v>3362</v>
      </c>
      <c r="G154" s="83" t="b">
        <v>0</v>
      </c>
      <c r="H154" s="83" t="b">
        <v>0</v>
      </c>
      <c r="I154" s="83" t="b">
        <v>0</v>
      </c>
      <c r="J154" s="83" t="b">
        <v>0</v>
      </c>
      <c r="K154" s="83" t="b">
        <v>0</v>
      </c>
      <c r="L154" s="83" t="b">
        <v>0</v>
      </c>
    </row>
    <row r="155" spans="1:12" ht="15">
      <c r="A155" s="84" t="s">
        <v>2740</v>
      </c>
      <c r="B155" s="83" t="s">
        <v>3299</v>
      </c>
      <c r="C155" s="83">
        <v>2</v>
      </c>
      <c r="D155" s="110">
        <v>0.0014312307639045199</v>
      </c>
      <c r="E155" s="110">
        <v>2.445085022719354</v>
      </c>
      <c r="F155" s="83" t="s">
        <v>3362</v>
      </c>
      <c r="G155" s="83" t="b">
        <v>0</v>
      </c>
      <c r="H155" s="83" t="b">
        <v>0</v>
      </c>
      <c r="I155" s="83" t="b">
        <v>0</v>
      </c>
      <c r="J155" s="83" t="b">
        <v>0</v>
      </c>
      <c r="K155" s="83" t="b">
        <v>1</v>
      </c>
      <c r="L155" s="83" t="b">
        <v>0</v>
      </c>
    </row>
    <row r="156" spans="1:12" ht="15">
      <c r="A156" s="84" t="s">
        <v>2718</v>
      </c>
      <c r="B156" s="83" t="s">
        <v>3015</v>
      </c>
      <c r="C156" s="83">
        <v>2</v>
      </c>
      <c r="D156" s="110">
        <v>0.0014312307639045199</v>
      </c>
      <c r="E156" s="110">
        <v>1.871053754991635</v>
      </c>
      <c r="F156" s="83" t="s">
        <v>3362</v>
      </c>
      <c r="G156" s="83" t="b">
        <v>0</v>
      </c>
      <c r="H156" s="83" t="b">
        <v>0</v>
      </c>
      <c r="I156" s="83" t="b">
        <v>0</v>
      </c>
      <c r="J156" s="83" t="b">
        <v>0</v>
      </c>
      <c r="K156" s="83" t="b">
        <v>0</v>
      </c>
      <c r="L156" s="83" t="b">
        <v>0</v>
      </c>
    </row>
    <row r="157" spans="1:12" ht="15">
      <c r="A157" s="84" t="s">
        <v>2720</v>
      </c>
      <c r="B157" s="83" t="s">
        <v>2772</v>
      </c>
      <c r="C157" s="83">
        <v>2</v>
      </c>
      <c r="D157" s="110">
        <v>0.0012819103295473864</v>
      </c>
      <c r="E157" s="110">
        <v>1.5652248764458851</v>
      </c>
      <c r="F157" s="83" t="s">
        <v>3362</v>
      </c>
      <c r="G157" s="83" t="b">
        <v>0</v>
      </c>
      <c r="H157" s="83" t="b">
        <v>0</v>
      </c>
      <c r="I157" s="83" t="b">
        <v>0</v>
      </c>
      <c r="J157" s="83" t="b">
        <v>0</v>
      </c>
      <c r="K157" s="83" t="b">
        <v>0</v>
      </c>
      <c r="L157" s="83" t="b">
        <v>0</v>
      </c>
    </row>
    <row r="158" spans="1:12" ht="15">
      <c r="A158" s="84" t="s">
        <v>2718</v>
      </c>
      <c r="B158" s="83" t="s">
        <v>3044</v>
      </c>
      <c r="C158" s="83">
        <v>2</v>
      </c>
      <c r="D158" s="110">
        <v>0.0012819103295473864</v>
      </c>
      <c r="E158" s="110">
        <v>1.871053754991635</v>
      </c>
      <c r="F158" s="83" t="s">
        <v>3362</v>
      </c>
      <c r="G158" s="83" t="b">
        <v>0</v>
      </c>
      <c r="H158" s="83" t="b">
        <v>0</v>
      </c>
      <c r="I158" s="83" t="b">
        <v>0</v>
      </c>
      <c r="J158" s="83" t="b">
        <v>0</v>
      </c>
      <c r="K158" s="83" t="b">
        <v>1</v>
      </c>
      <c r="L158" s="83" t="b">
        <v>0</v>
      </c>
    </row>
    <row r="159" spans="1:12" ht="15">
      <c r="A159" s="84" t="s">
        <v>2876</v>
      </c>
      <c r="B159" s="83" t="s">
        <v>3307</v>
      </c>
      <c r="C159" s="83">
        <v>2</v>
      </c>
      <c r="D159" s="110">
        <v>0.0012819103295473864</v>
      </c>
      <c r="E159" s="110">
        <v>3.047145014047316</v>
      </c>
      <c r="F159" s="83" t="s">
        <v>3362</v>
      </c>
      <c r="G159" s="83" t="b">
        <v>1</v>
      </c>
      <c r="H159" s="83" t="b">
        <v>0</v>
      </c>
      <c r="I159" s="83" t="b">
        <v>0</v>
      </c>
      <c r="J159" s="83" t="b">
        <v>0</v>
      </c>
      <c r="K159" s="83" t="b">
        <v>0</v>
      </c>
      <c r="L159" s="83" t="b">
        <v>0</v>
      </c>
    </row>
    <row r="160" spans="1:12" ht="15">
      <c r="A160" s="84" t="s">
        <v>2717</v>
      </c>
      <c r="B160" s="83" t="s">
        <v>2878</v>
      </c>
      <c r="C160" s="83">
        <v>2</v>
      </c>
      <c r="D160" s="110">
        <v>0.0012819103295473864</v>
      </c>
      <c r="E160" s="110">
        <v>1.7760782417607783</v>
      </c>
      <c r="F160" s="83" t="s">
        <v>3362</v>
      </c>
      <c r="G160" s="83" t="b">
        <v>0</v>
      </c>
      <c r="H160" s="83" t="b">
        <v>0</v>
      </c>
      <c r="I160" s="83" t="b">
        <v>0</v>
      </c>
      <c r="J160" s="83" t="b">
        <v>0</v>
      </c>
      <c r="K160" s="83" t="b">
        <v>0</v>
      </c>
      <c r="L160" s="83" t="b">
        <v>0</v>
      </c>
    </row>
    <row r="161" spans="1:12" ht="15">
      <c r="A161" s="84" t="s">
        <v>2828</v>
      </c>
      <c r="B161" s="83" t="s">
        <v>3312</v>
      </c>
      <c r="C161" s="83">
        <v>2</v>
      </c>
      <c r="D161" s="110">
        <v>0.0012819103295473864</v>
      </c>
      <c r="E161" s="110">
        <v>2.7461150183833354</v>
      </c>
      <c r="F161" s="83" t="s">
        <v>3362</v>
      </c>
      <c r="G161" s="83" t="b">
        <v>0</v>
      </c>
      <c r="H161" s="83" t="b">
        <v>0</v>
      </c>
      <c r="I161" s="83" t="b">
        <v>0</v>
      </c>
      <c r="J161" s="83" t="b">
        <v>0</v>
      </c>
      <c r="K161" s="83" t="b">
        <v>0</v>
      </c>
      <c r="L161" s="83" t="b">
        <v>0</v>
      </c>
    </row>
    <row r="162" spans="1:12" ht="15">
      <c r="A162" s="84" t="s">
        <v>2854</v>
      </c>
      <c r="B162" s="83" t="s">
        <v>3315</v>
      </c>
      <c r="C162" s="83">
        <v>2</v>
      </c>
      <c r="D162" s="110">
        <v>0.0012819103295473864</v>
      </c>
      <c r="E162" s="110">
        <v>2.9222062774390163</v>
      </c>
      <c r="F162" s="83" t="s">
        <v>3362</v>
      </c>
      <c r="G162" s="83" t="b">
        <v>0</v>
      </c>
      <c r="H162" s="83" t="b">
        <v>0</v>
      </c>
      <c r="I162" s="83" t="b">
        <v>0</v>
      </c>
      <c r="J162" s="83" t="b">
        <v>0</v>
      </c>
      <c r="K162" s="83" t="b">
        <v>0</v>
      </c>
      <c r="L162" s="83" t="b">
        <v>0</v>
      </c>
    </row>
    <row r="163" spans="1:12" ht="15">
      <c r="A163" s="84" t="s">
        <v>2725</v>
      </c>
      <c r="B163" s="83" t="s">
        <v>2887</v>
      </c>
      <c r="C163" s="83">
        <v>2</v>
      </c>
      <c r="D163" s="110">
        <v>0.0012819103295473864</v>
      </c>
      <c r="E163" s="110">
        <v>2.019116290447073</v>
      </c>
      <c r="F163" s="83" t="s">
        <v>3362</v>
      </c>
      <c r="G163" s="83" t="b">
        <v>1</v>
      </c>
      <c r="H163" s="83" t="b">
        <v>0</v>
      </c>
      <c r="I163" s="83" t="b">
        <v>0</v>
      </c>
      <c r="J163" s="83" t="b">
        <v>0</v>
      </c>
      <c r="K163" s="83" t="b">
        <v>0</v>
      </c>
      <c r="L163" s="83" t="b">
        <v>0</v>
      </c>
    </row>
    <row r="164" spans="1:12" ht="15">
      <c r="A164" s="84" t="s">
        <v>2813</v>
      </c>
      <c r="B164" s="83" t="s">
        <v>3317</v>
      </c>
      <c r="C164" s="83">
        <v>2</v>
      </c>
      <c r="D164" s="110">
        <v>0.0012819103295473864</v>
      </c>
      <c r="E164" s="110">
        <v>2.7461150183833354</v>
      </c>
      <c r="F164" s="83" t="s">
        <v>3362</v>
      </c>
      <c r="G164" s="83" t="b">
        <v>1</v>
      </c>
      <c r="H164" s="83" t="b">
        <v>0</v>
      </c>
      <c r="I164" s="83" t="b">
        <v>0</v>
      </c>
      <c r="J164" s="83" t="b">
        <v>1</v>
      </c>
      <c r="K164" s="83" t="b">
        <v>0</v>
      </c>
      <c r="L164" s="83" t="b">
        <v>0</v>
      </c>
    </row>
    <row r="165" spans="1:12" ht="15">
      <c r="A165" s="84" t="s">
        <v>3001</v>
      </c>
      <c r="B165" s="83" t="s">
        <v>3320</v>
      </c>
      <c r="C165" s="83">
        <v>2</v>
      </c>
      <c r="D165" s="110">
        <v>0.0012819103295473864</v>
      </c>
      <c r="E165" s="110">
        <v>3.047145014047316</v>
      </c>
      <c r="F165" s="83" t="s">
        <v>3362</v>
      </c>
      <c r="G165" s="83" t="b">
        <v>0</v>
      </c>
      <c r="H165" s="83" t="b">
        <v>0</v>
      </c>
      <c r="I165" s="83" t="b">
        <v>0</v>
      </c>
      <c r="J165" s="83" t="b">
        <v>1</v>
      </c>
      <c r="K165" s="83" t="b">
        <v>0</v>
      </c>
      <c r="L165" s="83" t="b">
        <v>0</v>
      </c>
    </row>
    <row r="166" spans="1:12" ht="15">
      <c r="A166" s="84" t="s">
        <v>3320</v>
      </c>
      <c r="B166" s="83" t="s">
        <v>3045</v>
      </c>
      <c r="C166" s="83">
        <v>2</v>
      </c>
      <c r="D166" s="110">
        <v>0.0012819103295473864</v>
      </c>
      <c r="E166" s="110">
        <v>3.047145014047316</v>
      </c>
      <c r="F166" s="83" t="s">
        <v>3362</v>
      </c>
      <c r="G166" s="83" t="b">
        <v>1</v>
      </c>
      <c r="H166" s="83" t="b">
        <v>0</v>
      </c>
      <c r="I166" s="83" t="b">
        <v>0</v>
      </c>
      <c r="J166" s="83" t="b">
        <v>0</v>
      </c>
      <c r="K166" s="83" t="b">
        <v>0</v>
      </c>
      <c r="L166" s="83" t="b">
        <v>0</v>
      </c>
    </row>
    <row r="167" spans="1:12" ht="15">
      <c r="A167" s="84" t="s">
        <v>3045</v>
      </c>
      <c r="B167" s="83" t="s">
        <v>2770</v>
      </c>
      <c r="C167" s="83">
        <v>2</v>
      </c>
      <c r="D167" s="110">
        <v>0.0012819103295473864</v>
      </c>
      <c r="E167" s="110">
        <v>2.3939325002719727</v>
      </c>
      <c r="F167" s="83" t="s">
        <v>3362</v>
      </c>
      <c r="G167" s="83" t="b">
        <v>0</v>
      </c>
      <c r="H167" s="83" t="b">
        <v>0</v>
      </c>
      <c r="I167" s="83" t="b">
        <v>0</v>
      </c>
      <c r="J167" s="83" t="b">
        <v>0</v>
      </c>
      <c r="K167" s="83" t="b">
        <v>0</v>
      </c>
      <c r="L167" s="83" t="b">
        <v>0</v>
      </c>
    </row>
    <row r="168" spans="1:12" ht="15">
      <c r="A168" s="84" t="s">
        <v>2770</v>
      </c>
      <c r="B168" s="83" t="s">
        <v>2823</v>
      </c>
      <c r="C168" s="83">
        <v>2</v>
      </c>
      <c r="D168" s="110">
        <v>0.0012819103295473864</v>
      </c>
      <c r="E168" s="110">
        <v>2.144055027055373</v>
      </c>
      <c r="F168" s="83" t="s">
        <v>3362</v>
      </c>
      <c r="G168" s="83" t="b">
        <v>0</v>
      </c>
      <c r="H168" s="83" t="b">
        <v>0</v>
      </c>
      <c r="I168" s="83" t="b">
        <v>0</v>
      </c>
      <c r="J168" s="83" t="b">
        <v>0</v>
      </c>
      <c r="K168" s="83" t="b">
        <v>0</v>
      </c>
      <c r="L168" s="83" t="b">
        <v>0</v>
      </c>
    </row>
    <row r="169" spans="1:12" ht="15">
      <c r="A169" s="84" t="s">
        <v>2823</v>
      </c>
      <c r="B169" s="83" t="s">
        <v>3028</v>
      </c>
      <c r="C169" s="83">
        <v>2</v>
      </c>
      <c r="D169" s="110">
        <v>0.0012819103295473864</v>
      </c>
      <c r="E169" s="110">
        <v>2.570023759327654</v>
      </c>
      <c r="F169" s="83" t="s">
        <v>3362</v>
      </c>
      <c r="G169" s="83" t="b">
        <v>0</v>
      </c>
      <c r="H169" s="83" t="b">
        <v>0</v>
      </c>
      <c r="I169" s="83" t="b">
        <v>0</v>
      </c>
      <c r="J169" s="83" t="b">
        <v>0</v>
      </c>
      <c r="K169" s="83" t="b">
        <v>0</v>
      </c>
      <c r="L169" s="83" t="b">
        <v>0</v>
      </c>
    </row>
    <row r="170" spans="1:12" ht="15">
      <c r="A170" s="84" t="s">
        <v>3028</v>
      </c>
      <c r="B170" s="83" t="s">
        <v>3035</v>
      </c>
      <c r="C170" s="83">
        <v>2</v>
      </c>
      <c r="D170" s="110">
        <v>0.0012819103295473864</v>
      </c>
      <c r="E170" s="110">
        <v>2.8710537549916353</v>
      </c>
      <c r="F170" s="83" t="s">
        <v>3362</v>
      </c>
      <c r="G170" s="83" t="b">
        <v>0</v>
      </c>
      <c r="H170" s="83" t="b">
        <v>0</v>
      </c>
      <c r="I170" s="83" t="b">
        <v>0</v>
      </c>
      <c r="J170" s="83" t="b">
        <v>0</v>
      </c>
      <c r="K170" s="83" t="b">
        <v>0</v>
      </c>
      <c r="L170" s="83" t="b">
        <v>0</v>
      </c>
    </row>
    <row r="171" spans="1:12" ht="15">
      <c r="A171" s="84" t="s">
        <v>2992</v>
      </c>
      <c r="B171" s="83" t="s">
        <v>3321</v>
      </c>
      <c r="C171" s="83">
        <v>2</v>
      </c>
      <c r="D171" s="110">
        <v>0.0012819103295473864</v>
      </c>
      <c r="E171" s="110">
        <v>3.047145014047316</v>
      </c>
      <c r="F171" s="83" t="s">
        <v>3362</v>
      </c>
      <c r="G171" s="83" t="b">
        <v>0</v>
      </c>
      <c r="H171" s="83" t="b">
        <v>0</v>
      </c>
      <c r="I171" s="83" t="b">
        <v>0</v>
      </c>
      <c r="J171" s="83" t="b">
        <v>1</v>
      </c>
      <c r="K171" s="83" t="b">
        <v>0</v>
      </c>
      <c r="L171" s="83" t="b">
        <v>0</v>
      </c>
    </row>
    <row r="172" spans="1:12" ht="15">
      <c r="A172" s="84" t="s">
        <v>3321</v>
      </c>
      <c r="B172" s="83" t="s">
        <v>3322</v>
      </c>
      <c r="C172" s="83">
        <v>2</v>
      </c>
      <c r="D172" s="110">
        <v>0.0012819103295473864</v>
      </c>
      <c r="E172" s="110">
        <v>3.2232362731029975</v>
      </c>
      <c r="F172" s="83" t="s">
        <v>3362</v>
      </c>
      <c r="G172" s="83" t="b">
        <v>1</v>
      </c>
      <c r="H172" s="83" t="b">
        <v>0</v>
      </c>
      <c r="I172" s="83" t="b">
        <v>0</v>
      </c>
      <c r="J172" s="83" t="b">
        <v>0</v>
      </c>
      <c r="K172" s="83" t="b">
        <v>0</v>
      </c>
      <c r="L172" s="83" t="b">
        <v>0</v>
      </c>
    </row>
    <row r="173" spans="1:12" ht="15">
      <c r="A173" s="84" t="s">
        <v>3322</v>
      </c>
      <c r="B173" s="83" t="s">
        <v>2769</v>
      </c>
      <c r="C173" s="83">
        <v>2</v>
      </c>
      <c r="D173" s="110">
        <v>0.0012819103295473864</v>
      </c>
      <c r="E173" s="110">
        <v>2.621176281775035</v>
      </c>
      <c r="F173" s="83" t="s">
        <v>3362</v>
      </c>
      <c r="G173" s="83" t="b">
        <v>0</v>
      </c>
      <c r="H173" s="83" t="b">
        <v>0</v>
      </c>
      <c r="I173" s="83" t="b">
        <v>0</v>
      </c>
      <c r="J173" s="83" t="b">
        <v>0</v>
      </c>
      <c r="K173" s="83" t="b">
        <v>0</v>
      </c>
      <c r="L173" s="83" t="b">
        <v>0</v>
      </c>
    </row>
    <row r="174" spans="1:12" ht="15">
      <c r="A174" s="84" t="s">
        <v>2769</v>
      </c>
      <c r="B174" s="83" t="s">
        <v>2750</v>
      </c>
      <c r="C174" s="83">
        <v>2</v>
      </c>
      <c r="D174" s="110">
        <v>0.0012819103295473864</v>
      </c>
      <c r="E174" s="110">
        <v>2.047145014047316</v>
      </c>
      <c r="F174" s="83" t="s">
        <v>3362</v>
      </c>
      <c r="G174" s="83" t="b">
        <v>0</v>
      </c>
      <c r="H174" s="83" t="b">
        <v>0</v>
      </c>
      <c r="I174" s="83" t="b">
        <v>0</v>
      </c>
      <c r="J174" s="83" t="b">
        <v>0</v>
      </c>
      <c r="K174" s="83" t="b">
        <v>0</v>
      </c>
      <c r="L174" s="83" t="b">
        <v>0</v>
      </c>
    </row>
    <row r="175" spans="1:12" ht="15">
      <c r="A175" s="84" t="s">
        <v>3327</v>
      </c>
      <c r="B175" s="83" t="s">
        <v>3328</v>
      </c>
      <c r="C175" s="83">
        <v>2</v>
      </c>
      <c r="D175" s="110">
        <v>0.0012819103295473864</v>
      </c>
      <c r="E175" s="110">
        <v>3.2232362731029975</v>
      </c>
      <c r="F175" s="83" t="s">
        <v>3362</v>
      </c>
      <c r="G175" s="83" t="b">
        <v>0</v>
      </c>
      <c r="H175" s="83" t="b">
        <v>0</v>
      </c>
      <c r="I175" s="83" t="b">
        <v>0</v>
      </c>
      <c r="J175" s="83" t="b">
        <v>0</v>
      </c>
      <c r="K175" s="83" t="b">
        <v>0</v>
      </c>
      <c r="L175" s="83" t="b">
        <v>0</v>
      </c>
    </row>
    <row r="176" spans="1:12" ht="15">
      <c r="A176" s="84" t="s">
        <v>3049</v>
      </c>
      <c r="B176" s="83" t="s">
        <v>2734</v>
      </c>
      <c r="C176" s="83">
        <v>2</v>
      </c>
      <c r="D176" s="110">
        <v>0.0014312307639045199</v>
      </c>
      <c r="E176" s="110">
        <v>2.2020469740330597</v>
      </c>
      <c r="F176" s="83" t="s">
        <v>3362</v>
      </c>
      <c r="G176" s="83" t="b">
        <v>0</v>
      </c>
      <c r="H176" s="83" t="b">
        <v>0</v>
      </c>
      <c r="I176" s="83" t="b">
        <v>0</v>
      </c>
      <c r="J176" s="83" t="b">
        <v>0</v>
      </c>
      <c r="K176" s="83" t="b">
        <v>0</v>
      </c>
      <c r="L176" s="83" t="b">
        <v>0</v>
      </c>
    </row>
    <row r="177" spans="1:12" ht="15">
      <c r="A177" s="84" t="s">
        <v>2841</v>
      </c>
      <c r="B177" s="83" t="s">
        <v>3332</v>
      </c>
      <c r="C177" s="83">
        <v>2</v>
      </c>
      <c r="D177" s="110">
        <v>0.0014312307639045199</v>
      </c>
      <c r="E177" s="110">
        <v>3.2232362731029975</v>
      </c>
      <c r="F177" s="83" t="s">
        <v>3362</v>
      </c>
      <c r="G177" s="83" t="b">
        <v>0</v>
      </c>
      <c r="H177" s="83" t="b">
        <v>0</v>
      </c>
      <c r="I177" s="83" t="b">
        <v>0</v>
      </c>
      <c r="J177" s="83" t="b">
        <v>0</v>
      </c>
      <c r="K177" s="83" t="b">
        <v>0</v>
      </c>
      <c r="L177" s="83" t="b">
        <v>0</v>
      </c>
    </row>
    <row r="178" spans="1:12" ht="15">
      <c r="A178" s="84" t="s">
        <v>2729</v>
      </c>
      <c r="B178" s="83" t="s">
        <v>2914</v>
      </c>
      <c r="C178" s="83">
        <v>2</v>
      </c>
      <c r="D178" s="110">
        <v>0.0014312307639045199</v>
      </c>
      <c r="E178" s="110">
        <v>2.047145014047316</v>
      </c>
      <c r="F178" s="83" t="s">
        <v>3362</v>
      </c>
      <c r="G178" s="83" t="b">
        <v>1</v>
      </c>
      <c r="H178" s="83" t="b">
        <v>0</v>
      </c>
      <c r="I178" s="83" t="b">
        <v>0</v>
      </c>
      <c r="J178" s="83" t="b">
        <v>0</v>
      </c>
      <c r="K178" s="83" t="b">
        <v>0</v>
      </c>
      <c r="L178" s="83" t="b">
        <v>0</v>
      </c>
    </row>
    <row r="179" spans="1:12" ht="15">
      <c r="A179" s="84" t="s">
        <v>2735</v>
      </c>
      <c r="B179" s="83" t="s">
        <v>1421</v>
      </c>
      <c r="C179" s="83">
        <v>2</v>
      </c>
      <c r="D179" s="110">
        <v>0.0012819103295473864</v>
      </c>
      <c r="E179" s="110">
        <v>1.5072329294681983</v>
      </c>
      <c r="F179" s="83" t="s">
        <v>3362</v>
      </c>
      <c r="G179" s="83" t="b">
        <v>0</v>
      </c>
      <c r="H179" s="83" t="b">
        <v>0</v>
      </c>
      <c r="I179" s="83" t="b">
        <v>0</v>
      </c>
      <c r="J179" s="83" t="b">
        <v>1</v>
      </c>
      <c r="K179" s="83" t="b">
        <v>0</v>
      </c>
      <c r="L179" s="83" t="b">
        <v>0</v>
      </c>
    </row>
    <row r="180" spans="1:12" ht="15">
      <c r="A180" s="84" t="s">
        <v>1421</v>
      </c>
      <c r="B180" s="83" t="s">
        <v>2793</v>
      </c>
      <c r="C180" s="83">
        <v>2</v>
      </c>
      <c r="D180" s="110">
        <v>0.0012819103295473864</v>
      </c>
      <c r="E180" s="110">
        <v>1.5557833202130436</v>
      </c>
      <c r="F180" s="83" t="s">
        <v>3362</v>
      </c>
      <c r="G180" s="83" t="b">
        <v>1</v>
      </c>
      <c r="H180" s="83" t="b">
        <v>0</v>
      </c>
      <c r="I180" s="83" t="b">
        <v>0</v>
      </c>
      <c r="J180" s="83" t="b">
        <v>0</v>
      </c>
      <c r="K180" s="83" t="b">
        <v>0</v>
      </c>
      <c r="L180" s="83" t="b">
        <v>0</v>
      </c>
    </row>
    <row r="181" spans="1:12" ht="15">
      <c r="A181" s="84" t="s">
        <v>2780</v>
      </c>
      <c r="B181" s="83" t="s">
        <v>2721</v>
      </c>
      <c r="C181" s="83">
        <v>2</v>
      </c>
      <c r="D181" s="110">
        <v>0.0014312307639045199</v>
      </c>
      <c r="E181" s="110">
        <v>1.5242662687669788</v>
      </c>
      <c r="F181" s="83" t="s">
        <v>3362</v>
      </c>
      <c r="G181" s="83" t="b">
        <v>0</v>
      </c>
      <c r="H181" s="83" t="b">
        <v>0</v>
      </c>
      <c r="I181" s="83" t="b">
        <v>0</v>
      </c>
      <c r="J181" s="83" t="b">
        <v>0</v>
      </c>
      <c r="K181" s="83" t="b">
        <v>0</v>
      </c>
      <c r="L181" s="83" t="b">
        <v>0</v>
      </c>
    </row>
    <row r="182" spans="1:12" ht="15">
      <c r="A182" s="84" t="s">
        <v>2855</v>
      </c>
      <c r="B182" s="83" t="s">
        <v>3333</v>
      </c>
      <c r="C182" s="83">
        <v>2</v>
      </c>
      <c r="D182" s="110">
        <v>0.0014312307639045199</v>
      </c>
      <c r="E182" s="110">
        <v>2.82529626443096</v>
      </c>
      <c r="F182" s="83" t="s">
        <v>3362</v>
      </c>
      <c r="G182" s="83" t="b">
        <v>0</v>
      </c>
      <c r="H182" s="83" t="b">
        <v>0</v>
      </c>
      <c r="I182" s="83" t="b">
        <v>0</v>
      </c>
      <c r="J182" s="83" t="b">
        <v>0</v>
      </c>
      <c r="K182" s="83" t="b">
        <v>0</v>
      </c>
      <c r="L182" s="83" t="b">
        <v>0</v>
      </c>
    </row>
    <row r="183" spans="1:12" ht="15">
      <c r="A183" s="84" t="s">
        <v>2793</v>
      </c>
      <c r="B183" s="83" t="s">
        <v>2724</v>
      </c>
      <c r="C183" s="83">
        <v>2</v>
      </c>
      <c r="D183" s="110">
        <v>0.0012819103295473864</v>
      </c>
      <c r="E183" s="110">
        <v>1.9222062774390163</v>
      </c>
      <c r="F183" s="83" t="s">
        <v>3362</v>
      </c>
      <c r="G183" s="83" t="b">
        <v>0</v>
      </c>
      <c r="H183" s="83" t="b">
        <v>0</v>
      </c>
      <c r="I183" s="83" t="b">
        <v>0</v>
      </c>
      <c r="J183" s="83" t="b">
        <v>0</v>
      </c>
      <c r="K183" s="83" t="b">
        <v>0</v>
      </c>
      <c r="L183" s="83" t="b">
        <v>0</v>
      </c>
    </row>
    <row r="184" spans="1:12" ht="15">
      <c r="A184" s="84" t="s">
        <v>2729</v>
      </c>
      <c r="B184" s="83" t="s">
        <v>2815</v>
      </c>
      <c r="C184" s="83">
        <v>2</v>
      </c>
      <c r="D184" s="110">
        <v>0.0014312307639045199</v>
      </c>
      <c r="E184" s="110">
        <v>1.95023500103926</v>
      </c>
      <c r="F184" s="83" t="s">
        <v>3362</v>
      </c>
      <c r="G184" s="83" t="b">
        <v>1</v>
      </c>
      <c r="H184" s="83" t="b">
        <v>0</v>
      </c>
      <c r="I184" s="83" t="b">
        <v>0</v>
      </c>
      <c r="J184" s="83" t="b">
        <v>0</v>
      </c>
      <c r="K184" s="83" t="b">
        <v>0</v>
      </c>
      <c r="L184" s="83" t="b">
        <v>0</v>
      </c>
    </row>
    <row r="185" spans="1:12" ht="15">
      <c r="A185" s="84" t="s">
        <v>2815</v>
      </c>
      <c r="B185" s="83" t="s">
        <v>2730</v>
      </c>
      <c r="C185" s="83">
        <v>2</v>
      </c>
      <c r="D185" s="110">
        <v>0.0014312307639045199</v>
      </c>
      <c r="E185" s="110">
        <v>1.871053754991635</v>
      </c>
      <c r="F185" s="83" t="s">
        <v>3362</v>
      </c>
      <c r="G185" s="83" t="b">
        <v>0</v>
      </c>
      <c r="H185" s="83" t="b">
        <v>0</v>
      </c>
      <c r="I185" s="83" t="b">
        <v>0</v>
      </c>
      <c r="J185" s="83" t="b">
        <v>0</v>
      </c>
      <c r="K185" s="83" t="b">
        <v>1</v>
      </c>
      <c r="L185" s="83" t="b">
        <v>0</v>
      </c>
    </row>
    <row r="186" spans="1:12" ht="15">
      <c r="A186" s="84" t="s">
        <v>2730</v>
      </c>
      <c r="B186" s="83" t="s">
        <v>2722</v>
      </c>
      <c r="C186" s="83">
        <v>2</v>
      </c>
      <c r="D186" s="110">
        <v>0.0014312307639045199</v>
      </c>
      <c r="E186" s="110">
        <v>1.317440392735129</v>
      </c>
      <c r="F186" s="83" t="s">
        <v>3362</v>
      </c>
      <c r="G186" s="83" t="b">
        <v>0</v>
      </c>
      <c r="H186" s="83" t="b">
        <v>1</v>
      </c>
      <c r="I186" s="83" t="b">
        <v>0</v>
      </c>
      <c r="J186" s="83" t="b">
        <v>0</v>
      </c>
      <c r="K186" s="83" t="b">
        <v>0</v>
      </c>
      <c r="L186" s="83" t="b">
        <v>0</v>
      </c>
    </row>
    <row r="187" spans="1:12" ht="15">
      <c r="A187" s="84" t="s">
        <v>3052</v>
      </c>
      <c r="B187" s="83" t="s">
        <v>2721</v>
      </c>
      <c r="C187" s="83">
        <v>2</v>
      </c>
      <c r="D187" s="110">
        <v>0.0014312307639045199</v>
      </c>
      <c r="E187" s="110">
        <v>1.95023500103926</v>
      </c>
      <c r="F187" s="83" t="s">
        <v>3362</v>
      </c>
      <c r="G187" s="83" t="b">
        <v>0</v>
      </c>
      <c r="H187" s="83" t="b">
        <v>0</v>
      </c>
      <c r="I187" s="83" t="b">
        <v>0</v>
      </c>
      <c r="J187" s="83" t="b">
        <v>0</v>
      </c>
      <c r="K187" s="83" t="b">
        <v>0</v>
      </c>
      <c r="L187" s="83" t="b">
        <v>0</v>
      </c>
    </row>
    <row r="188" spans="1:12" ht="15">
      <c r="A188" s="84" t="s">
        <v>2737</v>
      </c>
      <c r="B188" s="83" t="s">
        <v>3336</v>
      </c>
      <c r="C188" s="83">
        <v>2</v>
      </c>
      <c r="D188" s="110">
        <v>0.0014312307639045199</v>
      </c>
      <c r="E188" s="110">
        <v>2.445085022719354</v>
      </c>
      <c r="F188" s="83" t="s">
        <v>3362</v>
      </c>
      <c r="G188" s="83" t="b">
        <v>0</v>
      </c>
      <c r="H188" s="83" t="b">
        <v>0</v>
      </c>
      <c r="I188" s="83" t="b">
        <v>0</v>
      </c>
      <c r="J188" s="83" t="b">
        <v>0</v>
      </c>
      <c r="K188" s="83" t="b">
        <v>0</v>
      </c>
      <c r="L188" s="83" t="b">
        <v>0</v>
      </c>
    </row>
    <row r="189" spans="1:12" ht="15">
      <c r="A189" s="84" t="s">
        <v>1110</v>
      </c>
      <c r="B189" s="83" t="s">
        <v>2793</v>
      </c>
      <c r="C189" s="83">
        <v>2</v>
      </c>
      <c r="D189" s="110">
        <v>0.0012819103295473864</v>
      </c>
      <c r="E189" s="110">
        <v>2.2020469740330597</v>
      </c>
      <c r="F189" s="83" t="s">
        <v>3362</v>
      </c>
      <c r="G189" s="83" t="b">
        <v>1</v>
      </c>
      <c r="H189" s="83" t="b">
        <v>0</v>
      </c>
      <c r="I189" s="83" t="b">
        <v>0</v>
      </c>
      <c r="J189" s="83" t="b">
        <v>0</v>
      </c>
      <c r="K189" s="83" t="b">
        <v>0</v>
      </c>
      <c r="L189" s="83" t="b">
        <v>0</v>
      </c>
    </row>
    <row r="190" spans="1:12" ht="15">
      <c r="A190" s="84" t="s">
        <v>1421</v>
      </c>
      <c r="B190" s="83" t="s">
        <v>2779</v>
      </c>
      <c r="C190" s="83">
        <v>2</v>
      </c>
      <c r="D190" s="110">
        <v>0.0012819103295473864</v>
      </c>
      <c r="E190" s="110">
        <v>1.4888365305824305</v>
      </c>
      <c r="F190" s="83" t="s">
        <v>3362</v>
      </c>
      <c r="G190" s="83" t="b">
        <v>1</v>
      </c>
      <c r="H190" s="83" t="b">
        <v>0</v>
      </c>
      <c r="I190" s="83" t="b">
        <v>0</v>
      </c>
      <c r="J190" s="83" t="b">
        <v>0</v>
      </c>
      <c r="K190" s="83" t="b">
        <v>0</v>
      </c>
      <c r="L190" s="83" t="b">
        <v>0</v>
      </c>
    </row>
    <row r="191" spans="1:12" ht="15">
      <c r="A191" s="84" t="s">
        <v>2978</v>
      </c>
      <c r="B191" s="83" t="s">
        <v>2745</v>
      </c>
      <c r="C191" s="83">
        <v>2</v>
      </c>
      <c r="D191" s="110">
        <v>0.0012819103295473864</v>
      </c>
      <c r="E191" s="110">
        <v>2.5030769696970405</v>
      </c>
      <c r="F191" s="83" t="s">
        <v>3362</v>
      </c>
      <c r="G191" s="83" t="b">
        <v>0</v>
      </c>
      <c r="H191" s="83" t="b">
        <v>0</v>
      </c>
      <c r="I191" s="83" t="b">
        <v>0</v>
      </c>
      <c r="J191" s="83" t="b">
        <v>0</v>
      </c>
      <c r="K191" s="83" t="b">
        <v>0</v>
      </c>
      <c r="L191" s="83" t="b">
        <v>0</v>
      </c>
    </row>
    <row r="192" spans="1:12" ht="15">
      <c r="A192" s="84" t="s">
        <v>2745</v>
      </c>
      <c r="B192" s="83" t="s">
        <v>3341</v>
      </c>
      <c r="C192" s="83">
        <v>2</v>
      </c>
      <c r="D192" s="110">
        <v>0.0012819103295473864</v>
      </c>
      <c r="E192" s="110">
        <v>2.679168228752722</v>
      </c>
      <c r="F192" s="83" t="s">
        <v>3362</v>
      </c>
      <c r="G192" s="83" t="b">
        <v>0</v>
      </c>
      <c r="H192" s="83" t="b">
        <v>0</v>
      </c>
      <c r="I192" s="83" t="b">
        <v>0</v>
      </c>
      <c r="J192" s="83" t="b">
        <v>0</v>
      </c>
      <c r="K192" s="83" t="b">
        <v>0</v>
      </c>
      <c r="L192" s="83" t="b">
        <v>0</v>
      </c>
    </row>
    <row r="193" spans="1:12" ht="15">
      <c r="A193" s="84" t="s">
        <v>3342</v>
      </c>
      <c r="B193" s="83" t="s">
        <v>3343</v>
      </c>
      <c r="C193" s="83">
        <v>2</v>
      </c>
      <c r="D193" s="110">
        <v>0.0012819103295473864</v>
      </c>
      <c r="E193" s="110">
        <v>3.2232362731029975</v>
      </c>
      <c r="F193" s="83" t="s">
        <v>3362</v>
      </c>
      <c r="G193" s="83" t="b">
        <v>0</v>
      </c>
      <c r="H193" s="83" t="b">
        <v>0</v>
      </c>
      <c r="I193" s="83" t="b">
        <v>0</v>
      </c>
      <c r="J193" s="83" t="b">
        <v>0</v>
      </c>
      <c r="K193" s="83" t="b">
        <v>0</v>
      </c>
      <c r="L193" s="83" t="b">
        <v>0</v>
      </c>
    </row>
    <row r="194" spans="1:12" ht="15">
      <c r="A194" s="84" t="s">
        <v>3345</v>
      </c>
      <c r="B194" s="83" t="s">
        <v>3022</v>
      </c>
      <c r="C194" s="83">
        <v>2</v>
      </c>
      <c r="D194" s="110">
        <v>0.0014312307639045199</v>
      </c>
      <c r="E194" s="110">
        <v>3.047145014047316</v>
      </c>
      <c r="F194" s="83" t="s">
        <v>3362</v>
      </c>
      <c r="G194" s="83" t="b">
        <v>0</v>
      </c>
      <c r="H194" s="83" t="b">
        <v>0</v>
      </c>
      <c r="I194" s="83" t="b">
        <v>0</v>
      </c>
      <c r="J194" s="83" t="b">
        <v>0</v>
      </c>
      <c r="K194" s="83" t="b">
        <v>0</v>
      </c>
      <c r="L194" s="83" t="b">
        <v>0</v>
      </c>
    </row>
    <row r="195" spans="1:12" ht="15">
      <c r="A195" s="84" t="s">
        <v>3022</v>
      </c>
      <c r="B195" s="83" t="s">
        <v>3346</v>
      </c>
      <c r="C195" s="83">
        <v>2</v>
      </c>
      <c r="D195" s="110">
        <v>0.0014312307639045199</v>
      </c>
      <c r="E195" s="110">
        <v>3.047145014047316</v>
      </c>
      <c r="F195" s="83" t="s">
        <v>3362</v>
      </c>
      <c r="G195" s="83" t="b">
        <v>0</v>
      </c>
      <c r="H195" s="83" t="b">
        <v>0</v>
      </c>
      <c r="I195" s="83" t="b">
        <v>0</v>
      </c>
      <c r="J195" s="83" t="b">
        <v>0</v>
      </c>
      <c r="K195" s="83" t="b">
        <v>0</v>
      </c>
      <c r="L195" s="83" t="b">
        <v>0</v>
      </c>
    </row>
    <row r="196" spans="1:12" ht="15">
      <c r="A196" s="84" t="s">
        <v>2747</v>
      </c>
      <c r="B196" s="83" t="s">
        <v>2826</v>
      </c>
      <c r="C196" s="83">
        <v>2</v>
      </c>
      <c r="D196" s="110">
        <v>0.0012819103295473864</v>
      </c>
      <c r="E196" s="110">
        <v>2.0929025046079914</v>
      </c>
      <c r="F196" s="83" t="s">
        <v>3362</v>
      </c>
      <c r="G196" s="83" t="b">
        <v>0</v>
      </c>
      <c r="H196" s="83" t="b">
        <v>0</v>
      </c>
      <c r="I196" s="83" t="b">
        <v>0</v>
      </c>
      <c r="J196" s="83" t="b">
        <v>0</v>
      </c>
      <c r="K196" s="83" t="b">
        <v>0</v>
      </c>
      <c r="L196" s="83" t="b">
        <v>0</v>
      </c>
    </row>
    <row r="197" spans="1:12" ht="15">
      <c r="A197" s="84" t="s">
        <v>1421</v>
      </c>
      <c r="B197" s="83" t="s">
        <v>2739</v>
      </c>
      <c r="C197" s="83">
        <v>8</v>
      </c>
      <c r="D197" s="110">
        <v>0.016165095518269685</v>
      </c>
      <c r="E197" s="110">
        <v>1.5642714304385628</v>
      </c>
      <c r="F197" s="83" t="s">
        <v>2667</v>
      </c>
      <c r="G197" s="83" t="b">
        <v>1</v>
      </c>
      <c r="H197" s="83" t="b">
        <v>0</v>
      </c>
      <c r="I197" s="83" t="b">
        <v>0</v>
      </c>
      <c r="J197" s="83" t="b">
        <v>1</v>
      </c>
      <c r="K197" s="83" t="b">
        <v>0</v>
      </c>
      <c r="L197" s="83" t="b">
        <v>0</v>
      </c>
    </row>
    <row r="198" spans="1:12" ht="15">
      <c r="A198" s="84" t="s">
        <v>2751</v>
      </c>
      <c r="B198" s="83" t="s">
        <v>2767</v>
      </c>
      <c r="C198" s="83">
        <v>4</v>
      </c>
      <c r="D198" s="110">
        <v>0.00999384931890615</v>
      </c>
      <c r="E198" s="110">
        <v>1.7525971459112555</v>
      </c>
      <c r="F198" s="83" t="s">
        <v>2667</v>
      </c>
      <c r="G198" s="83" t="b">
        <v>0</v>
      </c>
      <c r="H198" s="83" t="b">
        <v>0</v>
      </c>
      <c r="I198" s="83" t="b">
        <v>0</v>
      </c>
      <c r="J198" s="83" t="b">
        <v>0</v>
      </c>
      <c r="K198" s="83" t="b">
        <v>0</v>
      </c>
      <c r="L198" s="83" t="b">
        <v>0</v>
      </c>
    </row>
    <row r="199" spans="1:12" ht="15">
      <c r="A199" s="84" t="s">
        <v>2981</v>
      </c>
      <c r="B199" s="83" t="s">
        <v>2891</v>
      </c>
      <c r="C199" s="83">
        <v>3</v>
      </c>
      <c r="D199" s="110">
        <v>0.008090333353981042</v>
      </c>
      <c r="E199" s="110">
        <v>2.0925452076056064</v>
      </c>
      <c r="F199" s="83" t="s">
        <v>2667</v>
      </c>
      <c r="G199" s="83" t="b">
        <v>0</v>
      </c>
      <c r="H199" s="83" t="b">
        <v>0</v>
      </c>
      <c r="I199" s="83" t="b">
        <v>0</v>
      </c>
      <c r="J199" s="83" t="b">
        <v>0</v>
      </c>
      <c r="K199" s="83" t="b">
        <v>1</v>
      </c>
      <c r="L199" s="83" t="b">
        <v>0</v>
      </c>
    </row>
    <row r="200" spans="1:12" ht="15">
      <c r="A200" s="84" t="s">
        <v>2838</v>
      </c>
      <c r="B200" s="83" t="s">
        <v>2748</v>
      </c>
      <c r="C200" s="83">
        <v>3</v>
      </c>
      <c r="D200" s="110">
        <v>0.008090333353981042</v>
      </c>
      <c r="E200" s="110">
        <v>1.87069645798925</v>
      </c>
      <c r="F200" s="83" t="s">
        <v>2667</v>
      </c>
      <c r="G200" s="83" t="b">
        <v>0</v>
      </c>
      <c r="H200" s="83" t="b">
        <v>0</v>
      </c>
      <c r="I200" s="83" t="b">
        <v>0</v>
      </c>
      <c r="J200" s="83" t="b">
        <v>0</v>
      </c>
      <c r="K200" s="83" t="b">
        <v>0</v>
      </c>
      <c r="L200" s="83" t="b">
        <v>0</v>
      </c>
    </row>
    <row r="201" spans="1:12" ht="15">
      <c r="A201" s="84" t="s">
        <v>2819</v>
      </c>
      <c r="B201" s="83" t="s">
        <v>2718</v>
      </c>
      <c r="C201" s="83">
        <v>3</v>
      </c>
      <c r="D201" s="110">
        <v>0.008928863159008097</v>
      </c>
      <c r="E201" s="110">
        <v>1.7737864449811935</v>
      </c>
      <c r="F201" s="83" t="s">
        <v>2667</v>
      </c>
      <c r="G201" s="83" t="b">
        <v>0</v>
      </c>
      <c r="H201" s="83" t="b">
        <v>0</v>
      </c>
      <c r="I201" s="83" t="b">
        <v>0</v>
      </c>
      <c r="J201" s="83" t="b">
        <v>0</v>
      </c>
      <c r="K201" s="83" t="b">
        <v>0</v>
      </c>
      <c r="L201" s="83" t="b">
        <v>0</v>
      </c>
    </row>
    <row r="202" spans="1:12" ht="15">
      <c r="A202" s="84" t="s">
        <v>2890</v>
      </c>
      <c r="B202" s="83" t="s">
        <v>2820</v>
      </c>
      <c r="C202" s="83">
        <v>2</v>
      </c>
      <c r="D202" s="110">
        <v>0.00595257543933873</v>
      </c>
      <c r="E202" s="110">
        <v>1.8195439355418688</v>
      </c>
      <c r="F202" s="83" t="s">
        <v>2667</v>
      </c>
      <c r="G202" s="83" t="b">
        <v>0</v>
      </c>
      <c r="H202" s="83" t="b">
        <v>0</v>
      </c>
      <c r="I202" s="83" t="b">
        <v>0</v>
      </c>
      <c r="J202" s="83" t="b">
        <v>0</v>
      </c>
      <c r="K202" s="83" t="b">
        <v>0</v>
      </c>
      <c r="L202" s="83" t="b">
        <v>0</v>
      </c>
    </row>
    <row r="203" spans="1:12" ht="15">
      <c r="A203" s="84" t="s">
        <v>2963</v>
      </c>
      <c r="B203" s="83" t="s">
        <v>2798</v>
      </c>
      <c r="C203" s="83">
        <v>2</v>
      </c>
      <c r="D203" s="110">
        <v>0.00595257543933873</v>
      </c>
      <c r="E203" s="110">
        <v>1.99563519459755</v>
      </c>
      <c r="F203" s="83" t="s">
        <v>2667</v>
      </c>
      <c r="G203" s="83" t="b">
        <v>0</v>
      </c>
      <c r="H203" s="83" t="b">
        <v>0</v>
      </c>
      <c r="I203" s="83" t="b">
        <v>0</v>
      </c>
      <c r="J203" s="83" t="b">
        <v>0</v>
      </c>
      <c r="K203" s="83" t="b">
        <v>0</v>
      </c>
      <c r="L203" s="83" t="b">
        <v>0</v>
      </c>
    </row>
    <row r="204" spans="1:12" ht="15">
      <c r="A204" s="84" t="s">
        <v>2798</v>
      </c>
      <c r="B204" s="83" t="s">
        <v>3138</v>
      </c>
      <c r="C204" s="83">
        <v>2</v>
      </c>
      <c r="D204" s="110">
        <v>0.00595257543933873</v>
      </c>
      <c r="E204" s="110">
        <v>2.0925452076056064</v>
      </c>
      <c r="F204" s="83" t="s">
        <v>2667</v>
      </c>
      <c r="G204" s="83" t="b">
        <v>0</v>
      </c>
      <c r="H204" s="83" t="b">
        <v>0</v>
      </c>
      <c r="I204" s="83" t="b">
        <v>0</v>
      </c>
      <c r="J204" s="83" t="b">
        <v>0</v>
      </c>
      <c r="K204" s="83" t="b">
        <v>0</v>
      </c>
      <c r="L204" s="83" t="b">
        <v>0</v>
      </c>
    </row>
    <row r="205" spans="1:12" ht="15">
      <c r="A205" s="84" t="s">
        <v>2744</v>
      </c>
      <c r="B205" s="83" t="s">
        <v>2981</v>
      </c>
      <c r="C205" s="83">
        <v>2</v>
      </c>
      <c r="D205" s="110">
        <v>0.00595257543933873</v>
      </c>
      <c r="E205" s="110">
        <v>1.6734158998636306</v>
      </c>
      <c r="F205" s="83" t="s">
        <v>2667</v>
      </c>
      <c r="G205" s="83" t="b">
        <v>0</v>
      </c>
      <c r="H205" s="83" t="b">
        <v>0</v>
      </c>
      <c r="I205" s="83" t="b">
        <v>0</v>
      </c>
      <c r="J205" s="83" t="b">
        <v>0</v>
      </c>
      <c r="K205" s="83" t="b">
        <v>0</v>
      </c>
      <c r="L205" s="83" t="b">
        <v>0</v>
      </c>
    </row>
    <row r="206" spans="1:12" ht="15">
      <c r="A206" s="84" t="s">
        <v>2777</v>
      </c>
      <c r="B206" s="83" t="s">
        <v>2734</v>
      </c>
      <c r="C206" s="83">
        <v>8</v>
      </c>
      <c r="D206" s="110">
        <v>0.0218154751968838</v>
      </c>
      <c r="E206" s="110">
        <v>1.568201724066995</v>
      </c>
      <c r="F206" s="83" t="s">
        <v>2668</v>
      </c>
      <c r="G206" s="83" t="b">
        <v>0</v>
      </c>
      <c r="H206" s="83" t="b">
        <v>0</v>
      </c>
      <c r="I206" s="83" t="b">
        <v>0</v>
      </c>
      <c r="J206" s="83" t="b">
        <v>0</v>
      </c>
      <c r="K206" s="83" t="b">
        <v>0</v>
      </c>
      <c r="L206" s="83" t="b">
        <v>0</v>
      </c>
    </row>
    <row r="207" spans="1:12" ht="15">
      <c r="A207" s="84" t="s">
        <v>2734</v>
      </c>
      <c r="B207" s="83" t="s">
        <v>2755</v>
      </c>
      <c r="C207" s="83">
        <v>8</v>
      </c>
      <c r="D207" s="110">
        <v>0.0218154751968838</v>
      </c>
      <c r="E207" s="110">
        <v>1.4712917110589385</v>
      </c>
      <c r="F207" s="83" t="s">
        <v>2668</v>
      </c>
      <c r="G207" s="83" t="b">
        <v>0</v>
      </c>
      <c r="H207" s="83" t="b">
        <v>0</v>
      </c>
      <c r="I207" s="83" t="b">
        <v>0</v>
      </c>
      <c r="J207" s="83" t="b">
        <v>0</v>
      </c>
      <c r="K207" s="83" t="b">
        <v>0</v>
      </c>
      <c r="L207" s="83" t="b">
        <v>0</v>
      </c>
    </row>
    <row r="208" spans="1:12" ht="15">
      <c r="A208" s="84" t="s">
        <v>2755</v>
      </c>
      <c r="B208" s="83" t="s">
        <v>2717</v>
      </c>
      <c r="C208" s="83">
        <v>8</v>
      </c>
      <c r="D208" s="110">
        <v>0.0218154751968838</v>
      </c>
      <c r="E208" s="110">
        <v>1.4712917110589385</v>
      </c>
      <c r="F208" s="83" t="s">
        <v>2668</v>
      </c>
      <c r="G208" s="83" t="b">
        <v>0</v>
      </c>
      <c r="H208" s="83" t="b">
        <v>0</v>
      </c>
      <c r="I208" s="83" t="b">
        <v>0</v>
      </c>
      <c r="J208" s="83" t="b">
        <v>0</v>
      </c>
      <c r="K208" s="83" t="b">
        <v>0</v>
      </c>
      <c r="L208" s="83" t="b">
        <v>0</v>
      </c>
    </row>
    <row r="209" spans="1:12" ht="15">
      <c r="A209" s="84" t="s">
        <v>2760</v>
      </c>
      <c r="B209" s="83" t="s">
        <v>2860</v>
      </c>
      <c r="C209" s="83">
        <v>4</v>
      </c>
      <c r="D209" s="110">
        <v>0.0109077375984419</v>
      </c>
      <c r="E209" s="110">
        <v>1.9484129657786011</v>
      </c>
      <c r="F209" s="83" t="s">
        <v>2668</v>
      </c>
      <c r="G209" s="83" t="b">
        <v>0</v>
      </c>
      <c r="H209" s="83" t="b">
        <v>0</v>
      </c>
      <c r="I209" s="83" t="b">
        <v>0</v>
      </c>
      <c r="J209" s="83" t="b">
        <v>0</v>
      </c>
      <c r="K209" s="83" t="b">
        <v>0</v>
      </c>
      <c r="L209" s="83" t="b">
        <v>0</v>
      </c>
    </row>
    <row r="210" spans="1:12" ht="15">
      <c r="A210" s="84" t="s">
        <v>2717</v>
      </c>
      <c r="B210" s="83" t="s">
        <v>2777</v>
      </c>
      <c r="C210" s="83">
        <v>4</v>
      </c>
      <c r="D210" s="110">
        <v>0.0109077375984419</v>
      </c>
      <c r="E210" s="110">
        <v>1.568201724066995</v>
      </c>
      <c r="F210" s="83" t="s">
        <v>2668</v>
      </c>
      <c r="G210" s="83" t="b">
        <v>0</v>
      </c>
      <c r="H210" s="83" t="b">
        <v>0</v>
      </c>
      <c r="I210" s="83" t="b">
        <v>0</v>
      </c>
      <c r="J210" s="83" t="b">
        <v>0</v>
      </c>
      <c r="K210" s="83" t="b">
        <v>0</v>
      </c>
      <c r="L210" s="83" t="b">
        <v>0</v>
      </c>
    </row>
    <row r="211" spans="1:12" ht="15">
      <c r="A211" s="84" t="s">
        <v>2869</v>
      </c>
      <c r="B211" s="83" t="s">
        <v>2734</v>
      </c>
      <c r="C211" s="83">
        <v>4</v>
      </c>
      <c r="D211" s="110">
        <v>0.013125269794861649</v>
      </c>
      <c r="E211" s="110">
        <v>1.568201724066995</v>
      </c>
      <c r="F211" s="83" t="s">
        <v>2668</v>
      </c>
      <c r="G211" s="83" t="b">
        <v>0</v>
      </c>
      <c r="H211" s="83" t="b">
        <v>0</v>
      </c>
      <c r="I211" s="83" t="b">
        <v>0</v>
      </c>
      <c r="J211" s="83" t="b">
        <v>0</v>
      </c>
      <c r="K211" s="83" t="b">
        <v>0</v>
      </c>
      <c r="L211" s="83" t="b">
        <v>0</v>
      </c>
    </row>
    <row r="212" spans="1:12" ht="15">
      <c r="A212" s="84" t="s">
        <v>2718</v>
      </c>
      <c r="B212" s="83" t="s">
        <v>2727</v>
      </c>
      <c r="C212" s="83">
        <v>3</v>
      </c>
      <c r="D212" s="110">
        <v>0.008871072461860705</v>
      </c>
      <c r="E212" s="110">
        <v>1.443262987458695</v>
      </c>
      <c r="F212" s="83" t="s">
        <v>2668</v>
      </c>
      <c r="G212" s="83" t="b">
        <v>0</v>
      </c>
      <c r="H212" s="83" t="b">
        <v>0</v>
      </c>
      <c r="I212" s="83" t="b">
        <v>0</v>
      </c>
      <c r="J212" s="83" t="b">
        <v>0</v>
      </c>
      <c r="K212" s="83" t="b">
        <v>0</v>
      </c>
      <c r="L212" s="83" t="b">
        <v>0</v>
      </c>
    </row>
    <row r="213" spans="1:12" ht="15">
      <c r="A213" s="84" t="s">
        <v>2721</v>
      </c>
      <c r="B213" s="83" t="s">
        <v>2926</v>
      </c>
      <c r="C213" s="83">
        <v>3</v>
      </c>
      <c r="D213" s="110">
        <v>0.01150710149346105</v>
      </c>
      <c r="E213" s="110">
        <v>2.1702617153949575</v>
      </c>
      <c r="F213" s="83" t="s">
        <v>2668</v>
      </c>
      <c r="G213" s="83" t="b">
        <v>0</v>
      </c>
      <c r="H213" s="83" t="b">
        <v>0</v>
      </c>
      <c r="I213" s="83" t="b">
        <v>0</v>
      </c>
      <c r="J213" s="83" t="b">
        <v>0</v>
      </c>
      <c r="K213" s="83" t="b">
        <v>0</v>
      </c>
      <c r="L213" s="83" t="b">
        <v>0</v>
      </c>
    </row>
    <row r="214" spans="1:12" ht="15">
      <c r="A214" s="84" t="s">
        <v>2727</v>
      </c>
      <c r="B214" s="83" t="s">
        <v>2760</v>
      </c>
      <c r="C214" s="83">
        <v>3</v>
      </c>
      <c r="D214" s="110">
        <v>0.008871072461860705</v>
      </c>
      <c r="E214" s="110">
        <v>1.7442929831226763</v>
      </c>
      <c r="F214" s="83" t="s">
        <v>2668</v>
      </c>
      <c r="G214" s="83" t="b">
        <v>0</v>
      </c>
      <c r="H214" s="83" t="b">
        <v>0</v>
      </c>
      <c r="I214" s="83" t="b">
        <v>0</v>
      </c>
      <c r="J214" s="83" t="b">
        <v>0</v>
      </c>
      <c r="K214" s="83" t="b">
        <v>0</v>
      </c>
      <c r="L214" s="83" t="b">
        <v>0</v>
      </c>
    </row>
    <row r="215" spans="1:12" ht="15">
      <c r="A215" s="84" t="s">
        <v>2936</v>
      </c>
      <c r="B215" s="83" t="s">
        <v>2937</v>
      </c>
      <c r="C215" s="83">
        <v>3</v>
      </c>
      <c r="D215" s="110">
        <v>0.008871072461860705</v>
      </c>
      <c r="E215" s="110">
        <v>2.1702617153949575</v>
      </c>
      <c r="F215" s="83" t="s">
        <v>2668</v>
      </c>
      <c r="G215" s="83" t="b">
        <v>0</v>
      </c>
      <c r="H215" s="83" t="b">
        <v>0</v>
      </c>
      <c r="I215" s="83" t="b">
        <v>0</v>
      </c>
      <c r="J215" s="83" t="b">
        <v>0</v>
      </c>
      <c r="K215" s="83" t="b">
        <v>0</v>
      </c>
      <c r="L215" s="83" t="b">
        <v>0</v>
      </c>
    </row>
    <row r="216" spans="1:12" ht="15">
      <c r="A216" s="84" t="s">
        <v>2718</v>
      </c>
      <c r="B216" s="83" t="s">
        <v>2731</v>
      </c>
      <c r="C216" s="83">
        <v>2</v>
      </c>
      <c r="D216" s="110">
        <v>0.0065626348974308244</v>
      </c>
      <c r="E216" s="110">
        <v>1.869231719730976</v>
      </c>
      <c r="F216" s="83" t="s">
        <v>2668</v>
      </c>
      <c r="G216" s="83" t="b">
        <v>0</v>
      </c>
      <c r="H216" s="83" t="b">
        <v>0</v>
      </c>
      <c r="I216" s="83" t="b">
        <v>0</v>
      </c>
      <c r="J216" s="83" t="b">
        <v>0</v>
      </c>
      <c r="K216" s="83" t="b">
        <v>0</v>
      </c>
      <c r="L216" s="83" t="b">
        <v>0</v>
      </c>
    </row>
    <row r="217" spans="1:12" ht="15">
      <c r="A217" s="84" t="s">
        <v>2802</v>
      </c>
      <c r="B217" s="83" t="s">
        <v>2803</v>
      </c>
      <c r="C217" s="83">
        <v>2</v>
      </c>
      <c r="D217" s="110">
        <v>0.007671400995640701</v>
      </c>
      <c r="E217" s="110">
        <v>2.346352974450639</v>
      </c>
      <c r="F217" s="83" t="s">
        <v>2668</v>
      </c>
      <c r="G217" s="83" t="b">
        <v>0</v>
      </c>
      <c r="H217" s="83" t="b">
        <v>0</v>
      </c>
      <c r="I217" s="83" t="b">
        <v>0</v>
      </c>
      <c r="J217" s="83" t="b">
        <v>0</v>
      </c>
      <c r="K217" s="83" t="b">
        <v>0</v>
      </c>
      <c r="L217" s="83" t="b">
        <v>0</v>
      </c>
    </row>
    <row r="218" spans="1:12" ht="15">
      <c r="A218" s="84" t="s">
        <v>2861</v>
      </c>
      <c r="B218" s="83" t="s">
        <v>2735</v>
      </c>
      <c r="C218" s="83">
        <v>2</v>
      </c>
      <c r="D218" s="110">
        <v>0.007671400995640701</v>
      </c>
      <c r="E218" s="110">
        <v>2.0453229787866576</v>
      </c>
      <c r="F218" s="83" t="s">
        <v>2668</v>
      </c>
      <c r="G218" s="83" t="b">
        <v>0</v>
      </c>
      <c r="H218" s="83" t="b">
        <v>1</v>
      </c>
      <c r="I218" s="83" t="b">
        <v>0</v>
      </c>
      <c r="J218" s="83" t="b">
        <v>0</v>
      </c>
      <c r="K218" s="83" t="b">
        <v>0</v>
      </c>
      <c r="L218" s="83" t="b">
        <v>0</v>
      </c>
    </row>
    <row r="219" spans="1:12" ht="15">
      <c r="A219" s="84" t="s">
        <v>3099</v>
      </c>
      <c r="B219" s="83" t="s">
        <v>3100</v>
      </c>
      <c r="C219" s="83">
        <v>2</v>
      </c>
      <c r="D219" s="110">
        <v>0.0065626348974308244</v>
      </c>
      <c r="E219" s="110">
        <v>2.346352974450639</v>
      </c>
      <c r="F219" s="83" t="s">
        <v>2668</v>
      </c>
      <c r="G219" s="83" t="b">
        <v>0</v>
      </c>
      <c r="H219" s="83" t="b">
        <v>0</v>
      </c>
      <c r="I219" s="83" t="b">
        <v>0</v>
      </c>
      <c r="J219" s="83" t="b">
        <v>0</v>
      </c>
      <c r="K219" s="83" t="b">
        <v>0</v>
      </c>
      <c r="L219" s="83" t="b">
        <v>0</v>
      </c>
    </row>
    <row r="220" spans="1:12" ht="15">
      <c r="A220" s="84" t="s">
        <v>2865</v>
      </c>
      <c r="B220" s="83" t="s">
        <v>2719</v>
      </c>
      <c r="C220" s="83">
        <v>2</v>
      </c>
      <c r="D220" s="110">
        <v>0.0065626348974308244</v>
      </c>
      <c r="E220" s="110">
        <v>2.1702617153949575</v>
      </c>
      <c r="F220" s="83" t="s">
        <v>2668</v>
      </c>
      <c r="G220" s="83" t="b">
        <v>0</v>
      </c>
      <c r="H220" s="83" t="b">
        <v>1</v>
      </c>
      <c r="I220" s="83" t="b">
        <v>0</v>
      </c>
      <c r="J220" s="83" t="b">
        <v>1</v>
      </c>
      <c r="K220" s="83" t="b">
        <v>0</v>
      </c>
      <c r="L220" s="83" t="b">
        <v>0</v>
      </c>
    </row>
    <row r="221" spans="1:12" ht="15">
      <c r="A221" s="84" t="s">
        <v>2789</v>
      </c>
      <c r="B221" s="83" t="s">
        <v>2727</v>
      </c>
      <c r="C221" s="83">
        <v>2</v>
      </c>
      <c r="D221" s="110">
        <v>0.0065626348974308244</v>
      </c>
      <c r="E221" s="110">
        <v>1.7442929831226763</v>
      </c>
      <c r="F221" s="83" t="s">
        <v>2668</v>
      </c>
      <c r="G221" s="83" t="b">
        <v>0</v>
      </c>
      <c r="H221" s="83" t="b">
        <v>0</v>
      </c>
      <c r="I221" s="83" t="b">
        <v>0</v>
      </c>
      <c r="J221" s="83" t="b">
        <v>0</v>
      </c>
      <c r="K221" s="83" t="b">
        <v>0</v>
      </c>
      <c r="L221" s="83" t="b">
        <v>0</v>
      </c>
    </row>
    <row r="222" spans="1:12" ht="15">
      <c r="A222" s="84" t="s">
        <v>3082</v>
      </c>
      <c r="B222" s="83" t="s">
        <v>3083</v>
      </c>
      <c r="C222" s="83">
        <v>2</v>
      </c>
      <c r="D222" s="110">
        <v>0.007671400995640701</v>
      </c>
      <c r="E222" s="110">
        <v>2.346352974450639</v>
      </c>
      <c r="F222" s="83" t="s">
        <v>2668</v>
      </c>
      <c r="G222" s="83" t="b">
        <v>0</v>
      </c>
      <c r="H222" s="83" t="b">
        <v>1</v>
      </c>
      <c r="I222" s="83" t="b">
        <v>0</v>
      </c>
      <c r="J222" s="83" t="b">
        <v>0</v>
      </c>
      <c r="K222" s="83" t="b">
        <v>0</v>
      </c>
      <c r="L222" s="83" t="b">
        <v>0</v>
      </c>
    </row>
    <row r="223" spans="1:12" ht="15">
      <c r="A223" s="84" t="s">
        <v>3094</v>
      </c>
      <c r="B223" s="83" t="s">
        <v>3095</v>
      </c>
      <c r="C223" s="83">
        <v>2</v>
      </c>
      <c r="D223" s="110">
        <v>0.007671400995640701</v>
      </c>
      <c r="E223" s="110">
        <v>2.346352974450639</v>
      </c>
      <c r="F223" s="83" t="s">
        <v>2668</v>
      </c>
      <c r="G223" s="83" t="b">
        <v>0</v>
      </c>
      <c r="H223" s="83" t="b">
        <v>1</v>
      </c>
      <c r="I223" s="83" t="b">
        <v>0</v>
      </c>
      <c r="J223" s="83" t="b">
        <v>0</v>
      </c>
      <c r="K223" s="83" t="b">
        <v>0</v>
      </c>
      <c r="L223" s="83" t="b">
        <v>0</v>
      </c>
    </row>
    <row r="224" spans="1:12" ht="15">
      <c r="A224" s="84" t="s">
        <v>2734</v>
      </c>
      <c r="B224" s="83" t="s">
        <v>3102</v>
      </c>
      <c r="C224" s="83">
        <v>2</v>
      </c>
      <c r="D224" s="110">
        <v>0.007671400995640701</v>
      </c>
      <c r="E224" s="110">
        <v>1.568201724066995</v>
      </c>
      <c r="F224" s="83" t="s">
        <v>2668</v>
      </c>
      <c r="G224" s="83" t="b">
        <v>0</v>
      </c>
      <c r="H224" s="83" t="b">
        <v>0</v>
      </c>
      <c r="I224" s="83" t="b">
        <v>0</v>
      </c>
      <c r="J224" s="83" t="b">
        <v>0</v>
      </c>
      <c r="K224" s="83" t="b">
        <v>0</v>
      </c>
      <c r="L224" s="83" t="b">
        <v>0</v>
      </c>
    </row>
    <row r="225" spans="1:12" ht="15">
      <c r="A225" s="84" t="s">
        <v>2872</v>
      </c>
      <c r="B225" s="83" t="s">
        <v>2748</v>
      </c>
      <c r="C225" s="83">
        <v>2</v>
      </c>
      <c r="D225" s="110">
        <v>0.0065626348974308244</v>
      </c>
      <c r="E225" s="110">
        <v>2.346352974450639</v>
      </c>
      <c r="F225" s="83" t="s">
        <v>2668</v>
      </c>
      <c r="G225" s="83" t="b">
        <v>1</v>
      </c>
      <c r="H225" s="83" t="b">
        <v>0</v>
      </c>
      <c r="I225" s="83" t="b">
        <v>0</v>
      </c>
      <c r="J225" s="83" t="b">
        <v>0</v>
      </c>
      <c r="K225" s="83" t="b">
        <v>0</v>
      </c>
      <c r="L225" s="83" t="b">
        <v>0</v>
      </c>
    </row>
    <row r="226" spans="1:12" ht="15">
      <c r="A226" s="84" t="s">
        <v>2748</v>
      </c>
      <c r="B226" s="83" t="s">
        <v>2754</v>
      </c>
      <c r="C226" s="83">
        <v>2</v>
      </c>
      <c r="D226" s="110">
        <v>0.0065626348974308244</v>
      </c>
      <c r="E226" s="110">
        <v>2.346352974450639</v>
      </c>
      <c r="F226" s="83" t="s">
        <v>2668</v>
      </c>
      <c r="G226" s="83" t="b">
        <v>0</v>
      </c>
      <c r="H226" s="83" t="b">
        <v>0</v>
      </c>
      <c r="I226" s="83" t="b">
        <v>0</v>
      </c>
      <c r="J226" s="83" t="b">
        <v>1</v>
      </c>
      <c r="K226" s="83" t="b">
        <v>0</v>
      </c>
      <c r="L226" s="83" t="b">
        <v>0</v>
      </c>
    </row>
    <row r="227" spans="1:12" ht="15">
      <c r="A227" s="84" t="s">
        <v>2754</v>
      </c>
      <c r="B227" s="83" t="s">
        <v>2955</v>
      </c>
      <c r="C227" s="83">
        <v>2</v>
      </c>
      <c r="D227" s="110">
        <v>0.0065626348974308244</v>
      </c>
      <c r="E227" s="110">
        <v>2.1702617153949575</v>
      </c>
      <c r="F227" s="83" t="s">
        <v>2668</v>
      </c>
      <c r="G227" s="83" t="b">
        <v>1</v>
      </c>
      <c r="H227" s="83" t="b">
        <v>0</v>
      </c>
      <c r="I227" s="83" t="b">
        <v>0</v>
      </c>
      <c r="J227" s="83" t="b">
        <v>0</v>
      </c>
      <c r="K227" s="83" t="b">
        <v>0</v>
      </c>
      <c r="L227" s="83" t="b">
        <v>0</v>
      </c>
    </row>
    <row r="228" spans="1:12" ht="15">
      <c r="A228" s="84" t="s">
        <v>2955</v>
      </c>
      <c r="B228" s="83" t="s">
        <v>2956</v>
      </c>
      <c r="C228" s="83">
        <v>2</v>
      </c>
      <c r="D228" s="110">
        <v>0.0065626348974308244</v>
      </c>
      <c r="E228" s="110">
        <v>2.346352974450639</v>
      </c>
      <c r="F228" s="83" t="s">
        <v>2668</v>
      </c>
      <c r="G228" s="83" t="b">
        <v>0</v>
      </c>
      <c r="H228" s="83" t="b">
        <v>0</v>
      </c>
      <c r="I228" s="83" t="b">
        <v>0</v>
      </c>
      <c r="J228" s="83" t="b">
        <v>0</v>
      </c>
      <c r="K228" s="83" t="b">
        <v>0</v>
      </c>
      <c r="L228" s="83" t="b">
        <v>0</v>
      </c>
    </row>
    <row r="229" spans="1:12" ht="15">
      <c r="A229" s="84" t="s">
        <v>2956</v>
      </c>
      <c r="B229" s="83" t="s">
        <v>3105</v>
      </c>
      <c r="C229" s="83">
        <v>2</v>
      </c>
      <c r="D229" s="110">
        <v>0.0065626348974308244</v>
      </c>
      <c r="E229" s="110">
        <v>2.346352974450639</v>
      </c>
      <c r="F229" s="83" t="s">
        <v>2668</v>
      </c>
      <c r="G229" s="83" t="b">
        <v>0</v>
      </c>
      <c r="H229" s="83" t="b">
        <v>0</v>
      </c>
      <c r="I229" s="83" t="b">
        <v>0</v>
      </c>
      <c r="J229" s="83" t="b">
        <v>0</v>
      </c>
      <c r="K229" s="83" t="b">
        <v>0</v>
      </c>
      <c r="L229" s="83" t="b">
        <v>0</v>
      </c>
    </row>
    <row r="230" spans="1:12" ht="15">
      <c r="A230" s="84" t="s">
        <v>3105</v>
      </c>
      <c r="B230" s="83" t="s">
        <v>2777</v>
      </c>
      <c r="C230" s="83">
        <v>2</v>
      </c>
      <c r="D230" s="110">
        <v>0.0065626348974308244</v>
      </c>
      <c r="E230" s="110">
        <v>1.7442929831226763</v>
      </c>
      <c r="F230" s="83" t="s">
        <v>2668</v>
      </c>
      <c r="G230" s="83" t="b">
        <v>0</v>
      </c>
      <c r="H230" s="83" t="b">
        <v>0</v>
      </c>
      <c r="I230" s="83" t="b">
        <v>0</v>
      </c>
      <c r="J230" s="83" t="b">
        <v>0</v>
      </c>
      <c r="K230" s="83" t="b">
        <v>0</v>
      </c>
      <c r="L230" s="83" t="b">
        <v>0</v>
      </c>
    </row>
    <row r="231" spans="1:12" ht="15">
      <c r="A231" s="84" t="s">
        <v>2721</v>
      </c>
      <c r="B231" s="83" t="s">
        <v>2855</v>
      </c>
      <c r="C231" s="83">
        <v>5</v>
      </c>
      <c r="D231" s="110">
        <v>0.018965671090623214</v>
      </c>
      <c r="E231" s="110">
        <v>1.5573066503057407</v>
      </c>
      <c r="F231" s="83" t="s">
        <v>2669</v>
      </c>
      <c r="G231" s="83" t="b">
        <v>0</v>
      </c>
      <c r="H231" s="83" t="b">
        <v>0</v>
      </c>
      <c r="I231" s="83" t="b">
        <v>0</v>
      </c>
      <c r="J231" s="83" t="b">
        <v>0</v>
      </c>
      <c r="K231" s="83" t="b">
        <v>0</v>
      </c>
      <c r="L231" s="83" t="b">
        <v>0</v>
      </c>
    </row>
    <row r="232" spans="1:12" ht="15">
      <c r="A232" s="84" t="s">
        <v>2721</v>
      </c>
      <c r="B232" s="83" t="s">
        <v>2915</v>
      </c>
      <c r="C232" s="83">
        <v>4</v>
      </c>
      <c r="D232" s="110">
        <v>0.01517253687249857</v>
      </c>
      <c r="E232" s="110">
        <v>1.5573066503057407</v>
      </c>
      <c r="F232" s="83" t="s">
        <v>2669</v>
      </c>
      <c r="G232" s="83" t="b">
        <v>0</v>
      </c>
      <c r="H232" s="83" t="b">
        <v>0</v>
      </c>
      <c r="I232" s="83" t="b">
        <v>0</v>
      </c>
      <c r="J232" s="83" t="b">
        <v>0</v>
      </c>
      <c r="K232" s="83" t="b">
        <v>0</v>
      </c>
      <c r="L232" s="83" t="b">
        <v>0</v>
      </c>
    </row>
    <row r="233" spans="1:12" ht="15">
      <c r="A233" s="84" t="s">
        <v>2721</v>
      </c>
      <c r="B233" s="83" t="s">
        <v>3053</v>
      </c>
      <c r="C233" s="83">
        <v>3</v>
      </c>
      <c r="D233" s="110">
        <v>0.009608637973997566</v>
      </c>
      <c r="E233" s="110">
        <v>1.5573066503057407</v>
      </c>
      <c r="F233" s="83" t="s">
        <v>2669</v>
      </c>
      <c r="G233" s="83" t="b">
        <v>0</v>
      </c>
      <c r="H233" s="83" t="b">
        <v>0</v>
      </c>
      <c r="I233" s="83" t="b">
        <v>0</v>
      </c>
      <c r="J233" s="83" t="b">
        <v>0</v>
      </c>
      <c r="K233" s="83" t="b">
        <v>0</v>
      </c>
      <c r="L233" s="83" t="b">
        <v>0</v>
      </c>
    </row>
    <row r="234" spans="1:12" ht="15">
      <c r="A234" s="84" t="s">
        <v>2961</v>
      </c>
      <c r="B234" s="83" t="s">
        <v>2717</v>
      </c>
      <c r="C234" s="83">
        <v>2</v>
      </c>
      <c r="D234" s="110">
        <v>0.007586268436249285</v>
      </c>
      <c r="E234" s="110">
        <v>1.733397909361422</v>
      </c>
      <c r="F234" s="83" t="s">
        <v>2669</v>
      </c>
      <c r="G234" s="83" t="b">
        <v>0</v>
      </c>
      <c r="H234" s="83" t="b">
        <v>0</v>
      </c>
      <c r="I234" s="83" t="b">
        <v>0</v>
      </c>
      <c r="J234" s="83" t="b">
        <v>0</v>
      </c>
      <c r="K234" s="83" t="b">
        <v>0</v>
      </c>
      <c r="L234" s="83" t="b">
        <v>0</v>
      </c>
    </row>
    <row r="235" spans="1:12" ht="15">
      <c r="A235" s="84" t="s">
        <v>2729</v>
      </c>
      <c r="B235" s="83" t="s">
        <v>2914</v>
      </c>
      <c r="C235" s="83">
        <v>2</v>
      </c>
      <c r="D235" s="110">
        <v>0.007586268436249285</v>
      </c>
      <c r="E235" s="110">
        <v>1.3812153912500593</v>
      </c>
      <c r="F235" s="83" t="s">
        <v>2669</v>
      </c>
      <c r="G235" s="83" t="b">
        <v>1</v>
      </c>
      <c r="H235" s="83" t="b">
        <v>0</v>
      </c>
      <c r="I235" s="83" t="b">
        <v>0</v>
      </c>
      <c r="J235" s="83" t="b">
        <v>0</v>
      </c>
      <c r="K235" s="83" t="b">
        <v>0</v>
      </c>
      <c r="L235" s="83" t="b">
        <v>0</v>
      </c>
    </row>
    <row r="236" spans="1:12" ht="15">
      <c r="A236" s="84" t="s">
        <v>2735</v>
      </c>
      <c r="B236" s="83" t="s">
        <v>1421</v>
      </c>
      <c r="C236" s="83">
        <v>2</v>
      </c>
      <c r="D236" s="110">
        <v>0.006405758649331712</v>
      </c>
      <c r="E236" s="110">
        <v>1.6364878963533653</v>
      </c>
      <c r="F236" s="83" t="s">
        <v>2669</v>
      </c>
      <c r="G236" s="83" t="b">
        <v>0</v>
      </c>
      <c r="H236" s="83" t="b">
        <v>0</v>
      </c>
      <c r="I236" s="83" t="b">
        <v>0</v>
      </c>
      <c r="J236" s="83" t="b">
        <v>1</v>
      </c>
      <c r="K236" s="83" t="b">
        <v>0</v>
      </c>
      <c r="L236" s="83" t="b">
        <v>0</v>
      </c>
    </row>
    <row r="237" spans="1:12" ht="15">
      <c r="A237" s="84" t="s">
        <v>1421</v>
      </c>
      <c r="B237" s="83" t="s">
        <v>2793</v>
      </c>
      <c r="C237" s="83">
        <v>2</v>
      </c>
      <c r="D237" s="110">
        <v>0.006405758649331712</v>
      </c>
      <c r="E237" s="110">
        <v>1.4603966372976842</v>
      </c>
      <c r="F237" s="83" t="s">
        <v>2669</v>
      </c>
      <c r="G237" s="83" t="b">
        <v>1</v>
      </c>
      <c r="H237" s="83" t="b">
        <v>0</v>
      </c>
      <c r="I237" s="83" t="b">
        <v>0</v>
      </c>
      <c r="J237" s="83" t="b">
        <v>0</v>
      </c>
      <c r="K237" s="83" t="b">
        <v>0</v>
      </c>
      <c r="L237" s="83" t="b">
        <v>0</v>
      </c>
    </row>
    <row r="238" spans="1:12" ht="15">
      <c r="A238" s="84" t="s">
        <v>2753</v>
      </c>
      <c r="B238" s="83" t="s">
        <v>2753</v>
      </c>
      <c r="C238" s="83">
        <v>2</v>
      </c>
      <c r="D238" s="110">
        <v>0.006405758649331712</v>
      </c>
      <c r="E238" s="110">
        <v>1.733397909361422</v>
      </c>
      <c r="F238" s="83" t="s">
        <v>2669</v>
      </c>
      <c r="G238" s="83" t="b">
        <v>0</v>
      </c>
      <c r="H238" s="83" t="b">
        <v>0</v>
      </c>
      <c r="I238" s="83" t="b">
        <v>0</v>
      </c>
      <c r="J238" s="83" t="b">
        <v>0</v>
      </c>
      <c r="K238" s="83" t="b">
        <v>0</v>
      </c>
      <c r="L238" s="83" t="b">
        <v>0</v>
      </c>
    </row>
    <row r="239" spans="1:12" ht="15">
      <c r="A239" s="84" t="s">
        <v>2753</v>
      </c>
      <c r="B239" s="83" t="s">
        <v>2774</v>
      </c>
      <c r="C239" s="83">
        <v>2</v>
      </c>
      <c r="D239" s="110">
        <v>0.006405758649331712</v>
      </c>
      <c r="E239" s="110">
        <v>1.733397909361422</v>
      </c>
      <c r="F239" s="83" t="s">
        <v>2669</v>
      </c>
      <c r="G239" s="83" t="b">
        <v>0</v>
      </c>
      <c r="H239" s="83" t="b">
        <v>0</v>
      </c>
      <c r="I239" s="83" t="b">
        <v>0</v>
      </c>
      <c r="J239" s="83" t="b">
        <v>0</v>
      </c>
      <c r="K239" s="83" t="b">
        <v>0</v>
      </c>
      <c r="L239" s="83" t="b">
        <v>0</v>
      </c>
    </row>
    <row r="240" spans="1:12" ht="15">
      <c r="A240" s="84" t="s">
        <v>2780</v>
      </c>
      <c r="B240" s="83" t="s">
        <v>2721</v>
      </c>
      <c r="C240" s="83">
        <v>2</v>
      </c>
      <c r="D240" s="110">
        <v>0.007586268436249285</v>
      </c>
      <c r="E240" s="110">
        <v>1.6364878963533653</v>
      </c>
      <c r="F240" s="83" t="s">
        <v>2669</v>
      </c>
      <c r="G240" s="83" t="b">
        <v>0</v>
      </c>
      <c r="H240" s="83" t="b">
        <v>0</v>
      </c>
      <c r="I240" s="83" t="b">
        <v>0</v>
      </c>
      <c r="J240" s="83" t="b">
        <v>0</v>
      </c>
      <c r="K240" s="83" t="b">
        <v>0</v>
      </c>
      <c r="L240" s="83" t="b">
        <v>0</v>
      </c>
    </row>
    <row r="241" spans="1:12" ht="15">
      <c r="A241" s="84" t="s">
        <v>2855</v>
      </c>
      <c r="B241" s="83" t="s">
        <v>3333</v>
      </c>
      <c r="C241" s="83">
        <v>2</v>
      </c>
      <c r="D241" s="110">
        <v>0.007586268436249285</v>
      </c>
      <c r="E241" s="110">
        <v>1.9375178920173466</v>
      </c>
      <c r="F241" s="83" t="s">
        <v>2669</v>
      </c>
      <c r="G241" s="83" t="b">
        <v>0</v>
      </c>
      <c r="H241" s="83" t="b">
        <v>0</v>
      </c>
      <c r="I241" s="83" t="b">
        <v>0</v>
      </c>
      <c r="J241" s="83" t="b">
        <v>0</v>
      </c>
      <c r="K241" s="83" t="b">
        <v>0</v>
      </c>
      <c r="L241" s="83" t="b">
        <v>0</v>
      </c>
    </row>
    <row r="242" spans="1:12" ht="15">
      <c r="A242" s="84" t="s">
        <v>2793</v>
      </c>
      <c r="B242" s="83" t="s">
        <v>2724</v>
      </c>
      <c r="C242" s="83">
        <v>2</v>
      </c>
      <c r="D242" s="110">
        <v>0.006405758649331712</v>
      </c>
      <c r="E242" s="110">
        <v>1.7614266329616655</v>
      </c>
      <c r="F242" s="83" t="s">
        <v>2669</v>
      </c>
      <c r="G242" s="83" t="b">
        <v>0</v>
      </c>
      <c r="H242" s="83" t="b">
        <v>0</v>
      </c>
      <c r="I242" s="83" t="b">
        <v>0</v>
      </c>
      <c r="J242" s="83" t="b">
        <v>0</v>
      </c>
      <c r="K242" s="83" t="b">
        <v>0</v>
      </c>
      <c r="L242" s="83" t="b">
        <v>0</v>
      </c>
    </row>
    <row r="243" spans="1:12" ht="15">
      <c r="A243" s="84" t="s">
        <v>2724</v>
      </c>
      <c r="B243" s="83" t="s">
        <v>2722</v>
      </c>
      <c r="C243" s="83">
        <v>2</v>
      </c>
      <c r="D243" s="110">
        <v>0.006405758649331712</v>
      </c>
      <c r="E243" s="110">
        <v>1.3354579006893843</v>
      </c>
      <c r="F243" s="83" t="s">
        <v>2669</v>
      </c>
      <c r="G243" s="83" t="b">
        <v>0</v>
      </c>
      <c r="H243" s="83" t="b">
        <v>0</v>
      </c>
      <c r="I243" s="83" t="b">
        <v>0</v>
      </c>
      <c r="J243" s="83" t="b">
        <v>0</v>
      </c>
      <c r="K243" s="83" t="b">
        <v>0</v>
      </c>
      <c r="L243" s="83" t="b">
        <v>0</v>
      </c>
    </row>
    <row r="244" spans="1:12" ht="15">
      <c r="A244" s="84" t="s">
        <v>2729</v>
      </c>
      <c r="B244" s="83" t="s">
        <v>2815</v>
      </c>
      <c r="C244" s="83">
        <v>2</v>
      </c>
      <c r="D244" s="110">
        <v>0.007586268436249285</v>
      </c>
      <c r="E244" s="110">
        <v>1.5061541278583594</v>
      </c>
      <c r="F244" s="83" t="s">
        <v>2669</v>
      </c>
      <c r="G244" s="83" t="b">
        <v>1</v>
      </c>
      <c r="H244" s="83" t="b">
        <v>0</v>
      </c>
      <c r="I244" s="83" t="b">
        <v>0</v>
      </c>
      <c r="J244" s="83" t="b">
        <v>0</v>
      </c>
      <c r="K244" s="83" t="b">
        <v>0</v>
      </c>
      <c r="L244" s="83" t="b">
        <v>0</v>
      </c>
    </row>
    <row r="245" spans="1:12" ht="15">
      <c r="A245" s="84" t="s">
        <v>2815</v>
      </c>
      <c r="B245" s="83" t="s">
        <v>2730</v>
      </c>
      <c r="C245" s="83">
        <v>2</v>
      </c>
      <c r="D245" s="110">
        <v>0.007586268436249285</v>
      </c>
      <c r="E245" s="110">
        <v>1.7614266329616655</v>
      </c>
      <c r="F245" s="83" t="s">
        <v>2669</v>
      </c>
      <c r="G245" s="83" t="b">
        <v>0</v>
      </c>
      <c r="H245" s="83" t="b">
        <v>0</v>
      </c>
      <c r="I245" s="83" t="b">
        <v>0</v>
      </c>
      <c r="J245" s="83" t="b">
        <v>0</v>
      </c>
      <c r="K245" s="83" t="b">
        <v>1</v>
      </c>
      <c r="L245" s="83" t="b">
        <v>0</v>
      </c>
    </row>
    <row r="246" spans="1:12" ht="15">
      <c r="A246" s="84" t="s">
        <v>2730</v>
      </c>
      <c r="B246" s="83" t="s">
        <v>2722</v>
      </c>
      <c r="C246" s="83">
        <v>2</v>
      </c>
      <c r="D246" s="110">
        <v>0.007586268436249285</v>
      </c>
      <c r="E246" s="110">
        <v>1.3354579006893843</v>
      </c>
      <c r="F246" s="83" t="s">
        <v>2669</v>
      </c>
      <c r="G246" s="83" t="b">
        <v>0</v>
      </c>
      <c r="H246" s="83" t="b">
        <v>1</v>
      </c>
      <c r="I246" s="83" t="b">
        <v>0</v>
      </c>
      <c r="J246" s="83" t="b">
        <v>0</v>
      </c>
      <c r="K246" s="83" t="b">
        <v>0</v>
      </c>
      <c r="L246" s="83" t="b">
        <v>0</v>
      </c>
    </row>
    <row r="247" spans="1:12" ht="15">
      <c r="A247" s="84" t="s">
        <v>3052</v>
      </c>
      <c r="B247" s="83" t="s">
        <v>2721</v>
      </c>
      <c r="C247" s="83">
        <v>2</v>
      </c>
      <c r="D247" s="110">
        <v>0.007586268436249285</v>
      </c>
      <c r="E247" s="110">
        <v>1.4603966372976842</v>
      </c>
      <c r="F247" s="83" t="s">
        <v>2669</v>
      </c>
      <c r="G247" s="83" t="b">
        <v>0</v>
      </c>
      <c r="H247" s="83" t="b">
        <v>0</v>
      </c>
      <c r="I247" s="83" t="b">
        <v>0</v>
      </c>
      <c r="J247" s="83" t="b">
        <v>0</v>
      </c>
      <c r="K247" s="83" t="b">
        <v>0</v>
      </c>
      <c r="L247" s="83" t="b">
        <v>0</v>
      </c>
    </row>
    <row r="248" spans="1:12" ht="15">
      <c r="A248" s="84" t="s">
        <v>2737</v>
      </c>
      <c r="B248" s="83" t="s">
        <v>3336</v>
      </c>
      <c r="C248" s="83">
        <v>2</v>
      </c>
      <c r="D248" s="110">
        <v>0.007586268436249285</v>
      </c>
      <c r="E248" s="110">
        <v>2.034427905025403</v>
      </c>
      <c r="F248" s="83" t="s">
        <v>2669</v>
      </c>
      <c r="G248" s="83" t="b">
        <v>0</v>
      </c>
      <c r="H248" s="83" t="b">
        <v>0</v>
      </c>
      <c r="I248" s="83" t="b">
        <v>0</v>
      </c>
      <c r="J248" s="83" t="b">
        <v>0</v>
      </c>
      <c r="K248" s="83" t="b">
        <v>0</v>
      </c>
      <c r="L248" s="83" t="b">
        <v>0</v>
      </c>
    </row>
    <row r="249" spans="1:12" ht="15">
      <c r="A249" s="84" t="s">
        <v>2724</v>
      </c>
      <c r="B249" s="83" t="s">
        <v>2717</v>
      </c>
      <c r="C249" s="83">
        <v>2</v>
      </c>
      <c r="D249" s="110">
        <v>0.006405758649331712</v>
      </c>
      <c r="E249" s="110">
        <v>1.3354579006893843</v>
      </c>
      <c r="F249" s="83" t="s">
        <v>2669</v>
      </c>
      <c r="G249" s="83" t="b">
        <v>0</v>
      </c>
      <c r="H249" s="83" t="b">
        <v>0</v>
      </c>
      <c r="I249" s="83" t="b">
        <v>0</v>
      </c>
      <c r="J249" s="83" t="b">
        <v>0</v>
      </c>
      <c r="K249" s="83" t="b">
        <v>0</v>
      </c>
      <c r="L249" s="83" t="b">
        <v>0</v>
      </c>
    </row>
    <row r="250" spans="1:12" ht="15">
      <c r="A250" s="84" t="s">
        <v>1110</v>
      </c>
      <c r="B250" s="83" t="s">
        <v>2793</v>
      </c>
      <c r="C250" s="83">
        <v>2</v>
      </c>
      <c r="D250" s="110">
        <v>0.006405758649331712</v>
      </c>
      <c r="E250" s="110">
        <v>1.9375178920173466</v>
      </c>
      <c r="F250" s="83" t="s">
        <v>2669</v>
      </c>
      <c r="G250" s="83" t="b">
        <v>1</v>
      </c>
      <c r="H250" s="83" t="b">
        <v>0</v>
      </c>
      <c r="I250" s="83" t="b">
        <v>0</v>
      </c>
      <c r="J250" s="83" t="b">
        <v>0</v>
      </c>
      <c r="K250" s="83" t="b">
        <v>0</v>
      </c>
      <c r="L250" s="83" t="b">
        <v>0</v>
      </c>
    </row>
    <row r="251" spans="1:12" ht="15">
      <c r="A251" s="84" t="s">
        <v>1421</v>
      </c>
      <c r="B251" s="83" t="s">
        <v>2779</v>
      </c>
      <c r="C251" s="83">
        <v>2</v>
      </c>
      <c r="D251" s="110">
        <v>0.006405758649331712</v>
      </c>
      <c r="E251" s="110">
        <v>1.5573066503057407</v>
      </c>
      <c r="F251" s="83" t="s">
        <v>2669</v>
      </c>
      <c r="G251" s="83" t="b">
        <v>1</v>
      </c>
      <c r="H251" s="83" t="b">
        <v>0</v>
      </c>
      <c r="I251" s="83" t="b">
        <v>0</v>
      </c>
      <c r="J251" s="83" t="b">
        <v>0</v>
      </c>
      <c r="K251" s="83" t="b">
        <v>0</v>
      </c>
      <c r="L251" s="83" t="b">
        <v>0</v>
      </c>
    </row>
    <row r="252" spans="1:12" ht="15">
      <c r="A252" s="84" t="s">
        <v>2740</v>
      </c>
      <c r="B252" s="83" t="s">
        <v>2781</v>
      </c>
      <c r="C252" s="83">
        <v>2</v>
      </c>
      <c r="D252" s="110">
        <v>0.006405758649331712</v>
      </c>
      <c r="E252" s="110">
        <v>2.3354579006893843</v>
      </c>
      <c r="F252" s="83" t="s">
        <v>2669</v>
      </c>
      <c r="G252" s="83" t="b">
        <v>0</v>
      </c>
      <c r="H252" s="83" t="b">
        <v>0</v>
      </c>
      <c r="I252" s="83" t="b">
        <v>0</v>
      </c>
      <c r="J252" s="83" t="b">
        <v>0</v>
      </c>
      <c r="K252" s="83" t="b">
        <v>0</v>
      </c>
      <c r="L252" s="83" t="b">
        <v>0</v>
      </c>
    </row>
    <row r="253" spans="1:12" ht="15">
      <c r="A253" s="84" t="s">
        <v>2978</v>
      </c>
      <c r="B253" s="83" t="s">
        <v>2745</v>
      </c>
      <c r="C253" s="83">
        <v>2</v>
      </c>
      <c r="D253" s="110">
        <v>0.006405758649331712</v>
      </c>
      <c r="E253" s="110">
        <v>2.159366641633703</v>
      </c>
      <c r="F253" s="83" t="s">
        <v>2669</v>
      </c>
      <c r="G253" s="83" t="b">
        <v>0</v>
      </c>
      <c r="H253" s="83" t="b">
        <v>0</v>
      </c>
      <c r="I253" s="83" t="b">
        <v>0</v>
      </c>
      <c r="J253" s="83" t="b">
        <v>0</v>
      </c>
      <c r="K253" s="83" t="b">
        <v>0</v>
      </c>
      <c r="L253" s="83" t="b">
        <v>0</v>
      </c>
    </row>
    <row r="254" spans="1:12" ht="15">
      <c r="A254" s="84" t="s">
        <v>2745</v>
      </c>
      <c r="B254" s="83" t="s">
        <v>3341</v>
      </c>
      <c r="C254" s="83">
        <v>2</v>
      </c>
      <c r="D254" s="110">
        <v>0.006405758649331712</v>
      </c>
      <c r="E254" s="110">
        <v>2.159366641633703</v>
      </c>
      <c r="F254" s="83" t="s">
        <v>2669</v>
      </c>
      <c r="G254" s="83" t="b">
        <v>0</v>
      </c>
      <c r="H254" s="83" t="b">
        <v>0</v>
      </c>
      <c r="I254" s="83" t="b">
        <v>0</v>
      </c>
      <c r="J254" s="83" t="b">
        <v>0</v>
      </c>
      <c r="K254" s="83" t="b">
        <v>0</v>
      </c>
      <c r="L254" s="83" t="b">
        <v>0</v>
      </c>
    </row>
    <row r="255" spans="1:12" ht="15">
      <c r="A255" s="84" t="s">
        <v>3342</v>
      </c>
      <c r="B255" s="83" t="s">
        <v>3343</v>
      </c>
      <c r="C255" s="83">
        <v>2</v>
      </c>
      <c r="D255" s="110">
        <v>0.006405758649331712</v>
      </c>
      <c r="E255" s="110">
        <v>2.3354579006893843</v>
      </c>
      <c r="F255" s="83" t="s">
        <v>2669</v>
      </c>
      <c r="G255" s="83" t="b">
        <v>0</v>
      </c>
      <c r="H255" s="83" t="b">
        <v>0</v>
      </c>
      <c r="I255" s="83" t="b">
        <v>0</v>
      </c>
      <c r="J255" s="83" t="b">
        <v>0</v>
      </c>
      <c r="K255" s="83" t="b">
        <v>0</v>
      </c>
      <c r="L255" s="83" t="b">
        <v>0</v>
      </c>
    </row>
    <row r="256" spans="1:12" ht="15">
      <c r="A256" s="84" t="s">
        <v>3345</v>
      </c>
      <c r="B256" s="83" t="s">
        <v>3022</v>
      </c>
      <c r="C256" s="83">
        <v>2</v>
      </c>
      <c r="D256" s="110">
        <v>0.007586268436249285</v>
      </c>
      <c r="E256" s="110">
        <v>2.3354579006893843</v>
      </c>
      <c r="F256" s="83" t="s">
        <v>2669</v>
      </c>
      <c r="G256" s="83" t="b">
        <v>0</v>
      </c>
      <c r="H256" s="83" t="b">
        <v>0</v>
      </c>
      <c r="I256" s="83" t="b">
        <v>0</v>
      </c>
      <c r="J256" s="83" t="b">
        <v>0</v>
      </c>
      <c r="K256" s="83" t="b">
        <v>0</v>
      </c>
      <c r="L256" s="83" t="b">
        <v>0</v>
      </c>
    </row>
    <row r="257" spans="1:12" ht="15">
      <c r="A257" s="84" t="s">
        <v>3022</v>
      </c>
      <c r="B257" s="83" t="s">
        <v>3346</v>
      </c>
      <c r="C257" s="83">
        <v>2</v>
      </c>
      <c r="D257" s="110">
        <v>0.007586268436249285</v>
      </c>
      <c r="E257" s="110">
        <v>2.3354579006893843</v>
      </c>
      <c r="F257" s="83" t="s">
        <v>2669</v>
      </c>
      <c r="G257" s="83" t="b">
        <v>0</v>
      </c>
      <c r="H257" s="83" t="b">
        <v>0</v>
      </c>
      <c r="I257" s="83" t="b">
        <v>0</v>
      </c>
      <c r="J257" s="83" t="b">
        <v>0</v>
      </c>
      <c r="K257" s="83" t="b">
        <v>0</v>
      </c>
      <c r="L257" s="83" t="b">
        <v>0</v>
      </c>
    </row>
    <row r="258" spans="1:12" ht="15">
      <c r="A258" s="84" t="s">
        <v>2827</v>
      </c>
      <c r="B258" s="83" t="s">
        <v>2828</v>
      </c>
      <c r="C258" s="83">
        <v>6</v>
      </c>
      <c r="D258" s="110">
        <v>0.026451815514895366</v>
      </c>
      <c r="E258" s="110">
        <v>1.4913616938342726</v>
      </c>
      <c r="F258" s="83" t="s">
        <v>2670</v>
      </c>
      <c r="G258" s="83" t="b">
        <v>0</v>
      </c>
      <c r="H258" s="83" t="b">
        <v>0</v>
      </c>
      <c r="I258" s="83" t="b">
        <v>0</v>
      </c>
      <c r="J258" s="83" t="b">
        <v>0</v>
      </c>
      <c r="K258" s="83" t="b">
        <v>0</v>
      </c>
      <c r="L258" s="83" t="b">
        <v>0</v>
      </c>
    </row>
    <row r="259" spans="1:12" ht="15">
      <c r="A259" s="84" t="s">
        <v>2756</v>
      </c>
      <c r="B259" s="83" t="s">
        <v>2796</v>
      </c>
      <c r="C259" s="83">
        <v>5</v>
      </c>
      <c r="D259" s="110">
        <v>0.023509498966998447</v>
      </c>
      <c r="E259" s="110">
        <v>1.4913616938342726</v>
      </c>
      <c r="F259" s="83" t="s">
        <v>2670</v>
      </c>
      <c r="G259" s="83" t="b">
        <v>0</v>
      </c>
      <c r="H259" s="83" t="b">
        <v>0</v>
      </c>
      <c r="I259" s="83" t="b">
        <v>0</v>
      </c>
      <c r="J259" s="83" t="b">
        <v>0</v>
      </c>
      <c r="K259" s="83" t="b">
        <v>0</v>
      </c>
      <c r="L259" s="83" t="b">
        <v>0</v>
      </c>
    </row>
    <row r="260" spans="1:12" ht="15">
      <c r="A260" s="84" t="s">
        <v>2853</v>
      </c>
      <c r="B260" s="83" t="s">
        <v>2854</v>
      </c>
      <c r="C260" s="83">
        <v>5</v>
      </c>
      <c r="D260" s="110">
        <v>0.023509498966998447</v>
      </c>
      <c r="E260" s="110">
        <v>1.5705429398818975</v>
      </c>
      <c r="F260" s="83" t="s">
        <v>2670</v>
      </c>
      <c r="G260" s="83" t="b">
        <v>0</v>
      </c>
      <c r="H260" s="83" t="b">
        <v>0</v>
      </c>
      <c r="I260" s="83" t="b">
        <v>0</v>
      </c>
      <c r="J260" s="83" t="b">
        <v>0</v>
      </c>
      <c r="K260" s="83" t="b">
        <v>0</v>
      </c>
      <c r="L260" s="83" t="b">
        <v>0</v>
      </c>
    </row>
    <row r="261" spans="1:12" ht="15">
      <c r="A261" s="84" t="s">
        <v>2831</v>
      </c>
      <c r="B261" s="83" t="s">
        <v>2797</v>
      </c>
      <c r="C261" s="83">
        <v>2</v>
      </c>
      <c r="D261" s="110">
        <v>0.0123515033547404</v>
      </c>
      <c r="E261" s="110">
        <v>1.968482948553935</v>
      </c>
      <c r="F261" s="83" t="s">
        <v>2670</v>
      </c>
      <c r="G261" s="83" t="b">
        <v>1</v>
      </c>
      <c r="H261" s="83" t="b">
        <v>0</v>
      </c>
      <c r="I261" s="83" t="b">
        <v>0</v>
      </c>
      <c r="J261" s="83" t="b">
        <v>0</v>
      </c>
      <c r="K261" s="83" t="b">
        <v>0</v>
      </c>
      <c r="L261" s="83" t="b">
        <v>0</v>
      </c>
    </row>
    <row r="262" spans="1:12" ht="15">
      <c r="A262" s="84" t="s">
        <v>2797</v>
      </c>
      <c r="B262" s="83" t="s">
        <v>3112</v>
      </c>
      <c r="C262" s="83">
        <v>2</v>
      </c>
      <c r="D262" s="110">
        <v>0.0123515033547404</v>
      </c>
      <c r="E262" s="110">
        <v>1.968482948553935</v>
      </c>
      <c r="F262" s="83" t="s">
        <v>2670</v>
      </c>
      <c r="G262" s="83" t="b">
        <v>0</v>
      </c>
      <c r="H262" s="83" t="b">
        <v>0</v>
      </c>
      <c r="I262" s="83" t="b">
        <v>0</v>
      </c>
      <c r="J262" s="83" t="b">
        <v>0</v>
      </c>
      <c r="K262" s="83" t="b">
        <v>0</v>
      </c>
      <c r="L262" s="83" t="b">
        <v>0</v>
      </c>
    </row>
    <row r="263" spans="1:12" ht="15">
      <c r="A263" s="84" t="s">
        <v>3112</v>
      </c>
      <c r="B263" s="83" t="s">
        <v>2810</v>
      </c>
      <c r="C263" s="83">
        <v>2</v>
      </c>
      <c r="D263" s="110">
        <v>0.0123515033547404</v>
      </c>
      <c r="E263" s="110">
        <v>1.968482948553935</v>
      </c>
      <c r="F263" s="83" t="s">
        <v>2670</v>
      </c>
      <c r="G263" s="83" t="b">
        <v>0</v>
      </c>
      <c r="H263" s="83" t="b">
        <v>0</v>
      </c>
      <c r="I263" s="83" t="b">
        <v>0</v>
      </c>
      <c r="J263" s="83" t="b">
        <v>1</v>
      </c>
      <c r="K263" s="83" t="b">
        <v>0</v>
      </c>
      <c r="L263" s="83" t="b">
        <v>0</v>
      </c>
    </row>
    <row r="264" spans="1:12" ht="15">
      <c r="A264" s="84" t="s">
        <v>2810</v>
      </c>
      <c r="B264" s="83" t="s">
        <v>3113</v>
      </c>
      <c r="C264" s="83">
        <v>2</v>
      </c>
      <c r="D264" s="110">
        <v>0.0123515033547404</v>
      </c>
      <c r="E264" s="110">
        <v>1.968482948553935</v>
      </c>
      <c r="F264" s="83" t="s">
        <v>2670</v>
      </c>
      <c r="G264" s="83" t="b">
        <v>1</v>
      </c>
      <c r="H264" s="83" t="b">
        <v>0</v>
      </c>
      <c r="I264" s="83" t="b">
        <v>0</v>
      </c>
      <c r="J264" s="83" t="b">
        <v>0</v>
      </c>
      <c r="K264" s="83" t="b">
        <v>0</v>
      </c>
      <c r="L264" s="83" t="b">
        <v>0</v>
      </c>
    </row>
    <row r="265" spans="1:12" ht="15">
      <c r="A265" s="84" t="s">
        <v>3113</v>
      </c>
      <c r="B265" s="83" t="s">
        <v>2735</v>
      </c>
      <c r="C265" s="83">
        <v>2</v>
      </c>
      <c r="D265" s="110">
        <v>0.0123515033547404</v>
      </c>
      <c r="E265" s="110">
        <v>1.792391689498254</v>
      </c>
      <c r="F265" s="83" t="s">
        <v>2670</v>
      </c>
      <c r="G265" s="83" t="b">
        <v>0</v>
      </c>
      <c r="H265" s="83" t="b">
        <v>0</v>
      </c>
      <c r="I265" s="83" t="b">
        <v>0</v>
      </c>
      <c r="J265" s="83" t="b">
        <v>0</v>
      </c>
      <c r="K265" s="83" t="b">
        <v>0</v>
      </c>
      <c r="L265" s="83" t="b">
        <v>0</v>
      </c>
    </row>
    <row r="266" spans="1:12" ht="15">
      <c r="A266" s="84" t="s">
        <v>2735</v>
      </c>
      <c r="B266" s="83" t="s">
        <v>2960</v>
      </c>
      <c r="C266" s="83">
        <v>2</v>
      </c>
      <c r="D266" s="110">
        <v>0.0123515033547404</v>
      </c>
      <c r="E266" s="110">
        <v>1.792391689498254</v>
      </c>
      <c r="F266" s="83" t="s">
        <v>2670</v>
      </c>
      <c r="G266" s="83" t="b">
        <v>0</v>
      </c>
      <c r="H266" s="83" t="b">
        <v>0</v>
      </c>
      <c r="I266" s="83" t="b">
        <v>0</v>
      </c>
      <c r="J266" s="83" t="b">
        <v>0</v>
      </c>
      <c r="K266" s="83" t="b">
        <v>0</v>
      </c>
      <c r="L266" s="83" t="b">
        <v>0</v>
      </c>
    </row>
    <row r="267" spans="1:12" ht="15">
      <c r="A267" s="84" t="s">
        <v>2960</v>
      </c>
      <c r="B267" s="83" t="s">
        <v>2795</v>
      </c>
      <c r="C267" s="83">
        <v>2</v>
      </c>
      <c r="D267" s="110">
        <v>0.0123515033547404</v>
      </c>
      <c r="E267" s="110">
        <v>1.968482948553935</v>
      </c>
      <c r="F267" s="83" t="s">
        <v>2670</v>
      </c>
      <c r="G267" s="83" t="b">
        <v>0</v>
      </c>
      <c r="H267" s="83" t="b">
        <v>0</v>
      </c>
      <c r="I267" s="83" t="b">
        <v>0</v>
      </c>
      <c r="J267" s="83" t="b">
        <v>0</v>
      </c>
      <c r="K267" s="83" t="b">
        <v>0</v>
      </c>
      <c r="L267" s="83" t="b">
        <v>0</v>
      </c>
    </row>
    <row r="268" spans="1:12" ht="15">
      <c r="A268" s="84" t="s">
        <v>2795</v>
      </c>
      <c r="B268" s="83" t="s">
        <v>2778</v>
      </c>
      <c r="C268" s="83">
        <v>2</v>
      </c>
      <c r="D268" s="110">
        <v>0.0123515033547404</v>
      </c>
      <c r="E268" s="110">
        <v>1.968482948553935</v>
      </c>
      <c r="F268" s="83" t="s">
        <v>2670</v>
      </c>
      <c r="G268" s="83" t="b">
        <v>0</v>
      </c>
      <c r="H268" s="83" t="b">
        <v>0</v>
      </c>
      <c r="I268" s="83" t="b">
        <v>0</v>
      </c>
      <c r="J268" s="83" t="b">
        <v>0</v>
      </c>
      <c r="K268" s="83" t="b">
        <v>0</v>
      </c>
      <c r="L268" s="83" t="b">
        <v>0</v>
      </c>
    </row>
    <row r="269" spans="1:12" ht="15">
      <c r="A269" s="84" t="s">
        <v>2778</v>
      </c>
      <c r="B269" s="83" t="s">
        <v>2818</v>
      </c>
      <c r="C269" s="83">
        <v>2</v>
      </c>
      <c r="D269" s="110">
        <v>0.0123515033547404</v>
      </c>
      <c r="E269" s="110">
        <v>1.968482948553935</v>
      </c>
      <c r="F269" s="83" t="s">
        <v>2670</v>
      </c>
      <c r="G269" s="83" t="b">
        <v>0</v>
      </c>
      <c r="H269" s="83" t="b">
        <v>0</v>
      </c>
      <c r="I269" s="83" t="b">
        <v>0</v>
      </c>
      <c r="J269" s="83" t="b">
        <v>0</v>
      </c>
      <c r="K269" s="83" t="b">
        <v>0</v>
      </c>
      <c r="L269" s="83" t="b">
        <v>0</v>
      </c>
    </row>
    <row r="270" spans="1:12" ht="15">
      <c r="A270" s="84" t="s">
        <v>2876</v>
      </c>
      <c r="B270" s="83" t="s">
        <v>3307</v>
      </c>
      <c r="C270" s="83">
        <v>2</v>
      </c>
      <c r="D270" s="110">
        <v>0.0123515033547404</v>
      </c>
      <c r="E270" s="110">
        <v>1.968482948553935</v>
      </c>
      <c r="F270" s="83" t="s">
        <v>2670</v>
      </c>
      <c r="G270" s="83" t="b">
        <v>1</v>
      </c>
      <c r="H270" s="83" t="b">
        <v>0</v>
      </c>
      <c r="I270" s="83" t="b">
        <v>0</v>
      </c>
      <c r="J270" s="83" t="b">
        <v>0</v>
      </c>
      <c r="K270" s="83" t="b">
        <v>0</v>
      </c>
      <c r="L270" s="83" t="b">
        <v>0</v>
      </c>
    </row>
    <row r="271" spans="1:12" ht="15">
      <c r="A271" s="84" t="s">
        <v>2718</v>
      </c>
      <c r="B271" s="83" t="s">
        <v>2731</v>
      </c>
      <c r="C271" s="83">
        <v>2</v>
      </c>
      <c r="D271" s="110">
        <v>0.0123515033547404</v>
      </c>
      <c r="E271" s="110">
        <v>1.2695129442179163</v>
      </c>
      <c r="F271" s="83" t="s">
        <v>2670</v>
      </c>
      <c r="G271" s="83" t="b">
        <v>0</v>
      </c>
      <c r="H271" s="83" t="b">
        <v>0</v>
      </c>
      <c r="I271" s="83" t="b">
        <v>0</v>
      </c>
      <c r="J271" s="83" t="b">
        <v>0</v>
      </c>
      <c r="K271" s="83" t="b">
        <v>0</v>
      </c>
      <c r="L271" s="83" t="b">
        <v>0</v>
      </c>
    </row>
    <row r="272" spans="1:12" ht="15">
      <c r="A272" s="84" t="s">
        <v>2765</v>
      </c>
      <c r="B272" s="83" t="s">
        <v>2730</v>
      </c>
      <c r="C272" s="83">
        <v>2</v>
      </c>
      <c r="D272" s="110">
        <v>0.0123515033547404</v>
      </c>
      <c r="E272" s="110">
        <v>1.5705429398818975</v>
      </c>
      <c r="F272" s="83" t="s">
        <v>2670</v>
      </c>
      <c r="G272" s="83" t="b">
        <v>0</v>
      </c>
      <c r="H272" s="83" t="b">
        <v>0</v>
      </c>
      <c r="I272" s="83" t="b">
        <v>0</v>
      </c>
      <c r="J272" s="83" t="b">
        <v>0</v>
      </c>
      <c r="K272" s="83" t="b">
        <v>1</v>
      </c>
      <c r="L272" s="83" t="b">
        <v>0</v>
      </c>
    </row>
    <row r="273" spans="1:12" ht="15">
      <c r="A273" s="84" t="s">
        <v>2828</v>
      </c>
      <c r="B273" s="83" t="s">
        <v>3312</v>
      </c>
      <c r="C273" s="83">
        <v>2</v>
      </c>
      <c r="D273" s="110">
        <v>0.0123515033547404</v>
      </c>
      <c r="E273" s="110">
        <v>1.4913616938342726</v>
      </c>
      <c r="F273" s="83" t="s">
        <v>2670</v>
      </c>
      <c r="G273" s="83" t="b">
        <v>0</v>
      </c>
      <c r="H273" s="83" t="b">
        <v>0</v>
      </c>
      <c r="I273" s="83" t="b">
        <v>0</v>
      </c>
      <c r="J273" s="83" t="b">
        <v>0</v>
      </c>
      <c r="K273" s="83" t="b">
        <v>0</v>
      </c>
      <c r="L273" s="83" t="b">
        <v>0</v>
      </c>
    </row>
    <row r="274" spans="1:12" ht="15">
      <c r="A274" s="84" t="s">
        <v>2854</v>
      </c>
      <c r="B274" s="83" t="s">
        <v>3315</v>
      </c>
      <c r="C274" s="83">
        <v>2</v>
      </c>
      <c r="D274" s="110">
        <v>0.0123515033547404</v>
      </c>
      <c r="E274" s="110">
        <v>1.6674529528899538</v>
      </c>
      <c r="F274" s="83" t="s">
        <v>2670</v>
      </c>
      <c r="G274" s="83" t="b">
        <v>0</v>
      </c>
      <c r="H274" s="83" t="b">
        <v>0</v>
      </c>
      <c r="I274" s="83" t="b">
        <v>0</v>
      </c>
      <c r="J274" s="83" t="b">
        <v>0</v>
      </c>
      <c r="K274" s="83" t="b">
        <v>0</v>
      </c>
      <c r="L274" s="83" t="b">
        <v>0</v>
      </c>
    </row>
    <row r="275" spans="1:12" ht="15">
      <c r="A275" s="84" t="s">
        <v>2740</v>
      </c>
      <c r="B275" s="83" t="s">
        <v>2781</v>
      </c>
      <c r="C275" s="83">
        <v>4</v>
      </c>
      <c r="D275" s="110">
        <v>0.012146267458483228</v>
      </c>
      <c r="E275" s="110">
        <v>1.7822678165784758</v>
      </c>
      <c r="F275" s="83" t="s">
        <v>2671</v>
      </c>
      <c r="G275" s="83" t="b">
        <v>0</v>
      </c>
      <c r="H275" s="83" t="b">
        <v>0</v>
      </c>
      <c r="I275" s="83" t="b">
        <v>0</v>
      </c>
      <c r="J275" s="83" t="b">
        <v>0</v>
      </c>
      <c r="K275" s="83" t="b">
        <v>0</v>
      </c>
      <c r="L275" s="83" t="b">
        <v>0</v>
      </c>
    </row>
    <row r="276" spans="1:12" ht="15">
      <c r="A276" s="84" t="s">
        <v>2788</v>
      </c>
      <c r="B276" s="83" t="s">
        <v>3019</v>
      </c>
      <c r="C276" s="83">
        <v>3</v>
      </c>
      <c r="D276" s="110">
        <v>0.011014953730976227</v>
      </c>
      <c r="E276" s="110">
        <v>2.0253058652647704</v>
      </c>
      <c r="F276" s="83" t="s">
        <v>2671</v>
      </c>
      <c r="G276" s="83" t="b">
        <v>0</v>
      </c>
      <c r="H276" s="83" t="b">
        <v>1</v>
      </c>
      <c r="I276" s="83" t="b">
        <v>0</v>
      </c>
      <c r="J276" s="83" t="b">
        <v>0</v>
      </c>
      <c r="K276" s="83" t="b">
        <v>1</v>
      </c>
      <c r="L276" s="83" t="b">
        <v>0</v>
      </c>
    </row>
    <row r="277" spans="1:12" ht="15">
      <c r="A277" s="84" t="s">
        <v>3106</v>
      </c>
      <c r="B277" s="83" t="s">
        <v>3107</v>
      </c>
      <c r="C277" s="83">
        <v>2</v>
      </c>
      <c r="D277" s="110">
        <v>0.006073133729241614</v>
      </c>
      <c r="E277" s="110">
        <v>2.326335860928751</v>
      </c>
      <c r="F277" s="83" t="s">
        <v>2671</v>
      </c>
      <c r="G277" s="83" t="b">
        <v>0</v>
      </c>
      <c r="H277" s="83" t="b">
        <v>0</v>
      </c>
      <c r="I277" s="83" t="b">
        <v>0</v>
      </c>
      <c r="J277" s="83" t="b">
        <v>0</v>
      </c>
      <c r="K277" s="83" t="b">
        <v>0</v>
      </c>
      <c r="L277" s="83" t="b">
        <v>0</v>
      </c>
    </row>
    <row r="278" spans="1:12" ht="15">
      <c r="A278" s="84" t="s">
        <v>2847</v>
      </c>
      <c r="B278" s="83" t="s">
        <v>3205</v>
      </c>
      <c r="C278" s="83">
        <v>2</v>
      </c>
      <c r="D278" s="110">
        <v>0.0073433024873174844</v>
      </c>
      <c r="E278" s="110">
        <v>1.9283958522567137</v>
      </c>
      <c r="F278" s="83" t="s">
        <v>2671</v>
      </c>
      <c r="G278" s="83" t="b">
        <v>0</v>
      </c>
      <c r="H278" s="83" t="b">
        <v>0</v>
      </c>
      <c r="I278" s="83" t="b">
        <v>0</v>
      </c>
      <c r="J278" s="83" t="b">
        <v>0</v>
      </c>
      <c r="K278" s="83" t="b">
        <v>0</v>
      </c>
      <c r="L278" s="83" t="b">
        <v>0</v>
      </c>
    </row>
    <row r="279" spans="1:12" ht="15">
      <c r="A279" s="84" t="s">
        <v>2797</v>
      </c>
      <c r="B279" s="83" t="s">
        <v>2903</v>
      </c>
      <c r="C279" s="83">
        <v>2</v>
      </c>
      <c r="D279" s="110">
        <v>0.0073433024873174844</v>
      </c>
      <c r="E279" s="110">
        <v>1.724275869600789</v>
      </c>
      <c r="F279" s="83" t="s">
        <v>2671</v>
      </c>
      <c r="G279" s="83" t="b">
        <v>0</v>
      </c>
      <c r="H279" s="83" t="b">
        <v>0</v>
      </c>
      <c r="I279" s="83" t="b">
        <v>0</v>
      </c>
      <c r="J279" s="83" t="b">
        <v>0</v>
      </c>
      <c r="K279" s="83" t="b">
        <v>0</v>
      </c>
      <c r="L279" s="83" t="b">
        <v>0</v>
      </c>
    </row>
    <row r="280" spans="1:12" ht="15">
      <c r="A280" s="84" t="s">
        <v>2774</v>
      </c>
      <c r="B280" s="83" t="s">
        <v>3208</v>
      </c>
      <c r="C280" s="83">
        <v>2</v>
      </c>
      <c r="D280" s="110">
        <v>0.0073433024873174844</v>
      </c>
      <c r="E280" s="110">
        <v>2.326335860928751</v>
      </c>
      <c r="F280" s="83" t="s">
        <v>2671</v>
      </c>
      <c r="G280" s="83" t="b">
        <v>0</v>
      </c>
      <c r="H280" s="83" t="b">
        <v>0</v>
      </c>
      <c r="I280" s="83" t="b">
        <v>0</v>
      </c>
      <c r="J280" s="83" t="b">
        <v>0</v>
      </c>
      <c r="K280" s="83" t="b">
        <v>0</v>
      </c>
      <c r="L280" s="83" t="b">
        <v>0</v>
      </c>
    </row>
    <row r="281" spans="1:12" ht="15">
      <c r="A281" s="84" t="s">
        <v>3007</v>
      </c>
      <c r="B281" s="83" t="s">
        <v>2847</v>
      </c>
      <c r="C281" s="83">
        <v>2</v>
      </c>
      <c r="D281" s="110">
        <v>0.0073433024873174844</v>
      </c>
      <c r="E281" s="110">
        <v>1.7523045932010326</v>
      </c>
      <c r="F281" s="83" t="s">
        <v>2671</v>
      </c>
      <c r="G281" s="83" t="b">
        <v>0</v>
      </c>
      <c r="H281" s="83" t="b">
        <v>0</v>
      </c>
      <c r="I281" s="83" t="b">
        <v>0</v>
      </c>
      <c r="J281" s="83" t="b">
        <v>0</v>
      </c>
      <c r="K281" s="83" t="b">
        <v>0</v>
      </c>
      <c r="L281" s="83" t="b">
        <v>0</v>
      </c>
    </row>
    <row r="282" spans="1:12" ht="15">
      <c r="A282" s="84" t="s">
        <v>2721</v>
      </c>
      <c r="B282" s="83" t="s">
        <v>2903</v>
      </c>
      <c r="C282" s="83">
        <v>2</v>
      </c>
      <c r="D282" s="110">
        <v>0.0073433024873174844</v>
      </c>
      <c r="E282" s="110">
        <v>1.5481846105451078</v>
      </c>
      <c r="F282" s="83" t="s">
        <v>2671</v>
      </c>
      <c r="G282" s="83" t="b">
        <v>0</v>
      </c>
      <c r="H282" s="83" t="b">
        <v>0</v>
      </c>
      <c r="I282" s="83" t="b">
        <v>0</v>
      </c>
      <c r="J282" s="83" t="b">
        <v>0</v>
      </c>
      <c r="K282" s="83" t="b">
        <v>0</v>
      </c>
      <c r="L282" s="83" t="b">
        <v>0</v>
      </c>
    </row>
    <row r="283" spans="1:12" ht="15">
      <c r="A283" s="84" t="s">
        <v>2957</v>
      </c>
      <c r="B283" s="83" t="s">
        <v>3214</v>
      </c>
      <c r="C283" s="83">
        <v>2</v>
      </c>
      <c r="D283" s="110">
        <v>0.006073133729241614</v>
      </c>
      <c r="E283" s="110">
        <v>2.326335860928751</v>
      </c>
      <c r="F283" s="83" t="s">
        <v>2671</v>
      </c>
      <c r="G283" s="83" t="b">
        <v>0</v>
      </c>
      <c r="H283" s="83" t="b">
        <v>0</v>
      </c>
      <c r="I283" s="83" t="b">
        <v>0</v>
      </c>
      <c r="J283" s="83" t="b">
        <v>0</v>
      </c>
      <c r="K283" s="83" t="b">
        <v>0</v>
      </c>
      <c r="L283" s="83" t="b">
        <v>0</v>
      </c>
    </row>
    <row r="284" spans="1:12" ht="15">
      <c r="A284" s="84" t="s">
        <v>3214</v>
      </c>
      <c r="B284" s="83" t="s">
        <v>3215</v>
      </c>
      <c r="C284" s="83">
        <v>2</v>
      </c>
      <c r="D284" s="110">
        <v>0.006073133729241614</v>
      </c>
      <c r="E284" s="110">
        <v>2.326335860928751</v>
      </c>
      <c r="F284" s="83" t="s">
        <v>2671</v>
      </c>
      <c r="G284" s="83" t="b">
        <v>0</v>
      </c>
      <c r="H284" s="83" t="b">
        <v>0</v>
      </c>
      <c r="I284" s="83" t="b">
        <v>0</v>
      </c>
      <c r="J284" s="83" t="b">
        <v>1</v>
      </c>
      <c r="K284" s="83" t="b">
        <v>0</v>
      </c>
      <c r="L284" s="83" t="b">
        <v>0</v>
      </c>
    </row>
    <row r="285" spans="1:12" ht="15">
      <c r="A285" s="84" t="s">
        <v>3013</v>
      </c>
      <c r="B285" s="83" t="s">
        <v>2886</v>
      </c>
      <c r="C285" s="83">
        <v>2</v>
      </c>
      <c r="D285" s="110">
        <v>0.0073433024873174844</v>
      </c>
      <c r="E285" s="110">
        <v>2.326335860928751</v>
      </c>
      <c r="F285" s="83" t="s">
        <v>2671</v>
      </c>
      <c r="G285" s="83" t="b">
        <v>0</v>
      </c>
      <c r="H285" s="83" t="b">
        <v>0</v>
      </c>
      <c r="I285" s="83" t="b">
        <v>0</v>
      </c>
      <c r="J285" s="83" t="b">
        <v>0</v>
      </c>
      <c r="K285" s="83" t="b">
        <v>0</v>
      </c>
      <c r="L285" s="83" t="b">
        <v>0</v>
      </c>
    </row>
    <row r="286" spans="1:12" ht="15">
      <c r="A286" s="84" t="s">
        <v>3019</v>
      </c>
      <c r="B286" s="83" t="s">
        <v>3021</v>
      </c>
      <c r="C286" s="83">
        <v>2</v>
      </c>
      <c r="D286" s="110">
        <v>0.0073433024873174844</v>
      </c>
      <c r="E286" s="110">
        <v>1.974153342817389</v>
      </c>
      <c r="F286" s="83" t="s">
        <v>2671</v>
      </c>
      <c r="G286" s="83" t="b">
        <v>0</v>
      </c>
      <c r="H286" s="83" t="b">
        <v>1</v>
      </c>
      <c r="I286" s="83" t="b">
        <v>0</v>
      </c>
      <c r="J286" s="83" t="b">
        <v>0</v>
      </c>
      <c r="K286" s="83" t="b">
        <v>0</v>
      </c>
      <c r="L286" s="83" t="b">
        <v>0</v>
      </c>
    </row>
    <row r="287" spans="1:12" ht="15">
      <c r="A287" s="84" t="s">
        <v>2807</v>
      </c>
      <c r="B287" s="83" t="s">
        <v>2717</v>
      </c>
      <c r="C287" s="83">
        <v>2</v>
      </c>
      <c r="D287" s="110">
        <v>0.006073133729241614</v>
      </c>
      <c r="E287" s="110">
        <v>1.8492146062090888</v>
      </c>
      <c r="F287" s="83" t="s">
        <v>2671</v>
      </c>
      <c r="G287" s="83" t="b">
        <v>0</v>
      </c>
      <c r="H287" s="83" t="b">
        <v>0</v>
      </c>
      <c r="I287" s="83" t="b">
        <v>0</v>
      </c>
      <c r="J287" s="83" t="b">
        <v>0</v>
      </c>
      <c r="K287" s="83" t="b">
        <v>0</v>
      </c>
      <c r="L287" s="83" t="b">
        <v>0</v>
      </c>
    </row>
    <row r="288" spans="1:12" ht="15">
      <c r="A288" s="84" t="s">
        <v>3218</v>
      </c>
      <c r="B288" s="83" t="s">
        <v>3219</v>
      </c>
      <c r="C288" s="83">
        <v>2</v>
      </c>
      <c r="D288" s="110">
        <v>0.0073433024873174844</v>
      </c>
      <c r="E288" s="110">
        <v>2.326335860928751</v>
      </c>
      <c r="F288" s="83" t="s">
        <v>2671</v>
      </c>
      <c r="G288" s="83" t="b">
        <v>0</v>
      </c>
      <c r="H288" s="83" t="b">
        <v>0</v>
      </c>
      <c r="I288" s="83" t="b">
        <v>0</v>
      </c>
      <c r="J288" s="83" t="b">
        <v>0</v>
      </c>
      <c r="K288" s="83" t="b">
        <v>1</v>
      </c>
      <c r="L288" s="83" t="b">
        <v>0</v>
      </c>
    </row>
    <row r="289" spans="1:12" ht="15">
      <c r="A289" s="84" t="s">
        <v>3294</v>
      </c>
      <c r="B289" s="83" t="s">
        <v>3295</v>
      </c>
      <c r="C289" s="83">
        <v>2</v>
      </c>
      <c r="D289" s="110">
        <v>0.006073133729241614</v>
      </c>
      <c r="E289" s="110">
        <v>2.326335860928751</v>
      </c>
      <c r="F289" s="83" t="s">
        <v>2671</v>
      </c>
      <c r="G289" s="83" t="b">
        <v>0</v>
      </c>
      <c r="H289" s="83" t="b">
        <v>0</v>
      </c>
      <c r="I289" s="83" t="b">
        <v>0</v>
      </c>
      <c r="J289" s="83" t="b">
        <v>0</v>
      </c>
      <c r="K289" s="83" t="b">
        <v>0</v>
      </c>
      <c r="L289" s="83" t="b">
        <v>0</v>
      </c>
    </row>
    <row r="290" spans="1:12" ht="15">
      <c r="A290" s="84" t="s">
        <v>2740</v>
      </c>
      <c r="B290" s="83" t="s">
        <v>3299</v>
      </c>
      <c r="C290" s="83">
        <v>2</v>
      </c>
      <c r="D290" s="110">
        <v>0.0073433024873174844</v>
      </c>
      <c r="E290" s="110">
        <v>1.7822678165784758</v>
      </c>
      <c r="F290" s="83" t="s">
        <v>2671</v>
      </c>
      <c r="G290" s="83" t="b">
        <v>0</v>
      </c>
      <c r="H290" s="83" t="b">
        <v>0</v>
      </c>
      <c r="I290" s="83" t="b">
        <v>0</v>
      </c>
      <c r="J290" s="83" t="b">
        <v>0</v>
      </c>
      <c r="K290" s="83" t="b">
        <v>1</v>
      </c>
      <c r="L290" s="83" t="b">
        <v>0</v>
      </c>
    </row>
    <row r="291" spans="1:12" ht="15">
      <c r="A291" s="84" t="s">
        <v>2718</v>
      </c>
      <c r="B291" s="83" t="s">
        <v>3015</v>
      </c>
      <c r="C291" s="83">
        <v>2</v>
      </c>
      <c r="D291" s="110">
        <v>0.0073433024873174844</v>
      </c>
      <c r="E291" s="110">
        <v>1.7523045932010326</v>
      </c>
      <c r="F291" s="83" t="s">
        <v>2671</v>
      </c>
      <c r="G291" s="83" t="b">
        <v>0</v>
      </c>
      <c r="H291" s="83" t="b">
        <v>0</v>
      </c>
      <c r="I291" s="83" t="b">
        <v>0</v>
      </c>
      <c r="J291" s="83" t="b">
        <v>0</v>
      </c>
      <c r="K291" s="83" t="b">
        <v>0</v>
      </c>
      <c r="L291" s="83" t="b">
        <v>0</v>
      </c>
    </row>
    <row r="292" spans="1:12" ht="15">
      <c r="A292" s="84" t="s">
        <v>3037</v>
      </c>
      <c r="B292" s="83" t="s">
        <v>3038</v>
      </c>
      <c r="C292" s="83">
        <v>3</v>
      </c>
      <c r="D292" s="110">
        <v>0.01219363880832709</v>
      </c>
      <c r="E292" s="110">
        <v>1.9173304261065538</v>
      </c>
      <c r="F292" s="83" t="s">
        <v>2673</v>
      </c>
      <c r="G292" s="83" t="b">
        <v>0</v>
      </c>
      <c r="H292" s="83" t="b">
        <v>0</v>
      </c>
      <c r="I292" s="83" t="b">
        <v>0</v>
      </c>
      <c r="J292" s="83" t="b">
        <v>0</v>
      </c>
      <c r="K292" s="83" t="b">
        <v>0</v>
      </c>
      <c r="L292" s="83" t="b">
        <v>0</v>
      </c>
    </row>
    <row r="293" spans="1:12" ht="15">
      <c r="A293" s="84" t="s">
        <v>3286</v>
      </c>
      <c r="B293" s="83" t="s">
        <v>3287</v>
      </c>
      <c r="C293" s="83">
        <v>2</v>
      </c>
      <c r="D293" s="110">
        <v>0.011374815360106922</v>
      </c>
      <c r="E293" s="110">
        <v>2.093421685162235</v>
      </c>
      <c r="F293" s="83" t="s">
        <v>2673</v>
      </c>
      <c r="G293" s="83" t="b">
        <v>0</v>
      </c>
      <c r="H293" s="83" t="b">
        <v>0</v>
      </c>
      <c r="I293" s="83" t="b">
        <v>0</v>
      </c>
      <c r="J293" s="83" t="b">
        <v>0</v>
      </c>
      <c r="K293" s="83" t="b">
        <v>0</v>
      </c>
      <c r="L293" s="83" t="b">
        <v>0</v>
      </c>
    </row>
    <row r="294" spans="1:12" ht="15">
      <c r="A294" s="84" t="s">
        <v>3287</v>
      </c>
      <c r="B294" s="83" t="s">
        <v>3288</v>
      </c>
      <c r="C294" s="83">
        <v>2</v>
      </c>
      <c r="D294" s="110">
        <v>0.011374815360106922</v>
      </c>
      <c r="E294" s="110">
        <v>2.093421685162235</v>
      </c>
      <c r="F294" s="83" t="s">
        <v>2673</v>
      </c>
      <c r="G294" s="83" t="b">
        <v>0</v>
      </c>
      <c r="H294" s="83" t="b">
        <v>0</v>
      </c>
      <c r="I294" s="83" t="b">
        <v>0</v>
      </c>
      <c r="J294" s="83" t="b">
        <v>0</v>
      </c>
      <c r="K294" s="83" t="b">
        <v>0</v>
      </c>
      <c r="L294" s="83" t="b">
        <v>0</v>
      </c>
    </row>
    <row r="295" spans="1:12" ht="15">
      <c r="A295" s="84" t="s">
        <v>2780</v>
      </c>
      <c r="B295" s="83" t="s">
        <v>2911</v>
      </c>
      <c r="C295" s="83">
        <v>2</v>
      </c>
      <c r="D295" s="110">
        <v>0.011374815360106922</v>
      </c>
      <c r="E295" s="110">
        <v>1.792391689498254</v>
      </c>
      <c r="F295" s="83" t="s">
        <v>2673</v>
      </c>
      <c r="G295" s="83" t="b">
        <v>0</v>
      </c>
      <c r="H295" s="83" t="b">
        <v>0</v>
      </c>
      <c r="I295" s="83" t="b">
        <v>0</v>
      </c>
      <c r="J295" s="83" t="b">
        <v>0</v>
      </c>
      <c r="K295" s="83" t="b">
        <v>0</v>
      </c>
      <c r="L295" s="83" t="b">
        <v>0</v>
      </c>
    </row>
    <row r="296" spans="1:12" ht="15">
      <c r="A296" s="84" t="s">
        <v>2826</v>
      </c>
      <c r="B296" s="83" t="s">
        <v>2783</v>
      </c>
      <c r="C296" s="83">
        <v>2</v>
      </c>
      <c r="D296" s="110">
        <v>0.009326992260351948</v>
      </c>
      <c r="E296" s="110">
        <v>1.5193904174345163</v>
      </c>
      <c r="F296" s="83" t="s">
        <v>2673</v>
      </c>
      <c r="G296" s="83" t="b">
        <v>0</v>
      </c>
      <c r="H296" s="83" t="b">
        <v>0</v>
      </c>
      <c r="I296" s="83" t="b">
        <v>0</v>
      </c>
      <c r="J296" s="83" t="b">
        <v>0</v>
      </c>
      <c r="K296" s="83" t="b">
        <v>0</v>
      </c>
      <c r="L296" s="83" t="b">
        <v>0</v>
      </c>
    </row>
    <row r="297" spans="1:12" ht="15">
      <c r="A297" s="84" t="s">
        <v>2716</v>
      </c>
      <c r="B297" s="83" t="s">
        <v>2850</v>
      </c>
      <c r="C297" s="83">
        <v>2</v>
      </c>
      <c r="D297" s="110">
        <v>0.009326992260351948</v>
      </c>
      <c r="E297" s="110">
        <v>0.8566325857529421</v>
      </c>
      <c r="F297" s="83" t="s">
        <v>2673</v>
      </c>
      <c r="G297" s="83" t="b">
        <v>0</v>
      </c>
      <c r="H297" s="83" t="b">
        <v>0</v>
      </c>
      <c r="I297" s="83" t="b">
        <v>0</v>
      </c>
      <c r="J297" s="83" t="b">
        <v>0</v>
      </c>
      <c r="K297" s="83" t="b">
        <v>0</v>
      </c>
      <c r="L297" s="83" t="b">
        <v>0</v>
      </c>
    </row>
    <row r="298" spans="1:12" ht="15">
      <c r="A298" s="84" t="s">
        <v>2851</v>
      </c>
      <c r="B298" s="83" t="s">
        <v>2784</v>
      </c>
      <c r="C298" s="83">
        <v>2</v>
      </c>
      <c r="D298" s="110">
        <v>0.009326992260351948</v>
      </c>
      <c r="E298" s="110">
        <v>1.5193904174345163</v>
      </c>
      <c r="F298" s="83" t="s">
        <v>2673</v>
      </c>
      <c r="G298" s="83" t="b">
        <v>0</v>
      </c>
      <c r="H298" s="83" t="b">
        <v>0</v>
      </c>
      <c r="I298" s="83" t="b">
        <v>0</v>
      </c>
      <c r="J298" s="83" t="b">
        <v>0</v>
      </c>
      <c r="K298" s="83" t="b">
        <v>0</v>
      </c>
      <c r="L298" s="83" t="b">
        <v>0</v>
      </c>
    </row>
    <row r="299" spans="1:12" ht="15">
      <c r="A299" s="84" t="s">
        <v>3038</v>
      </c>
      <c r="B299" s="83" t="s">
        <v>2716</v>
      </c>
      <c r="C299" s="83">
        <v>2</v>
      </c>
      <c r="D299" s="110">
        <v>0.009326992260351948</v>
      </c>
      <c r="E299" s="110">
        <v>1.1044170694636983</v>
      </c>
      <c r="F299" s="83" t="s">
        <v>2673</v>
      </c>
      <c r="G299" s="83" t="b">
        <v>0</v>
      </c>
      <c r="H299" s="83" t="b">
        <v>0</v>
      </c>
      <c r="I299" s="83" t="b">
        <v>0</v>
      </c>
      <c r="J299" s="83" t="b">
        <v>0</v>
      </c>
      <c r="K299" s="83" t="b">
        <v>0</v>
      </c>
      <c r="L299" s="83" t="b">
        <v>0</v>
      </c>
    </row>
    <row r="300" spans="1:12" ht="15">
      <c r="A300" s="84" t="s">
        <v>2716</v>
      </c>
      <c r="B300" s="83" t="s">
        <v>2747</v>
      </c>
      <c r="C300" s="83">
        <v>2</v>
      </c>
      <c r="D300" s="110">
        <v>0.009326992260351948</v>
      </c>
      <c r="E300" s="110">
        <v>0.7316938491446422</v>
      </c>
      <c r="F300" s="83" t="s">
        <v>2673</v>
      </c>
      <c r="G300" s="83" t="b">
        <v>0</v>
      </c>
      <c r="H300" s="83" t="b">
        <v>0</v>
      </c>
      <c r="I300" s="83" t="b">
        <v>0</v>
      </c>
      <c r="J300" s="83" t="b">
        <v>0</v>
      </c>
      <c r="K300" s="83" t="b">
        <v>0</v>
      </c>
      <c r="L300" s="83" t="b">
        <v>0</v>
      </c>
    </row>
    <row r="301" spans="1:12" ht="15">
      <c r="A301" s="84" t="s">
        <v>2747</v>
      </c>
      <c r="B301" s="83" t="s">
        <v>2716</v>
      </c>
      <c r="C301" s="83">
        <v>2</v>
      </c>
      <c r="D301" s="110">
        <v>0.009326992260351948</v>
      </c>
      <c r="E301" s="110">
        <v>0.9794783328553983</v>
      </c>
      <c r="F301" s="83" t="s">
        <v>2673</v>
      </c>
      <c r="G301" s="83" t="b">
        <v>0</v>
      </c>
      <c r="H301" s="83" t="b">
        <v>0</v>
      </c>
      <c r="I301" s="83" t="b">
        <v>0</v>
      </c>
      <c r="J301" s="83" t="b">
        <v>0</v>
      </c>
      <c r="K301" s="83" t="b">
        <v>0</v>
      </c>
      <c r="L301" s="83" t="b">
        <v>0</v>
      </c>
    </row>
    <row r="302" spans="1:12" ht="15">
      <c r="A302" s="84" t="s">
        <v>2716</v>
      </c>
      <c r="B302" s="83" t="s">
        <v>2849</v>
      </c>
      <c r="C302" s="83">
        <v>2</v>
      </c>
      <c r="D302" s="110">
        <v>0.009326992260351948</v>
      </c>
      <c r="E302" s="110">
        <v>1.0327238448086233</v>
      </c>
      <c r="F302" s="83" t="s">
        <v>2673</v>
      </c>
      <c r="G302" s="83" t="b">
        <v>0</v>
      </c>
      <c r="H302" s="83" t="b">
        <v>0</v>
      </c>
      <c r="I302" s="83" t="b">
        <v>0</v>
      </c>
      <c r="J302" s="83" t="b">
        <v>0</v>
      </c>
      <c r="K302" s="83" t="b">
        <v>0</v>
      </c>
      <c r="L302" s="83" t="b">
        <v>0</v>
      </c>
    </row>
    <row r="303" spans="1:12" ht="15">
      <c r="A303" s="84" t="s">
        <v>2802</v>
      </c>
      <c r="B303" s="83" t="s">
        <v>2803</v>
      </c>
      <c r="C303" s="83">
        <v>3</v>
      </c>
      <c r="D303" s="110">
        <v>0.016334600820217794</v>
      </c>
      <c r="E303" s="110">
        <v>1.765916793966632</v>
      </c>
      <c r="F303" s="83" t="s">
        <v>2674</v>
      </c>
      <c r="G303" s="83" t="b">
        <v>0</v>
      </c>
      <c r="H303" s="83" t="b">
        <v>0</v>
      </c>
      <c r="I303" s="83" t="b">
        <v>0</v>
      </c>
      <c r="J303" s="83" t="b">
        <v>0</v>
      </c>
      <c r="K303" s="83" t="b">
        <v>0</v>
      </c>
      <c r="L303" s="83" t="b">
        <v>0</v>
      </c>
    </row>
    <row r="304" spans="1:12" ht="15">
      <c r="A304" s="84" t="s">
        <v>3104</v>
      </c>
      <c r="B304" s="83" t="s">
        <v>2718</v>
      </c>
      <c r="C304" s="83">
        <v>2</v>
      </c>
      <c r="D304" s="110">
        <v>0.012520208501031133</v>
      </c>
      <c r="E304" s="110">
        <v>1.6409780573583321</v>
      </c>
      <c r="F304" s="83" t="s">
        <v>2674</v>
      </c>
      <c r="G304" s="83" t="b">
        <v>1</v>
      </c>
      <c r="H304" s="83" t="b">
        <v>0</v>
      </c>
      <c r="I304" s="83" t="b">
        <v>0</v>
      </c>
      <c r="J304" s="83" t="b">
        <v>0</v>
      </c>
      <c r="K304" s="83" t="b">
        <v>0</v>
      </c>
      <c r="L304" s="83" t="b">
        <v>0</v>
      </c>
    </row>
    <row r="305" spans="1:12" ht="15">
      <c r="A305" s="84" t="s">
        <v>2813</v>
      </c>
      <c r="B305" s="83" t="s">
        <v>3317</v>
      </c>
      <c r="C305" s="83">
        <v>2</v>
      </c>
      <c r="D305" s="110">
        <v>0.012520208501031133</v>
      </c>
      <c r="E305" s="110">
        <v>1.9420080530223132</v>
      </c>
      <c r="F305" s="83" t="s">
        <v>2674</v>
      </c>
      <c r="G305" s="83" t="b">
        <v>1</v>
      </c>
      <c r="H305" s="83" t="b">
        <v>0</v>
      </c>
      <c r="I305" s="83" t="b">
        <v>0</v>
      </c>
      <c r="J305" s="83" t="b">
        <v>1</v>
      </c>
      <c r="K305" s="83" t="b">
        <v>0</v>
      </c>
      <c r="L305" s="83" t="b">
        <v>0</v>
      </c>
    </row>
    <row r="306" spans="1:12" ht="15">
      <c r="A306" s="84" t="s">
        <v>3001</v>
      </c>
      <c r="B306" s="83" t="s">
        <v>3320</v>
      </c>
      <c r="C306" s="83">
        <v>2</v>
      </c>
      <c r="D306" s="110">
        <v>0.012520208501031133</v>
      </c>
      <c r="E306" s="110">
        <v>1.9420080530223132</v>
      </c>
      <c r="F306" s="83" t="s">
        <v>2674</v>
      </c>
      <c r="G306" s="83" t="b">
        <v>0</v>
      </c>
      <c r="H306" s="83" t="b">
        <v>0</v>
      </c>
      <c r="I306" s="83" t="b">
        <v>0</v>
      </c>
      <c r="J306" s="83" t="b">
        <v>1</v>
      </c>
      <c r="K306" s="83" t="b">
        <v>0</v>
      </c>
      <c r="L306" s="83" t="b">
        <v>0</v>
      </c>
    </row>
    <row r="307" spans="1:12" ht="15">
      <c r="A307" s="84" t="s">
        <v>3320</v>
      </c>
      <c r="B307" s="83" t="s">
        <v>3045</v>
      </c>
      <c r="C307" s="83">
        <v>2</v>
      </c>
      <c r="D307" s="110">
        <v>0.012520208501031133</v>
      </c>
      <c r="E307" s="110">
        <v>1.9420080530223132</v>
      </c>
      <c r="F307" s="83" t="s">
        <v>2674</v>
      </c>
      <c r="G307" s="83" t="b">
        <v>1</v>
      </c>
      <c r="H307" s="83" t="b">
        <v>0</v>
      </c>
      <c r="I307" s="83" t="b">
        <v>0</v>
      </c>
      <c r="J307" s="83" t="b">
        <v>0</v>
      </c>
      <c r="K307" s="83" t="b">
        <v>0</v>
      </c>
      <c r="L307" s="83" t="b">
        <v>0</v>
      </c>
    </row>
    <row r="308" spans="1:12" ht="15">
      <c r="A308" s="84" t="s">
        <v>3045</v>
      </c>
      <c r="B308" s="83" t="s">
        <v>2770</v>
      </c>
      <c r="C308" s="83">
        <v>2</v>
      </c>
      <c r="D308" s="110">
        <v>0.012520208501031133</v>
      </c>
      <c r="E308" s="110">
        <v>1.765916793966632</v>
      </c>
      <c r="F308" s="83" t="s">
        <v>2674</v>
      </c>
      <c r="G308" s="83" t="b">
        <v>0</v>
      </c>
      <c r="H308" s="83" t="b">
        <v>0</v>
      </c>
      <c r="I308" s="83" t="b">
        <v>0</v>
      </c>
      <c r="J308" s="83" t="b">
        <v>0</v>
      </c>
      <c r="K308" s="83" t="b">
        <v>0</v>
      </c>
      <c r="L308" s="83" t="b">
        <v>0</v>
      </c>
    </row>
    <row r="309" spans="1:12" ht="15">
      <c r="A309" s="84" t="s">
        <v>2770</v>
      </c>
      <c r="B309" s="83" t="s">
        <v>2823</v>
      </c>
      <c r="C309" s="83">
        <v>2</v>
      </c>
      <c r="D309" s="110">
        <v>0.012520208501031133</v>
      </c>
      <c r="E309" s="110">
        <v>1.765916793966632</v>
      </c>
      <c r="F309" s="83" t="s">
        <v>2674</v>
      </c>
      <c r="G309" s="83" t="b">
        <v>0</v>
      </c>
      <c r="H309" s="83" t="b">
        <v>0</v>
      </c>
      <c r="I309" s="83" t="b">
        <v>0</v>
      </c>
      <c r="J309" s="83" t="b">
        <v>0</v>
      </c>
      <c r="K309" s="83" t="b">
        <v>0</v>
      </c>
      <c r="L309" s="83" t="b">
        <v>0</v>
      </c>
    </row>
    <row r="310" spans="1:12" ht="15">
      <c r="A310" s="84" t="s">
        <v>2823</v>
      </c>
      <c r="B310" s="83" t="s">
        <v>3028</v>
      </c>
      <c r="C310" s="83">
        <v>2</v>
      </c>
      <c r="D310" s="110">
        <v>0.012520208501031133</v>
      </c>
      <c r="E310" s="110">
        <v>1.9420080530223132</v>
      </c>
      <c r="F310" s="83" t="s">
        <v>2674</v>
      </c>
      <c r="G310" s="83" t="b">
        <v>0</v>
      </c>
      <c r="H310" s="83" t="b">
        <v>0</v>
      </c>
      <c r="I310" s="83" t="b">
        <v>0</v>
      </c>
      <c r="J310" s="83" t="b">
        <v>0</v>
      </c>
      <c r="K310" s="83" t="b">
        <v>0</v>
      </c>
      <c r="L310" s="83" t="b">
        <v>0</v>
      </c>
    </row>
    <row r="311" spans="1:12" ht="15">
      <c r="A311" s="84" t="s">
        <v>3028</v>
      </c>
      <c r="B311" s="83" t="s">
        <v>3035</v>
      </c>
      <c r="C311" s="83">
        <v>2</v>
      </c>
      <c r="D311" s="110">
        <v>0.012520208501031133</v>
      </c>
      <c r="E311" s="110">
        <v>1.9420080530223132</v>
      </c>
      <c r="F311" s="83" t="s">
        <v>2674</v>
      </c>
      <c r="G311" s="83" t="b">
        <v>0</v>
      </c>
      <c r="H311" s="83" t="b">
        <v>0</v>
      </c>
      <c r="I311" s="83" t="b">
        <v>0</v>
      </c>
      <c r="J311" s="83" t="b">
        <v>0</v>
      </c>
      <c r="K311" s="83" t="b">
        <v>0</v>
      </c>
      <c r="L311" s="83" t="b">
        <v>0</v>
      </c>
    </row>
    <row r="312" spans="1:12" ht="15">
      <c r="A312" s="84" t="s">
        <v>2992</v>
      </c>
      <c r="B312" s="83" t="s">
        <v>3321</v>
      </c>
      <c r="C312" s="83">
        <v>2</v>
      </c>
      <c r="D312" s="110">
        <v>0.012520208501031133</v>
      </c>
      <c r="E312" s="110">
        <v>1.9420080530223132</v>
      </c>
      <c r="F312" s="83" t="s">
        <v>2674</v>
      </c>
      <c r="G312" s="83" t="b">
        <v>0</v>
      </c>
      <c r="H312" s="83" t="b">
        <v>0</v>
      </c>
      <c r="I312" s="83" t="b">
        <v>0</v>
      </c>
      <c r="J312" s="83" t="b">
        <v>1</v>
      </c>
      <c r="K312" s="83" t="b">
        <v>0</v>
      </c>
      <c r="L312" s="83" t="b">
        <v>0</v>
      </c>
    </row>
    <row r="313" spans="1:12" ht="15">
      <c r="A313" s="84" t="s">
        <v>3321</v>
      </c>
      <c r="B313" s="83" t="s">
        <v>3322</v>
      </c>
      <c r="C313" s="83">
        <v>2</v>
      </c>
      <c r="D313" s="110">
        <v>0.012520208501031133</v>
      </c>
      <c r="E313" s="110">
        <v>1.9420080530223132</v>
      </c>
      <c r="F313" s="83" t="s">
        <v>2674</v>
      </c>
      <c r="G313" s="83" t="b">
        <v>1</v>
      </c>
      <c r="H313" s="83" t="b">
        <v>0</v>
      </c>
      <c r="I313" s="83" t="b">
        <v>0</v>
      </c>
      <c r="J313" s="83" t="b">
        <v>0</v>
      </c>
      <c r="K313" s="83" t="b">
        <v>0</v>
      </c>
      <c r="L313" s="83" t="b">
        <v>0</v>
      </c>
    </row>
    <row r="314" spans="1:12" ht="15">
      <c r="A314" s="84" t="s">
        <v>3322</v>
      </c>
      <c r="B314" s="83" t="s">
        <v>2769</v>
      </c>
      <c r="C314" s="83">
        <v>2</v>
      </c>
      <c r="D314" s="110">
        <v>0.012520208501031133</v>
      </c>
      <c r="E314" s="110">
        <v>1.9420080530223132</v>
      </c>
      <c r="F314" s="83" t="s">
        <v>2674</v>
      </c>
      <c r="G314" s="83" t="b">
        <v>0</v>
      </c>
      <c r="H314" s="83" t="b">
        <v>0</v>
      </c>
      <c r="I314" s="83" t="b">
        <v>0</v>
      </c>
      <c r="J314" s="83" t="b">
        <v>0</v>
      </c>
      <c r="K314" s="83" t="b">
        <v>0</v>
      </c>
      <c r="L314" s="83" t="b">
        <v>0</v>
      </c>
    </row>
    <row r="315" spans="1:12" ht="15">
      <c r="A315" s="84" t="s">
        <v>2769</v>
      </c>
      <c r="B315" s="83" t="s">
        <v>2750</v>
      </c>
      <c r="C315" s="83">
        <v>2</v>
      </c>
      <c r="D315" s="110">
        <v>0.012520208501031133</v>
      </c>
      <c r="E315" s="110">
        <v>1.9420080530223132</v>
      </c>
      <c r="F315" s="83" t="s">
        <v>2674</v>
      </c>
      <c r="G315" s="83" t="b">
        <v>0</v>
      </c>
      <c r="H315" s="83" t="b">
        <v>0</v>
      </c>
      <c r="I315" s="83" t="b">
        <v>0</v>
      </c>
      <c r="J315" s="83" t="b">
        <v>0</v>
      </c>
      <c r="K315" s="83" t="b">
        <v>0</v>
      </c>
      <c r="L315" s="83" t="b">
        <v>0</v>
      </c>
    </row>
    <row r="316" spans="1:12" ht="15">
      <c r="A316" s="84" t="s">
        <v>2718</v>
      </c>
      <c r="B316" s="83" t="s">
        <v>3011</v>
      </c>
      <c r="C316" s="83">
        <v>2</v>
      </c>
      <c r="D316" s="110">
        <v>0.012520208501031133</v>
      </c>
      <c r="E316" s="110">
        <v>1.6409780573583321</v>
      </c>
      <c r="F316" s="83" t="s">
        <v>2674</v>
      </c>
      <c r="G316" s="83" t="b">
        <v>0</v>
      </c>
      <c r="H316" s="83" t="b">
        <v>0</v>
      </c>
      <c r="I316" s="83" t="b">
        <v>0</v>
      </c>
      <c r="J316" s="83" t="b">
        <v>0</v>
      </c>
      <c r="K316" s="83" t="b">
        <v>1</v>
      </c>
      <c r="L316" s="83" t="b">
        <v>0</v>
      </c>
    </row>
    <row r="317" spans="1:12" ht="15">
      <c r="A317" s="84" t="s">
        <v>3327</v>
      </c>
      <c r="B317" s="83" t="s">
        <v>3328</v>
      </c>
      <c r="C317" s="83">
        <v>2</v>
      </c>
      <c r="D317" s="110">
        <v>0.012520208501031133</v>
      </c>
      <c r="E317" s="110">
        <v>1.9420080530223132</v>
      </c>
      <c r="F317" s="83" t="s">
        <v>2674</v>
      </c>
      <c r="G317" s="83" t="b">
        <v>0</v>
      </c>
      <c r="H317" s="83" t="b">
        <v>0</v>
      </c>
      <c r="I317" s="83" t="b">
        <v>0</v>
      </c>
      <c r="J317" s="83" t="b">
        <v>0</v>
      </c>
      <c r="K317" s="83" t="b">
        <v>0</v>
      </c>
      <c r="L317" s="83" t="b">
        <v>0</v>
      </c>
    </row>
    <row r="318" spans="1:12" ht="15">
      <c r="A318" s="84" t="s">
        <v>3049</v>
      </c>
      <c r="B318" s="83" t="s">
        <v>2734</v>
      </c>
      <c r="C318" s="83">
        <v>2</v>
      </c>
      <c r="D318" s="110">
        <v>0.015307523275697626</v>
      </c>
      <c r="E318" s="110">
        <v>1.765916793966632</v>
      </c>
      <c r="F318" s="83" t="s">
        <v>2674</v>
      </c>
      <c r="G318" s="83" t="b">
        <v>0</v>
      </c>
      <c r="H318" s="83" t="b">
        <v>0</v>
      </c>
      <c r="I318" s="83" t="b">
        <v>0</v>
      </c>
      <c r="J318" s="83" t="b">
        <v>0</v>
      </c>
      <c r="K318" s="83" t="b">
        <v>0</v>
      </c>
      <c r="L318" s="83" t="b">
        <v>0</v>
      </c>
    </row>
    <row r="319" spans="1:12" ht="15">
      <c r="A319" s="84" t="s">
        <v>2841</v>
      </c>
      <c r="B319" s="83" t="s">
        <v>3332</v>
      </c>
      <c r="C319" s="83">
        <v>2</v>
      </c>
      <c r="D319" s="110">
        <v>0.015307523275697626</v>
      </c>
      <c r="E319" s="110">
        <v>1.9420080530223132</v>
      </c>
      <c r="F319" s="83" t="s">
        <v>2674</v>
      </c>
      <c r="G319" s="83" t="b">
        <v>0</v>
      </c>
      <c r="H319" s="83" t="b">
        <v>0</v>
      </c>
      <c r="I319" s="83" t="b">
        <v>0</v>
      </c>
      <c r="J319" s="83" t="b">
        <v>0</v>
      </c>
      <c r="K319" s="83" t="b">
        <v>0</v>
      </c>
      <c r="L319" s="83" t="b">
        <v>0</v>
      </c>
    </row>
    <row r="320" spans="1:12" ht="15">
      <c r="A320" s="84" t="s">
        <v>2747</v>
      </c>
      <c r="B320" s="83" t="s">
        <v>2826</v>
      </c>
      <c r="C320" s="83">
        <v>2</v>
      </c>
      <c r="D320" s="110">
        <v>0.028002172834659077</v>
      </c>
      <c r="E320" s="110">
        <v>1.1249387366083</v>
      </c>
      <c r="F320" s="83" t="s">
        <v>2675</v>
      </c>
      <c r="G320" s="83" t="b">
        <v>0</v>
      </c>
      <c r="H320" s="83" t="b">
        <v>0</v>
      </c>
      <c r="I320" s="83" t="b">
        <v>0</v>
      </c>
      <c r="J320" s="83" t="b">
        <v>0</v>
      </c>
      <c r="K320" s="83" t="b">
        <v>0</v>
      </c>
      <c r="L320" s="83" t="b">
        <v>0</v>
      </c>
    </row>
    <row r="321" spans="1:12" ht="15">
      <c r="A321" s="84" t="s">
        <v>2736</v>
      </c>
      <c r="B321" s="83" t="s">
        <v>2747</v>
      </c>
      <c r="C321" s="83">
        <v>2</v>
      </c>
      <c r="D321" s="110">
        <v>0.028002172834659077</v>
      </c>
      <c r="E321" s="110">
        <v>0.6320232147054056</v>
      </c>
      <c r="F321" s="83" t="s">
        <v>2675</v>
      </c>
      <c r="G321" s="83" t="b">
        <v>0</v>
      </c>
      <c r="H321" s="83" t="b">
        <v>0</v>
      </c>
      <c r="I321" s="83" t="b">
        <v>0</v>
      </c>
      <c r="J321" s="83" t="b">
        <v>0</v>
      </c>
      <c r="K321" s="83" t="b">
        <v>0</v>
      </c>
      <c r="L321" s="83" t="b">
        <v>0</v>
      </c>
    </row>
    <row r="322" spans="1:12" ht="15">
      <c r="A322" s="84" t="s">
        <v>3240</v>
      </c>
      <c r="B322" s="83" t="s">
        <v>3005</v>
      </c>
      <c r="C322" s="83">
        <v>2</v>
      </c>
      <c r="D322" s="110">
        <v>0.0064874485648538935</v>
      </c>
      <c r="E322" s="110">
        <v>2.1832698436828046</v>
      </c>
      <c r="F322" s="83" t="s">
        <v>2676</v>
      </c>
      <c r="G322" s="83" t="b">
        <v>0</v>
      </c>
      <c r="H322" s="83" t="b">
        <v>0</v>
      </c>
      <c r="I322" s="83" t="b">
        <v>0</v>
      </c>
      <c r="J322" s="83" t="b">
        <v>1</v>
      </c>
      <c r="K322" s="83" t="b">
        <v>0</v>
      </c>
      <c r="L322" s="83" t="b">
        <v>0</v>
      </c>
    </row>
    <row r="323" spans="1:12" ht="15">
      <c r="A323" s="84" t="s">
        <v>2848</v>
      </c>
      <c r="B323" s="83" t="s">
        <v>2720</v>
      </c>
      <c r="C323" s="83">
        <v>2</v>
      </c>
      <c r="D323" s="110">
        <v>0.0064874485648538935</v>
      </c>
      <c r="E323" s="110">
        <v>1.4842998393467859</v>
      </c>
      <c r="F323" s="83" t="s">
        <v>2676</v>
      </c>
      <c r="G323" s="83" t="b">
        <v>0</v>
      </c>
      <c r="H323" s="83" t="b">
        <v>0</v>
      </c>
      <c r="I323" s="83" t="b">
        <v>0</v>
      </c>
      <c r="J323" s="83" t="b">
        <v>0</v>
      </c>
      <c r="K323" s="83" t="b">
        <v>0</v>
      </c>
      <c r="L323" s="83" t="b">
        <v>0</v>
      </c>
    </row>
    <row r="324" spans="1:12" ht="15">
      <c r="A324" s="84" t="s">
        <v>2997</v>
      </c>
      <c r="B324" s="83" t="s">
        <v>2850</v>
      </c>
      <c r="C324" s="83">
        <v>2</v>
      </c>
      <c r="D324" s="110">
        <v>0.0064874485648538935</v>
      </c>
      <c r="E324" s="110">
        <v>2.1832698436828046</v>
      </c>
      <c r="F324" s="83" t="s">
        <v>2676</v>
      </c>
      <c r="G324" s="83" t="b">
        <v>0</v>
      </c>
      <c r="H324" s="83" t="b">
        <v>0</v>
      </c>
      <c r="I324" s="83" t="b">
        <v>0</v>
      </c>
      <c r="J324" s="83" t="b">
        <v>0</v>
      </c>
      <c r="K324" s="83" t="b">
        <v>0</v>
      </c>
      <c r="L324" s="83" t="b">
        <v>0</v>
      </c>
    </row>
    <row r="325" spans="1:12" ht="15">
      <c r="A325" s="84" t="s">
        <v>2908</v>
      </c>
      <c r="B325" s="83" t="s">
        <v>2741</v>
      </c>
      <c r="C325" s="83">
        <v>2</v>
      </c>
      <c r="D325" s="110">
        <v>0.0064874485648538935</v>
      </c>
      <c r="E325" s="110">
        <v>1.4842998393467859</v>
      </c>
      <c r="F325" s="83" t="s">
        <v>2676</v>
      </c>
      <c r="G325" s="83" t="b">
        <v>0</v>
      </c>
      <c r="H325" s="83" t="b">
        <v>0</v>
      </c>
      <c r="I325" s="83" t="b">
        <v>0</v>
      </c>
      <c r="J325" s="83" t="b">
        <v>0</v>
      </c>
      <c r="K325" s="83" t="b">
        <v>0</v>
      </c>
      <c r="L325" s="83" t="b">
        <v>0</v>
      </c>
    </row>
    <row r="326" spans="1:12" ht="15">
      <c r="A326" s="84" t="s">
        <v>3259</v>
      </c>
      <c r="B326" s="83" t="s">
        <v>3033</v>
      </c>
      <c r="C326" s="83">
        <v>2</v>
      </c>
      <c r="D326" s="110">
        <v>0.008328610617844604</v>
      </c>
      <c r="E326" s="110">
        <v>2.0071785846271233</v>
      </c>
      <c r="F326" s="83" t="s">
        <v>2676</v>
      </c>
      <c r="G326" s="83" t="b">
        <v>0</v>
      </c>
      <c r="H326" s="83" t="b">
        <v>0</v>
      </c>
      <c r="I326" s="83" t="b">
        <v>0</v>
      </c>
      <c r="J326" s="83" t="b">
        <v>0</v>
      </c>
      <c r="K326" s="83" t="b">
        <v>1</v>
      </c>
      <c r="L326" s="83" t="b">
        <v>0</v>
      </c>
    </row>
    <row r="327" spans="1:12" ht="15">
      <c r="A327" s="84" t="s">
        <v>3033</v>
      </c>
      <c r="B327" s="83" t="s">
        <v>3261</v>
      </c>
      <c r="C327" s="83">
        <v>2</v>
      </c>
      <c r="D327" s="110">
        <v>0.008328610617844604</v>
      </c>
      <c r="E327" s="110">
        <v>2.0071785846271233</v>
      </c>
      <c r="F327" s="83" t="s">
        <v>2676</v>
      </c>
      <c r="G327" s="83" t="b">
        <v>0</v>
      </c>
      <c r="H327" s="83" t="b">
        <v>1</v>
      </c>
      <c r="I327" s="83" t="b">
        <v>0</v>
      </c>
      <c r="J327" s="83" t="b">
        <v>0</v>
      </c>
      <c r="K327" s="83" t="b">
        <v>1</v>
      </c>
      <c r="L327" s="83" t="b">
        <v>0</v>
      </c>
    </row>
    <row r="328" spans="1:12" ht="15">
      <c r="A328" s="84" t="s">
        <v>3264</v>
      </c>
      <c r="B328" s="83" t="s">
        <v>2881</v>
      </c>
      <c r="C328" s="83">
        <v>2</v>
      </c>
      <c r="D328" s="110">
        <v>0.008328610617844604</v>
      </c>
      <c r="E328" s="110">
        <v>2.1832698436828046</v>
      </c>
      <c r="F328" s="83" t="s">
        <v>2676</v>
      </c>
      <c r="G328" s="83" t="b">
        <v>1</v>
      </c>
      <c r="H328" s="83" t="b">
        <v>0</v>
      </c>
      <c r="I328" s="83" t="b">
        <v>0</v>
      </c>
      <c r="J328" s="83" t="b">
        <v>0</v>
      </c>
      <c r="K328" s="83" t="b">
        <v>0</v>
      </c>
      <c r="L328" s="83" t="b">
        <v>0</v>
      </c>
    </row>
    <row r="329" spans="1:12" ht="15">
      <c r="A329" s="84" t="s">
        <v>2881</v>
      </c>
      <c r="B329" s="83" t="s">
        <v>3016</v>
      </c>
      <c r="C329" s="83">
        <v>2</v>
      </c>
      <c r="D329" s="110">
        <v>0.008328610617844604</v>
      </c>
      <c r="E329" s="110">
        <v>2.1832698436828046</v>
      </c>
      <c r="F329" s="83" t="s">
        <v>2676</v>
      </c>
      <c r="G329" s="83" t="b">
        <v>0</v>
      </c>
      <c r="H329" s="83" t="b">
        <v>0</v>
      </c>
      <c r="I329" s="83" t="b">
        <v>0</v>
      </c>
      <c r="J329" s="83" t="b">
        <v>0</v>
      </c>
      <c r="K329" s="83" t="b">
        <v>0</v>
      </c>
      <c r="L329" s="83" t="b">
        <v>0</v>
      </c>
    </row>
    <row r="330" spans="1:12" ht="15">
      <c r="A330" s="84" t="s">
        <v>3265</v>
      </c>
      <c r="B330" s="83" t="s">
        <v>3020</v>
      </c>
      <c r="C330" s="83">
        <v>2</v>
      </c>
      <c r="D330" s="110">
        <v>0.008328610617844604</v>
      </c>
      <c r="E330" s="110">
        <v>2.1832698436828046</v>
      </c>
      <c r="F330" s="83" t="s">
        <v>2676</v>
      </c>
      <c r="G330" s="83" t="b">
        <v>0</v>
      </c>
      <c r="H330" s="83" t="b">
        <v>0</v>
      </c>
      <c r="I330" s="83" t="b">
        <v>0</v>
      </c>
      <c r="J330" s="83" t="b">
        <v>0</v>
      </c>
      <c r="K330" s="83" t="b">
        <v>0</v>
      </c>
      <c r="L330" s="83" t="b">
        <v>0</v>
      </c>
    </row>
    <row r="331" spans="1:12" ht="15">
      <c r="A331" s="84" t="s">
        <v>2782</v>
      </c>
      <c r="B331" s="83" t="s">
        <v>2825</v>
      </c>
      <c r="C331" s="83">
        <v>4</v>
      </c>
      <c r="D331" s="110">
        <v>0.034013856095790364</v>
      </c>
      <c r="E331" s="110">
        <v>1.5250448070368452</v>
      </c>
      <c r="F331" s="83" t="s">
        <v>2677</v>
      </c>
      <c r="G331" s="83" t="b">
        <v>0</v>
      </c>
      <c r="H331" s="83" t="b">
        <v>0</v>
      </c>
      <c r="I331" s="83" t="b">
        <v>0</v>
      </c>
      <c r="J331" s="83" t="b">
        <v>0</v>
      </c>
      <c r="K331" s="83" t="b">
        <v>0</v>
      </c>
      <c r="L331" s="83" t="b">
        <v>0</v>
      </c>
    </row>
    <row r="332" spans="1:12" ht="15">
      <c r="A332" s="84" t="s">
        <v>2724</v>
      </c>
      <c r="B332" s="83" t="s">
        <v>2717</v>
      </c>
      <c r="C332" s="83">
        <v>4</v>
      </c>
      <c r="D332" s="110">
        <v>0.021540097802465852</v>
      </c>
      <c r="E332" s="110">
        <v>1.428134794028789</v>
      </c>
      <c r="F332" s="83" t="s">
        <v>2677</v>
      </c>
      <c r="G332" s="83" t="b">
        <v>0</v>
      </c>
      <c r="H332" s="83" t="b">
        <v>0</v>
      </c>
      <c r="I332" s="83" t="b">
        <v>0</v>
      </c>
      <c r="J332" s="83" t="b">
        <v>0</v>
      </c>
      <c r="K332" s="83" t="b">
        <v>0</v>
      </c>
      <c r="L332" s="83" t="b">
        <v>0</v>
      </c>
    </row>
    <row r="333" spans="1:12" ht="15">
      <c r="A333" s="84" t="s">
        <v>2905</v>
      </c>
      <c r="B333" s="83" t="s">
        <v>2760</v>
      </c>
      <c r="C333" s="83">
        <v>2</v>
      </c>
      <c r="D333" s="110">
        <v>0.017006928047895182</v>
      </c>
      <c r="E333" s="110">
        <v>1.8260748027008264</v>
      </c>
      <c r="F333" s="83" t="s">
        <v>2677</v>
      </c>
      <c r="G333" s="83" t="b">
        <v>0</v>
      </c>
      <c r="H333" s="83" t="b">
        <v>0</v>
      </c>
      <c r="I333" s="83" t="b">
        <v>0</v>
      </c>
      <c r="J333" s="83" t="b">
        <v>0</v>
      </c>
      <c r="K333" s="83" t="b">
        <v>0</v>
      </c>
      <c r="L333" s="83" t="b">
        <v>0</v>
      </c>
    </row>
    <row r="334" spans="1:12" ht="15">
      <c r="A334" s="84" t="s">
        <v>2760</v>
      </c>
      <c r="B334" s="83" t="s">
        <v>3231</v>
      </c>
      <c r="C334" s="83">
        <v>2</v>
      </c>
      <c r="D334" s="110">
        <v>0.017006928047895182</v>
      </c>
      <c r="E334" s="110">
        <v>1.8260748027008264</v>
      </c>
      <c r="F334" s="83" t="s">
        <v>2677</v>
      </c>
      <c r="G334" s="83" t="b">
        <v>0</v>
      </c>
      <c r="H334" s="83" t="b">
        <v>0</v>
      </c>
      <c r="I334" s="83" t="b">
        <v>0</v>
      </c>
      <c r="J334" s="83" t="b">
        <v>0</v>
      </c>
      <c r="K334" s="83" t="b">
        <v>0</v>
      </c>
      <c r="L334" s="83" t="b">
        <v>0</v>
      </c>
    </row>
    <row r="335" spans="1:12" ht="15">
      <c r="A335" s="84" t="s">
        <v>3231</v>
      </c>
      <c r="B335" s="83" t="s">
        <v>3232</v>
      </c>
      <c r="C335" s="83">
        <v>2</v>
      </c>
      <c r="D335" s="110">
        <v>0.017006928047895182</v>
      </c>
      <c r="E335" s="110">
        <v>1.8260748027008264</v>
      </c>
      <c r="F335" s="83" t="s">
        <v>2677</v>
      </c>
      <c r="G335" s="83" t="b">
        <v>0</v>
      </c>
      <c r="H335" s="83" t="b">
        <v>0</v>
      </c>
      <c r="I335" s="83" t="b">
        <v>0</v>
      </c>
      <c r="J335" s="83" t="b">
        <v>0</v>
      </c>
      <c r="K335" s="83" t="b">
        <v>0</v>
      </c>
      <c r="L335" s="83" t="b">
        <v>0</v>
      </c>
    </row>
    <row r="336" spans="1:12" ht="15">
      <c r="A336" s="84" t="s">
        <v>3232</v>
      </c>
      <c r="B336" s="83" t="s">
        <v>3233</v>
      </c>
      <c r="C336" s="83">
        <v>2</v>
      </c>
      <c r="D336" s="110">
        <v>0.017006928047895182</v>
      </c>
      <c r="E336" s="110">
        <v>1.8260748027008264</v>
      </c>
      <c r="F336" s="83" t="s">
        <v>2677</v>
      </c>
      <c r="G336" s="83" t="b">
        <v>0</v>
      </c>
      <c r="H336" s="83" t="b">
        <v>0</v>
      </c>
      <c r="I336" s="83" t="b">
        <v>0</v>
      </c>
      <c r="J336" s="83" t="b">
        <v>0</v>
      </c>
      <c r="K336" s="83" t="b">
        <v>0</v>
      </c>
      <c r="L336" s="83" t="b">
        <v>0</v>
      </c>
    </row>
    <row r="337" spans="1:12" ht="15">
      <c r="A337" s="84" t="s">
        <v>3233</v>
      </c>
      <c r="B337" s="83" t="s">
        <v>3234</v>
      </c>
      <c r="C337" s="83">
        <v>2</v>
      </c>
      <c r="D337" s="110">
        <v>0.017006928047895182</v>
      </c>
      <c r="E337" s="110">
        <v>1.8260748027008264</v>
      </c>
      <c r="F337" s="83" t="s">
        <v>2677</v>
      </c>
      <c r="G337" s="83" t="b">
        <v>0</v>
      </c>
      <c r="H337" s="83" t="b">
        <v>0</v>
      </c>
      <c r="I337" s="83" t="b">
        <v>0</v>
      </c>
      <c r="J337" s="83" t="b">
        <v>0</v>
      </c>
      <c r="K337" s="83" t="b">
        <v>0</v>
      </c>
      <c r="L337" s="83" t="b">
        <v>0</v>
      </c>
    </row>
    <row r="338" spans="1:12" ht="15">
      <c r="A338" s="84" t="s">
        <v>3234</v>
      </c>
      <c r="B338" s="83" t="s">
        <v>2754</v>
      </c>
      <c r="C338" s="83">
        <v>2</v>
      </c>
      <c r="D338" s="110">
        <v>0.017006928047895182</v>
      </c>
      <c r="E338" s="110">
        <v>1.8260748027008264</v>
      </c>
      <c r="F338" s="83" t="s">
        <v>2677</v>
      </c>
      <c r="G338" s="83" t="b">
        <v>0</v>
      </c>
      <c r="H338" s="83" t="b">
        <v>0</v>
      </c>
      <c r="I338" s="83" t="b">
        <v>0</v>
      </c>
      <c r="J338" s="83" t="b">
        <v>1</v>
      </c>
      <c r="K338" s="83" t="b">
        <v>0</v>
      </c>
      <c r="L338" s="83" t="b">
        <v>0</v>
      </c>
    </row>
    <row r="339" spans="1:12" ht="15">
      <c r="A339" s="84" t="s">
        <v>2754</v>
      </c>
      <c r="B339" s="83" t="s">
        <v>3025</v>
      </c>
      <c r="C339" s="83">
        <v>2</v>
      </c>
      <c r="D339" s="110">
        <v>0.017006928047895182</v>
      </c>
      <c r="E339" s="110">
        <v>1.6499835436451453</v>
      </c>
      <c r="F339" s="83" t="s">
        <v>2677</v>
      </c>
      <c r="G339" s="83" t="b">
        <v>1</v>
      </c>
      <c r="H339" s="83" t="b">
        <v>0</v>
      </c>
      <c r="I339" s="83" t="b">
        <v>0</v>
      </c>
      <c r="J339" s="83" t="b">
        <v>0</v>
      </c>
      <c r="K339" s="83" t="b">
        <v>0</v>
      </c>
      <c r="L339" s="83" t="b">
        <v>0</v>
      </c>
    </row>
    <row r="340" spans="1:12" ht="15">
      <c r="A340" s="84" t="s">
        <v>2825</v>
      </c>
      <c r="B340" s="83" t="s">
        <v>3235</v>
      </c>
      <c r="C340" s="83">
        <v>2</v>
      </c>
      <c r="D340" s="110">
        <v>0.017006928047895182</v>
      </c>
      <c r="E340" s="110">
        <v>1.5250448070368452</v>
      </c>
      <c r="F340" s="83" t="s">
        <v>2677</v>
      </c>
      <c r="G340" s="83" t="b">
        <v>0</v>
      </c>
      <c r="H340" s="83" t="b">
        <v>0</v>
      </c>
      <c r="I340" s="83" t="b">
        <v>0</v>
      </c>
      <c r="J340" s="83" t="b">
        <v>0</v>
      </c>
      <c r="K340" s="83" t="b">
        <v>0</v>
      </c>
      <c r="L340" s="83" t="b">
        <v>0</v>
      </c>
    </row>
    <row r="341" spans="1:12" ht="15">
      <c r="A341" s="84" t="s">
        <v>2721</v>
      </c>
      <c r="B341" s="83" t="s">
        <v>3026</v>
      </c>
      <c r="C341" s="83">
        <v>2</v>
      </c>
      <c r="D341" s="110">
        <v>0.017006928047895182</v>
      </c>
      <c r="E341" s="110">
        <v>1.6499835436451453</v>
      </c>
      <c r="F341" s="83" t="s">
        <v>2677</v>
      </c>
      <c r="G341" s="83" t="b">
        <v>0</v>
      </c>
      <c r="H341" s="83" t="b">
        <v>0</v>
      </c>
      <c r="I341" s="83" t="b">
        <v>0</v>
      </c>
      <c r="J341" s="83" t="b">
        <v>0</v>
      </c>
      <c r="K341" s="83" t="b">
        <v>0</v>
      </c>
      <c r="L341" s="83" t="b">
        <v>0</v>
      </c>
    </row>
    <row r="342" spans="1:12" ht="15">
      <c r="A342" s="84" t="s">
        <v>3026</v>
      </c>
      <c r="B342" s="83" t="s">
        <v>3237</v>
      </c>
      <c r="C342" s="83">
        <v>2</v>
      </c>
      <c r="D342" s="110">
        <v>0.017006928047895182</v>
      </c>
      <c r="E342" s="110">
        <v>1.6499835436451453</v>
      </c>
      <c r="F342" s="83" t="s">
        <v>2677</v>
      </c>
      <c r="G342" s="83" t="b">
        <v>0</v>
      </c>
      <c r="H342" s="83" t="b">
        <v>0</v>
      </c>
      <c r="I342" s="83" t="b">
        <v>0</v>
      </c>
      <c r="J342" s="83" t="b">
        <v>0</v>
      </c>
      <c r="K342" s="83" t="b">
        <v>0</v>
      </c>
      <c r="L342" s="83" t="b">
        <v>0</v>
      </c>
    </row>
    <row r="343" spans="1:12" ht="15">
      <c r="A343" s="84" t="s">
        <v>2825</v>
      </c>
      <c r="B343" s="83" t="s">
        <v>3238</v>
      </c>
      <c r="C343" s="83">
        <v>2</v>
      </c>
      <c r="D343" s="110">
        <v>0.017006928047895182</v>
      </c>
      <c r="E343" s="110">
        <v>1.5250448070368452</v>
      </c>
      <c r="F343" s="83" t="s">
        <v>2677</v>
      </c>
      <c r="G343" s="83" t="b">
        <v>0</v>
      </c>
      <c r="H343" s="83" t="b">
        <v>0</v>
      </c>
      <c r="I343" s="83" t="b">
        <v>0</v>
      </c>
      <c r="J343" s="83" t="b">
        <v>0</v>
      </c>
      <c r="K343" s="83" t="b">
        <v>0</v>
      </c>
      <c r="L343" s="83" t="b">
        <v>0</v>
      </c>
    </row>
    <row r="344" spans="1:12" ht="15">
      <c r="A344" s="84" t="s">
        <v>2780</v>
      </c>
      <c r="B344" s="83" t="s">
        <v>3239</v>
      </c>
      <c r="C344" s="83">
        <v>2</v>
      </c>
      <c r="D344" s="110">
        <v>0.017006928047895182</v>
      </c>
      <c r="E344" s="110">
        <v>1.6499835436451453</v>
      </c>
      <c r="F344" s="83" t="s">
        <v>2677</v>
      </c>
      <c r="G344" s="83" t="b">
        <v>0</v>
      </c>
      <c r="H344" s="83" t="b">
        <v>0</v>
      </c>
      <c r="I344" s="83" t="b">
        <v>0</v>
      </c>
      <c r="J344" s="83" t="b">
        <v>0</v>
      </c>
      <c r="K344" s="83" t="b">
        <v>0</v>
      </c>
      <c r="L344" s="83" t="b">
        <v>0</v>
      </c>
    </row>
    <row r="345" spans="1:12" ht="15">
      <c r="A345" s="84" t="s">
        <v>2787</v>
      </c>
      <c r="B345" s="83" t="s">
        <v>2724</v>
      </c>
      <c r="C345" s="83">
        <v>2</v>
      </c>
      <c r="D345" s="110">
        <v>0.013071895424836602</v>
      </c>
      <c r="E345" s="110">
        <v>1.1271047983648077</v>
      </c>
      <c r="F345" s="83" t="s">
        <v>2677</v>
      </c>
      <c r="G345" s="83" t="b">
        <v>0</v>
      </c>
      <c r="H345" s="83" t="b">
        <v>0</v>
      </c>
      <c r="I345" s="83" t="b">
        <v>0</v>
      </c>
      <c r="J345" s="83" t="b">
        <v>0</v>
      </c>
      <c r="K345" s="83" t="b">
        <v>0</v>
      </c>
      <c r="L345" s="83" t="b">
        <v>0</v>
      </c>
    </row>
    <row r="346" spans="1:12" ht="15">
      <c r="A346" s="84" t="s">
        <v>1421</v>
      </c>
      <c r="B346" s="83" t="s">
        <v>2739</v>
      </c>
      <c r="C346" s="83">
        <v>2</v>
      </c>
      <c r="D346" s="110">
        <v>0.040301336618538935</v>
      </c>
      <c r="E346" s="110">
        <v>0.9999999999999999</v>
      </c>
      <c r="F346" s="83" t="s">
        <v>2680</v>
      </c>
      <c r="G346" s="83" t="b">
        <v>1</v>
      </c>
      <c r="H346" s="83" t="b">
        <v>0</v>
      </c>
      <c r="I346" s="83" t="b">
        <v>0</v>
      </c>
      <c r="J346" s="83" t="b">
        <v>1</v>
      </c>
      <c r="K346" s="83" t="b">
        <v>0</v>
      </c>
      <c r="L346" s="83" t="b">
        <v>0</v>
      </c>
    </row>
    <row r="347" spans="1:12" ht="15">
      <c r="A347" s="84" t="s">
        <v>2724</v>
      </c>
      <c r="B347" s="83" t="s">
        <v>2722</v>
      </c>
      <c r="C347" s="83">
        <v>3</v>
      </c>
      <c r="D347" s="110">
        <v>0.011290463286706328</v>
      </c>
      <c r="E347" s="110">
        <v>1.7054360465852505</v>
      </c>
      <c r="F347" s="83" t="s">
        <v>2681</v>
      </c>
      <c r="G347" s="83" t="b">
        <v>0</v>
      </c>
      <c r="H347" s="83" t="b">
        <v>0</v>
      </c>
      <c r="I347" s="83" t="b">
        <v>0</v>
      </c>
      <c r="J347" s="83" t="b">
        <v>0</v>
      </c>
      <c r="K347" s="83" t="b">
        <v>0</v>
      </c>
      <c r="L347" s="83" t="b">
        <v>0</v>
      </c>
    </row>
    <row r="348" spans="1:12" ht="15">
      <c r="A348" s="84" t="s">
        <v>2999</v>
      </c>
      <c r="B348" s="83" t="s">
        <v>3180</v>
      </c>
      <c r="C348" s="83">
        <v>2</v>
      </c>
      <c r="D348" s="110">
        <v>0.007526975524470884</v>
      </c>
      <c r="E348" s="110">
        <v>2.0064660422492318</v>
      </c>
      <c r="F348" s="83" t="s">
        <v>2681</v>
      </c>
      <c r="G348" s="83" t="b">
        <v>0</v>
      </c>
      <c r="H348" s="83" t="b">
        <v>0</v>
      </c>
      <c r="I348" s="83" t="b">
        <v>0</v>
      </c>
      <c r="J348" s="83" t="b">
        <v>0</v>
      </c>
      <c r="K348" s="83" t="b">
        <v>0</v>
      </c>
      <c r="L348" s="83" t="b">
        <v>0</v>
      </c>
    </row>
    <row r="349" spans="1:12" ht="15">
      <c r="A349" s="84" t="s">
        <v>3180</v>
      </c>
      <c r="B349" s="83" t="s">
        <v>2842</v>
      </c>
      <c r="C349" s="83">
        <v>2</v>
      </c>
      <c r="D349" s="110">
        <v>0.007526975524470884</v>
      </c>
      <c r="E349" s="110">
        <v>2.0064660422492318</v>
      </c>
      <c r="F349" s="83" t="s">
        <v>2681</v>
      </c>
      <c r="G349" s="83" t="b">
        <v>0</v>
      </c>
      <c r="H349" s="83" t="b">
        <v>0</v>
      </c>
      <c r="I349" s="83" t="b">
        <v>0</v>
      </c>
      <c r="J349" s="83" t="b">
        <v>0</v>
      </c>
      <c r="K349" s="83" t="b">
        <v>0</v>
      </c>
      <c r="L349" s="83" t="b">
        <v>0</v>
      </c>
    </row>
    <row r="350" spans="1:12" ht="15">
      <c r="A350" s="84" t="s">
        <v>3202</v>
      </c>
      <c r="B350" s="83" t="s">
        <v>3203</v>
      </c>
      <c r="C350" s="83">
        <v>2</v>
      </c>
      <c r="D350" s="110">
        <v>0.007526975524470884</v>
      </c>
      <c r="E350" s="110">
        <v>2.0064660422492318</v>
      </c>
      <c r="F350" s="83" t="s">
        <v>2681</v>
      </c>
      <c r="G350" s="83" t="b">
        <v>0</v>
      </c>
      <c r="H350" s="83" t="b">
        <v>0</v>
      </c>
      <c r="I350" s="83" t="b">
        <v>0</v>
      </c>
      <c r="J350" s="83" t="b">
        <v>0</v>
      </c>
      <c r="K350" s="83" t="b">
        <v>0</v>
      </c>
      <c r="L350" s="83" t="b">
        <v>0</v>
      </c>
    </row>
    <row r="351" spans="1:12" ht="15">
      <c r="A351" s="84" t="s">
        <v>2986</v>
      </c>
      <c r="B351" s="83" t="s">
        <v>2898</v>
      </c>
      <c r="C351" s="83">
        <v>2</v>
      </c>
      <c r="D351" s="110">
        <v>0.007526975524470884</v>
      </c>
      <c r="E351" s="110">
        <v>1.7054360465852505</v>
      </c>
      <c r="F351" s="83" t="s">
        <v>2681</v>
      </c>
      <c r="G351" s="83" t="b">
        <v>0</v>
      </c>
      <c r="H351" s="83" t="b">
        <v>0</v>
      </c>
      <c r="I351" s="83" t="b">
        <v>0</v>
      </c>
      <c r="J351" s="83" t="b">
        <v>0</v>
      </c>
      <c r="K351" s="83" t="b">
        <v>0</v>
      </c>
      <c r="L351" s="83" t="b">
        <v>0</v>
      </c>
    </row>
    <row r="352" spans="1:12" ht="15">
      <c r="A352" s="84" t="s">
        <v>2898</v>
      </c>
      <c r="B352" s="83" t="s">
        <v>2801</v>
      </c>
      <c r="C352" s="83">
        <v>2</v>
      </c>
      <c r="D352" s="110">
        <v>0.007526975524470884</v>
      </c>
      <c r="E352" s="110">
        <v>1.5293447875295694</v>
      </c>
      <c r="F352" s="83" t="s">
        <v>2681</v>
      </c>
      <c r="G352" s="83" t="b">
        <v>0</v>
      </c>
      <c r="H352" s="83" t="b">
        <v>0</v>
      </c>
      <c r="I352" s="83" t="b">
        <v>0</v>
      </c>
      <c r="J352" s="83" t="b">
        <v>0</v>
      </c>
      <c r="K352" s="83" t="b">
        <v>0</v>
      </c>
      <c r="L352" s="83" t="b">
        <v>0</v>
      </c>
    </row>
    <row r="353" spans="1:12" ht="15">
      <c r="A353" s="84" t="s">
        <v>3002</v>
      </c>
      <c r="B353" s="83" t="s">
        <v>2900</v>
      </c>
      <c r="C353" s="83">
        <v>2</v>
      </c>
      <c r="D353" s="110">
        <v>0.007526975524470884</v>
      </c>
      <c r="E353" s="110">
        <v>2.0064660422492318</v>
      </c>
      <c r="F353" s="83" t="s">
        <v>2681</v>
      </c>
      <c r="G353" s="83" t="b">
        <v>0</v>
      </c>
      <c r="H353" s="83" t="b">
        <v>0</v>
      </c>
      <c r="I353" s="83" t="b">
        <v>0</v>
      </c>
      <c r="J353" s="83" t="b">
        <v>0</v>
      </c>
      <c r="K353" s="83" t="b">
        <v>0</v>
      </c>
      <c r="L353" s="83" t="b">
        <v>0</v>
      </c>
    </row>
    <row r="354" spans="1:12" ht="15">
      <c r="A354" s="84" t="s">
        <v>3198</v>
      </c>
      <c r="B354" s="83" t="s">
        <v>2846</v>
      </c>
      <c r="C354" s="83">
        <v>2</v>
      </c>
      <c r="D354" s="110">
        <v>0.007526975524470884</v>
      </c>
      <c r="E354" s="110">
        <v>1.8303747831935504</v>
      </c>
      <c r="F354" s="83" t="s">
        <v>2681</v>
      </c>
      <c r="G354" s="83" t="b">
        <v>0</v>
      </c>
      <c r="H354" s="83" t="b">
        <v>0</v>
      </c>
      <c r="I354" s="83" t="b">
        <v>0</v>
      </c>
      <c r="J354" s="83" t="b">
        <v>0</v>
      </c>
      <c r="K354" s="83" t="b">
        <v>0</v>
      </c>
      <c r="L354" s="83" t="b">
        <v>0</v>
      </c>
    </row>
    <row r="355" spans="1:12" ht="15">
      <c r="A355" s="84" t="s">
        <v>2901</v>
      </c>
      <c r="B355" s="83" t="s">
        <v>3199</v>
      </c>
      <c r="C355" s="83">
        <v>2</v>
      </c>
      <c r="D355" s="110">
        <v>0.007526975524470884</v>
      </c>
      <c r="E355" s="110">
        <v>1.7054360465852505</v>
      </c>
      <c r="F355" s="83" t="s">
        <v>2681</v>
      </c>
      <c r="G355" s="83" t="b">
        <v>0</v>
      </c>
      <c r="H355" s="83" t="b">
        <v>0</v>
      </c>
      <c r="I355" s="83" t="b">
        <v>0</v>
      </c>
      <c r="J355" s="83" t="b">
        <v>0</v>
      </c>
      <c r="K355" s="83" t="b">
        <v>0</v>
      </c>
      <c r="L355" s="83" t="b">
        <v>0</v>
      </c>
    </row>
    <row r="356" spans="1:12" ht="15">
      <c r="A356" s="84" t="s">
        <v>3200</v>
      </c>
      <c r="B356" s="83" t="s">
        <v>3201</v>
      </c>
      <c r="C356" s="83">
        <v>2</v>
      </c>
      <c r="D356" s="110">
        <v>0.007526975524470884</v>
      </c>
      <c r="E356" s="110">
        <v>2.0064660422492318</v>
      </c>
      <c r="F356" s="83" t="s">
        <v>2681</v>
      </c>
      <c r="G356" s="83" t="b">
        <v>0</v>
      </c>
      <c r="H356" s="83" t="b">
        <v>0</v>
      </c>
      <c r="I356" s="83" t="b">
        <v>0</v>
      </c>
      <c r="J356" s="83" t="b">
        <v>0</v>
      </c>
      <c r="K356" s="83" t="b">
        <v>0</v>
      </c>
      <c r="L356" s="83" t="b">
        <v>0</v>
      </c>
    </row>
    <row r="357" spans="1:12" ht="15">
      <c r="A357" s="84" t="s">
        <v>2782</v>
      </c>
      <c r="B357" s="83" t="s">
        <v>2825</v>
      </c>
      <c r="C357" s="83">
        <v>2</v>
      </c>
      <c r="D357" s="110">
        <v>0.0665685718415256</v>
      </c>
      <c r="E357" s="110">
        <v>0.9030899869919435</v>
      </c>
      <c r="F357" s="83" t="s">
        <v>2686</v>
      </c>
      <c r="G357" s="83" t="b">
        <v>0</v>
      </c>
      <c r="H357" s="83" t="b">
        <v>0</v>
      </c>
      <c r="I357" s="83" t="b">
        <v>0</v>
      </c>
      <c r="J357" s="83" t="b">
        <v>0</v>
      </c>
      <c r="K357" s="83" t="b">
        <v>0</v>
      </c>
      <c r="L357" s="83" t="b">
        <v>0</v>
      </c>
    </row>
    <row r="358" spans="1:12" ht="15">
      <c r="A358" s="84" t="s">
        <v>2825</v>
      </c>
      <c r="B358" s="83" t="s">
        <v>3293</v>
      </c>
      <c r="C358" s="83">
        <v>2</v>
      </c>
      <c r="D358" s="110">
        <v>0.0665685718415256</v>
      </c>
      <c r="E358" s="110">
        <v>0.9030899869919435</v>
      </c>
      <c r="F358" s="83" t="s">
        <v>2686</v>
      </c>
      <c r="G358" s="83" t="b">
        <v>0</v>
      </c>
      <c r="H358" s="83" t="b">
        <v>0</v>
      </c>
      <c r="I358" s="83" t="b">
        <v>0</v>
      </c>
      <c r="J358" s="83" t="b">
        <v>0</v>
      </c>
      <c r="K358" s="83" t="b">
        <v>0</v>
      </c>
      <c r="L358"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83074A7-F479-477E-A9E1-EDDA12E23C1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Digital Space Lab</dc:creator>
  <cp:keywords/>
  <dc:description/>
  <cp:lastModifiedBy>Digital Space Lab</cp:lastModifiedBy>
  <dcterms:created xsi:type="dcterms:W3CDTF">2008-01-30T00:41:58Z</dcterms:created>
  <dcterms:modified xsi:type="dcterms:W3CDTF">2021-06-15T11:48:05Z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