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<sst xmlns="http://schemas.openxmlformats.org/spreadsheetml/2006/main" count="598" uniqueCount="345">
  <si>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</si>
  <si>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</si>
  <si>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</si>
  <si>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</si>
  <si>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</si>
  <si>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</si>
  <si>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</si>
  <si>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</si>
  <si>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</si>
  <si>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</si>
  <si>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</si>
  <si>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</si>
  <si>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</si>
  <si>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</si>
  <si>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</si>
  <si>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</si>
  <si>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</si>
  <si>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</si>
  <si>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</si>
  <si>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</si>
  <si>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</si>
  <si>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</si>
  <si>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</si>
  <si>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</si>
  <si>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</si>
  <si>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</si>
  <si>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</si>
  <si>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</si>
  <si>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</si>
  <si>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</si>
  <si>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</si>
  <si>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</si>
  <si>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</si>
  <si>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</si>
  <si>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</si>
  <si>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</si>
  <si>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</si>
  <si>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</si>
  <si>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</si>
  <si>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</si>
  <si>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</si>
  <si>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</si>
  <si>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</si>
  <si>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</si>
  <si>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</si>
  <si>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</si>
  <si>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</si>
  <si>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</si>
  <si>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</si>
  <si>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</si>
  <si>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</si>
  <si>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</si>
  <si>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</si>
  <si>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</si>
  <si>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</si>
  <si>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</si>
  <si>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</si>
  <si>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</si>
  <si>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</si>
  <si>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</si>
  <si>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</si>
  <si>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</si>
  <si>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</si>
  <si>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</si>
  <si>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</si>
  <si>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</si>
  <si>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</si>
  <si>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</si>
  <si>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</si>
  <si>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</si>
  <si>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</si>
  <si>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</si>
  <si>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</si>
  <si>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</si>
  <si>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</si>
  <si>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</si>
  <si>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</si>
  <si>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</si>
  <si>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</si>
  <si>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</si>
  <si>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</si>
  <si>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</si>
  <si>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</si>
  <si>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</si>
  <si>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</si>
  <si>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</si>
  <si>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</si>
  <si>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</si>
  <si>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</si>
  <si>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</si>
  <si>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</si>
  <si>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</si>
  <si>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</si>
  <si>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</si>
  <si>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</si>
  <si>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</si>
  <si>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</si>
  <si>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</si>
  <si>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</si>
  <si>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</si>
  <si>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</si>
  <si>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</si>
  <si>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</si>
  <si>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</si>
  <si>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</si>
  <si>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</si>
  <si>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</si>
  <si>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</si>
  <si>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</si>
  <si>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</si>
  <si>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</si>
  <si>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</si>
  <si>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</si>
  <si>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</si>
  <si>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</si>
  <si>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</si>
  <si>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</si>
  <si>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</si>
  <si>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</si>
  <si>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</si>
  <si>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</si>
  <si>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</si>
  <si>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</si>
  <si>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</si>
  <si>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</si>
  <si>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</si>
  <si>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</si>
  <si>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</si>
  <si>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</si>
  <si>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</si>
  <si>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</si>
  <si>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</si>
  <si>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</si>
  <si>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</si>
  <si>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</si>
  <si>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</si>
  <si>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</si>
  <si>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</si>
  <si>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</si>
  <si>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</si>
  <si>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</si>
  <si>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</si>
  <si>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</si>
  <si>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</si>
  <si>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</si>
  <si>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</si>
  <si>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</si>
  <si>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</si>
  <si>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</si>
  <si>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</si>
  <si>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</si>
  <si>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</si>
  <si>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</si>
  <si>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</si>
  <si>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</si>
  <si>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</si>
  <si>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</si>
  <si>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</si>
  <si>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</si>
  <si>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</si>
  <si>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</si>
  <si>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</si>
  <si>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</si>
  <si>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</si>
  <si>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</si>
  <si>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</si>
  <si>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</si>
  <si>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</si>
  <si>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</si>
  <si>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</si>
  <si>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</si>
  <si>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</si>
  <si>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</si>
  <si>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</si>
  <si>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</si>
  <si>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</si>
  <si>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</si>
  <si>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</si>
  <si>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</si>
  <si>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</si>
  <si>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</si>
  <si>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</si>
  <si>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</si>
  <si>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</si>
  <si>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</si>
  <si>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</si>
  <si>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</si>
  <si>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</si>
  <si>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</si>
  <si>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</si>
  <si>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</si>
  <si>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</si>
  <si>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</si>
  <si>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</si>
  <si>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</si>
  <si>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</si>
  <si>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</si>
  <si>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</si>
  <si>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</si>
  <si>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</si>
  <si>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</si>
  <si>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</si>
  <si>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</si>
  <si>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</si>
  <si>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</si>
  <si>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</si>
  <si>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</si>
  <si>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</si>
  <si>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</si>
  <si>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</si>
  <si>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</si>
  <si>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</si>
  <si>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</si>
  <si>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</si>
  <si>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electriccaraust</t>
  </si>
  <si>
    <t>margaretagroth</t>
  </si>
  <si>
    <t>renew_economy</t>
  </si>
  <si>
    <t>solarcitizens</t>
  </si>
  <si>
    <t>auspol</t>
  </si>
  <si>
    <t>nordicinno</t>
  </si>
  <si>
    <t>Mentions</t>
  </si>
  <si>
    <t>CEP to build 150MW big battery at former Holden plant in South Australia https://t.co/nxWoeLos4M via @renew_economy #sustainableenergy #sustainableindustry #renewableenergy   #adelaide</t>
  </si>
  <si>
    <t>It can be done! Congrats to the Scotts. #renewableenergy #sustainableindustry @Auspol @solarcitizens https://t.co/YjyO83MvsL</t>
  </si>
  <si>
    <t>Today board meeting for @nordicinno  - looking forward to updates on new initiatives on #sustainableindustry #circulareconomy for a sustainable and competitive #Nordic</t>
  </si>
  <si>
    <t>com.au</t>
  </si>
  <si>
    <t>bbc.com</t>
  </si>
  <si>
    <t>sustainableenergy sustainableindustry renewableenergy adelaide</t>
  </si>
  <si>
    <t>renewableenergy sustainableindustry</t>
  </si>
  <si>
    <t>sustainableindustry circulareconomy nordic</t>
  </si>
  <si>
    <t>01:32:46</t>
  </si>
  <si>
    <t>22:51:00</t>
  </si>
  <si>
    <t>08:34:51</t>
  </si>
  <si>
    <t>1376708949118918657</t>
  </si>
  <si>
    <t>1377030629460742144</t>
  </si>
  <si>
    <t>1374278456863768579</t>
  </si>
  <si>
    <t/>
  </si>
  <si>
    <t>en</t>
  </si>
  <si>
    <t>Twitter for Android</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</si>
  <si>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</si>
  <si>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</si>
  <si>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</si>
  <si>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</si>
  <si>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</si>
  <si>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</si>
  <si>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</si>
  <si>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</si>
  <si>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</si>
  <si>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</si>
  <si>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</si>
  <si>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</si>
  <si>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</si>
  <si>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</si>
  <si>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</si>
  <si>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</si>
  <si>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</si>
  <si>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</si>
  <si>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</si>
  <si>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</si>
  <si>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</si>
  <si>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</si>
  <si>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</si>
  <si>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Nordic Innovation</t>
  </si>
  <si>
    <t>Electric Car Australia</t>
  </si>
  <si>
    <t>RenewEconomy</t>
  </si>
  <si>
    <t>Solar Citizens</t>
  </si>
  <si>
    <t>Auspol</t>
  </si>
  <si>
    <t>Margareta Groth</t>
  </si>
  <si>
    <t>248637894</t>
  </si>
  <si>
    <t>1323859355792388096</t>
  </si>
  <si>
    <t>456230845</t>
  </si>
  <si>
    <t>719639137</t>
  </si>
  <si>
    <t>62587400</t>
  </si>
  <si>
    <t>2179853022</t>
  </si>
  <si>
    <t>We connect people, businesses and organizations for a sustainable future. Tweets by @magnusbuer, @harlung and @lenahenriksson.</t>
  </si>
  <si>
    <t>Welcome to Electric Car Australia! My names Greg and here I’ll share the real life experiences of buying and owning an Electric Car in Australia.</t>
  </si>
  <si>
    <t>Australia's only independent news and commentary on clean energy and climate change. Edited by @GilesParkinson</t>
  </si>
  <si>
    <t>An independent, community-based organisation bringing together millions of solar owners and supporters to grow and protect renewables in Australia.</t>
  </si>
  <si>
    <t>A view above the maddening crowd, Downunder. #auspol goes hard at it</t>
  </si>
  <si>
    <t>Head of Industrial Technologies Department at VINNOVA. Passionate about cooperation, research and always trying to do better. Follows outside my comfort zone.</t>
  </si>
  <si>
    <t>Brisbane</t>
  </si>
  <si>
    <t>Australia</t>
  </si>
  <si>
    <t>On The Road</t>
  </si>
  <si>
    <t>Stockholm, Sweden</t>
  </si>
  <si>
    <t>Open Twitter Page for This Person</t>
  </si>
  <si>
    <t xml:space="preserve">nordicinno
</t>
  </si>
  <si>
    <t>electriccaraust
It can be done! Congrats to the
Scotts. #renewableenergy #sustainableindustry
@Auspol @solarcitizens https://t.co/YjyO83MvsL</t>
  </si>
  <si>
    <t xml:space="preserve">renew_economy
</t>
  </si>
  <si>
    <t xml:space="preserve">solarcitizens
</t>
  </si>
  <si>
    <t xml:space="preserve">auspol
</t>
  </si>
  <si>
    <t>margaretagroth
Today board meeting for @nordicinno
- looking forward to updates on
new initiatives on #sustainableindustry
#circulareconomy for a sustainable
and competitive #Nordic</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</si>
  <si>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</si>
  <si>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</si>
  <si>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</si>
  <si>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</si>
  <si>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</si>
  <si>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</si>
  <si>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</si>
  <si>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</si>
  <si>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</si>
  <si>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</si>
  <si>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</si>
  <si>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</si>
  <si>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</si>
  <si>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</si>
  <si>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</si>
  <si>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</si>
  <si>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</si>
  <si>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</si>
  <si>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</si>
  <si>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</si>
  <si>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</si>
  <si>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</si>
  <si>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</si>
  <si>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</si>
  <si>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</si>
  <si>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</si>
  <si>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</si>
  <si>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</si>
  <si>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</si>
  <si>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</si>
  <si>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</si>
  <si>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</si>
  <si>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</si>
  <si>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</si>
  <si>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</si>
  <si>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</si>
  <si>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</si>
  <si>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</si>
  <si>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</si>
  <si>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</si>
  <si>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0, 12, 96</t>
  </si>
  <si>
    <t>0, 136, 227</t>
  </si>
  <si>
    <t>Vertex Group</t>
  </si>
  <si>
    <t>Vertex 1 Group</t>
  </si>
  <si>
    <t>Vertex 2 Group</t>
  </si>
  <si>
    <t>Top URLs in Tweet</t>
  </si>
  <si>
    <t>https://www.bbc.com/news/amp/uk-scotland-56530424?__twitter_impression=true https://reneweconomy.com.au/cep-to-build-150mw-big-battery-at-former-holden-plant-in-south-australia/</t>
  </si>
  <si>
    <t>Count of Tweet Date (UTC)</t>
  </si>
  <si>
    <t>Row Labels</t>
  </si>
  <si>
    <t>Grand Total</t>
  </si>
  <si>
    <t>128, 128, 128</t>
  </si>
  <si>
    <t>Autofill Workbook Results</t>
  </si>
  <si>
    <t>Edge Weight▓1▓1▓0▓True▓Gray▓Red▓▓Edge Weight▓1▓1▓0▓3▓10▓False▓Edge Weight▓1▓1▓0▓35▓12▓False▓▓0▓0▓0▓True▓Black▓Black▓▓▓0▓0▓0▓0▓0▓False▓▓0▓0▓0▓0▓0▓False▓▓0▓0▓0▓0▓0▓False▓▓0▓0▓0▓0▓0▓False</t>
  </si>
  <si>
    <t>GraphSource░GraphServerTwitterSearch▓GraphTerm░#sustainableindustry▓ImportDescription░The graph represents a network of 6 Twitter users whose tweets in the requested range contained "#sustainableindustry", or who were replied to or mentioned in those tweets.  The network was obtained from the NodeXL Graph Server on Thursday, 08 April 2021 at 01:33 UTC.
The requested start date was Tuesday, 06 April 2021 at 00:01 UTC and the maximum number of days (going backward) was 14.
The maximum number of tweets collected was 7,500.
The tweets in the network were tweeted over the 7-day, 14-hour, 16-minute period from Tuesday, 23 March 2021 at 08:34 UTC to Tuesday, 30 March 2021 at 22:51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</si>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</sst>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4">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4" borderId="11" xfId="24" applyNumberFormat="1" applyBorder="1" applyAlignment="1">
      <alignment/>
    </xf>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167" fontId="0" fillId="4" borderId="11" xfId="24" applyNumberFormat="1" applyFont="1" applyBorder="1" applyAlignment="1">
      <alignment/>
    </xf>
    <xf numFmtId="167" fontId="0" fillId="4" borderId="11" xfId="24" applyNumberForma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24">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77"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7" formatCode="General"/>
      <border>
        <right style="thin">
          <color theme="0"/>
        </right>
      </border>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border>
        <left style="thin">
          <color theme="0"/>
        </left>
      </border>
    </dxf>
    <dxf>
      <numFmt numFmtId="177"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font>
        <b val="0"/>
        <i val="0"/>
        <u val="none"/>
        <strike val="0"/>
        <sz val="11"/>
        <name val="Calibri"/>
        <color theme="1"/>
        <condense val="0"/>
        <extend val="0"/>
      </font>
      <numFmt numFmtId="177" formatCode="General"/>
    </dxf>
    <dxf>
      <numFmt numFmtId="178"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3"/>
      <tableStyleElement type="headerRow" dxfId="222"/>
    </tableStyle>
    <tableStyle name="NodeXL Table" pivot="0" count="1">
      <tableStyleElement type="headerRow" dxfId="2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4715155"/>
        <c:axId val="65327532"/>
      </c:barChart>
      <c:catAx>
        <c:axId val="1471515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5327532"/>
        <c:crosses val="autoZero"/>
        <c:auto val="1"/>
        <c:lblOffset val="100"/>
        <c:noMultiLvlLbl val="0"/>
      </c:catAx>
      <c:valAx>
        <c:axId val="653275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7151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#sustainableindustry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Series'!$A$26:$A$29</c:f>
              <c:strCache>
                <c:ptCount val="3"/>
                <c:pt idx="0">
                  <c:v>3/23/2021 8:34</c:v>
                </c:pt>
                <c:pt idx="1">
                  <c:v>3/30/2021 1:32</c:v>
                </c:pt>
                <c:pt idx="2">
                  <c:v>3/30/2021 22:51</c:v>
                </c:pt>
              </c:strCache>
            </c:strRef>
          </c:cat>
          <c:val>
            <c:numRef>
              <c:f>'Time Series'!$B$26:$B$29</c:f>
              <c:numCache>
                <c:formatCode>General</c:formatCode>
                <c:ptCount val="3"/>
                <c:pt idx="0">
                  <c:v>1</c:v>
                </c:pt>
                <c:pt idx="1">
                  <c:v>1</c:v>
                </c:pt>
                <c:pt idx="2">
                  <c:v>2</c:v>
                </c:pt>
              </c:numCache>
            </c:numRef>
          </c:val>
        </c:ser>
        <c:axId val="59364189"/>
        <c:axId val="64515654"/>
      </c:barChart>
      <c:catAx>
        <c:axId val="59364189"/>
        <c:scaling>
          <c:orientation val="minMax"/>
        </c:scaling>
        <c:axPos val="b"/>
        <c:delete val="0"/>
        <c:numFmt formatCode="General" sourceLinked="1"/>
        <c:majorTickMark val="out"/>
        <c:minorTickMark val="none"/>
        <c:tickLblPos val="nextTo"/>
        <c:crossAx val="64515654"/>
        <c:crosses val="autoZero"/>
        <c:auto val="1"/>
        <c:lblOffset val="100"/>
        <c:noMultiLvlLbl val="0"/>
      </c:catAx>
      <c:valAx>
        <c:axId val="64515654"/>
        <c:scaling>
          <c:orientation val="minMax"/>
        </c:scaling>
        <c:axPos val="l"/>
        <c:majorGridlines/>
        <c:delete val="0"/>
        <c:numFmt formatCode="General" sourceLinked="1"/>
        <c:majorTickMark val="out"/>
        <c:minorTickMark val="none"/>
        <c:tickLblPos val="nextTo"/>
        <c:crossAx val="5936418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1076877"/>
        <c:axId val="57038710"/>
      </c:barChart>
      <c:catAx>
        <c:axId val="5107687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7038710"/>
        <c:crosses val="autoZero"/>
        <c:auto val="1"/>
        <c:lblOffset val="100"/>
        <c:noMultiLvlLbl val="0"/>
      </c:catAx>
      <c:valAx>
        <c:axId val="570387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0768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3586343"/>
        <c:axId val="56732768"/>
      </c:barChart>
      <c:catAx>
        <c:axId val="4358634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6732768"/>
        <c:crosses val="autoZero"/>
        <c:auto val="1"/>
        <c:lblOffset val="100"/>
        <c:noMultiLvlLbl val="0"/>
      </c:catAx>
      <c:valAx>
        <c:axId val="567327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5863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0832865"/>
        <c:axId val="31951466"/>
      </c:barChart>
      <c:catAx>
        <c:axId val="4083286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1951466"/>
        <c:crosses val="autoZero"/>
        <c:auto val="1"/>
        <c:lblOffset val="100"/>
        <c:noMultiLvlLbl val="0"/>
      </c:catAx>
      <c:valAx>
        <c:axId val="319514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8328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9127739"/>
        <c:axId val="37931924"/>
      </c:barChart>
      <c:catAx>
        <c:axId val="1912773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7931924"/>
        <c:crosses val="autoZero"/>
        <c:auto val="1"/>
        <c:lblOffset val="100"/>
        <c:noMultiLvlLbl val="0"/>
      </c:catAx>
      <c:valAx>
        <c:axId val="379319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1277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842997"/>
        <c:axId val="52586974"/>
      </c:barChart>
      <c:catAx>
        <c:axId val="584299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2586974"/>
        <c:crosses val="autoZero"/>
        <c:auto val="1"/>
        <c:lblOffset val="100"/>
        <c:noMultiLvlLbl val="0"/>
      </c:catAx>
      <c:valAx>
        <c:axId val="525869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429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520719"/>
        <c:axId val="31686472"/>
      </c:barChart>
      <c:catAx>
        <c:axId val="352071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1686472"/>
        <c:crosses val="autoZero"/>
        <c:auto val="1"/>
        <c:lblOffset val="100"/>
        <c:noMultiLvlLbl val="0"/>
      </c:catAx>
      <c:valAx>
        <c:axId val="316864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207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6742793"/>
        <c:axId val="16467410"/>
      </c:barChart>
      <c:catAx>
        <c:axId val="1674279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6467410"/>
        <c:crosses val="autoZero"/>
        <c:auto val="1"/>
        <c:lblOffset val="100"/>
        <c:noMultiLvlLbl val="0"/>
      </c:catAx>
      <c:valAx>
        <c:axId val="164674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7427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3988963"/>
        <c:axId val="58791804"/>
      </c:barChart>
      <c:catAx>
        <c:axId val="13988963"/>
        <c:scaling>
          <c:orientation val="minMax"/>
        </c:scaling>
        <c:axPos val="b"/>
        <c:delete val="1"/>
        <c:majorTickMark val="out"/>
        <c:minorTickMark val="none"/>
        <c:tickLblPos val="none"/>
        <c:crossAx val="58791804"/>
        <c:crosses val="autoZero"/>
        <c:auto val="1"/>
        <c:lblOffset val="100"/>
        <c:noMultiLvlLbl val="0"/>
      </c:catAx>
      <c:valAx>
        <c:axId val="58791804"/>
        <c:scaling>
          <c:orientation val="minMax"/>
        </c:scaling>
        <c:axPos val="l"/>
        <c:delete val="1"/>
        <c:majorTickMark val="out"/>
        <c:minorTickMark val="none"/>
        <c:tickLblPos val="none"/>
        <c:crossAx val="1398896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1096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3763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16421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19069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1745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4412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29737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27060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 refreshedBy="Marc" refreshedVersion="5">
  <cacheSource type="worksheet">
    <worksheetSource ref="A2:BE6" sheet="Time Series Edges"/>
  </cacheSource>
  <cacheFields count="5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Mentions"/>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3">
        <s v="sustainableindustry circulareconomy nordic"/>
        <s v="sustainableenergy sustainableindustry renewableenergy adelaide"/>
        <s v="renewableenergy sustainableindustry"/>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3">
        <d v="2021-03-23T08:34:51.000"/>
        <d v="2021-03-30T01:32:46.000"/>
        <d v="2021-03-30T22:51:00.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
  <r>
    <s v="margaretagroth"/>
    <s v="nordicinno"/>
    <m/>
    <m/>
    <m/>
    <m/>
    <m/>
    <m/>
    <m/>
    <m/>
    <s v="No"/>
    <n v="3"/>
    <m/>
    <m/>
    <x v="0"/>
    <d v="2021-03-23T08:34:51.000"/>
    <s v="Today board meeting for @nordicinno  - looking forward to updates on new initiatives on #sustainableindustry #circulareconomy for a sustainable and competitive #Nordic"/>
    <m/>
    <m/>
    <x v="0"/>
    <m/>
    <s v="http://pbs.twimg.com/profile_images/378800000723068334/cc01fcf0e56bc6122a77ef0b9f9e250b_normal.jpeg"/>
    <x v="0"/>
    <d v="2021-03-23T00:00:00.000"/>
    <s v="08:34:51"/>
    <s v="https://twitter.com/#!/margaretagroth/status/1374278456863768579"/>
    <m/>
    <m/>
    <s v="1374278456863768579"/>
    <m/>
    <b v="0"/>
    <n v="13"/>
    <s v=""/>
    <b v="0"/>
    <s v="en"/>
    <m/>
    <s v=""/>
    <b v="0"/>
    <n v="0"/>
    <s v=""/>
    <s v="Twitter Web App"/>
    <b v="0"/>
    <s v="1374278456863768579"/>
    <s v="Tweet"/>
    <n v="0"/>
    <n v="0"/>
    <m/>
    <m/>
    <m/>
    <m/>
    <m/>
    <m/>
    <m/>
    <m/>
    <n v="1"/>
    <s v="2"/>
    <s v="2"/>
  </r>
  <r>
    <s v="electriccaraust"/>
    <s v="renew_economy"/>
    <m/>
    <m/>
    <m/>
    <m/>
    <m/>
    <m/>
    <m/>
    <m/>
    <s v="No"/>
    <n v="4"/>
    <m/>
    <m/>
    <x v="0"/>
    <d v="2021-03-30T01:32:46.000"/>
    <s v="CEP to build 150MW big battery at former Holden plant in South Australia https://t.co/nxWoeLos4M via @renew_economy #sustainableenergy #sustainableindustry #renewableenergy   #adelaide"/>
    <s v="https://reneweconomy.com.au/cep-to-build-150mw-big-battery-at-former-holden-plant-in-south-australia/"/>
    <s v="com.au"/>
    <x v="1"/>
    <m/>
    <s v="http://pbs.twimg.com/profile_images/1329948461433700352/tc5-iMrq_normal.jpg"/>
    <x v="1"/>
    <d v="2021-03-30T00:00:00.000"/>
    <s v="01:32:46"/>
    <s v="https://twitter.com/#!/electriccaraust/status/1376708949118918657"/>
    <m/>
    <m/>
    <s v="1376708949118918657"/>
    <m/>
    <b v="0"/>
    <n v="0"/>
    <s v=""/>
    <b v="0"/>
    <s v="en"/>
    <m/>
    <s v=""/>
    <b v="0"/>
    <n v="0"/>
    <s v=""/>
    <s v="Twitter for Android"/>
    <b v="0"/>
    <s v="1376708949118918657"/>
    <s v="Tweet"/>
    <n v="0"/>
    <n v="0"/>
    <m/>
    <m/>
    <m/>
    <m/>
    <m/>
    <m/>
    <m/>
    <m/>
    <n v="1"/>
    <s v="1"/>
    <s v="1"/>
  </r>
  <r>
    <s v="electriccaraust"/>
    <s v="solarcitizens"/>
    <m/>
    <m/>
    <m/>
    <m/>
    <m/>
    <m/>
    <m/>
    <m/>
    <s v="No"/>
    <n v="5"/>
    <m/>
    <m/>
    <x v="0"/>
    <d v="2021-03-30T22:51:00.000"/>
    <s v="It can be done! Congrats to the Scotts. #renewableenergy #sustainableindustry @Auspol @solarcitizens https://t.co/YjyO83MvsL"/>
    <s v="https://www.bbc.com/news/amp/uk-scotland-56530424?__twitter_impression=true"/>
    <s v="bbc.com"/>
    <x v="2"/>
    <m/>
    <s v="http://pbs.twimg.com/profile_images/1329948461433700352/tc5-iMrq_normal.jpg"/>
    <x v="2"/>
    <d v="2021-03-30T00:00:00.000"/>
    <s v="22:51:00"/>
    <s v="https://twitter.com/#!/electriccaraust/status/1377030629460742144"/>
    <m/>
    <m/>
    <s v="1377030629460742144"/>
    <m/>
    <b v="0"/>
    <n v="1"/>
    <s v=""/>
    <b v="0"/>
    <s v="en"/>
    <m/>
    <s v=""/>
    <b v="0"/>
    <n v="0"/>
    <s v=""/>
    <s v="Twitter for Android"/>
    <b v="0"/>
    <s v="1377030629460742144"/>
    <s v="Tweet"/>
    <n v="0"/>
    <n v="0"/>
    <m/>
    <m/>
    <m/>
    <m/>
    <m/>
    <m/>
    <m/>
    <m/>
    <n v="1"/>
    <s v="1"/>
    <s v="1"/>
  </r>
  <r>
    <s v="electriccaraust"/>
    <s v="auspol"/>
    <m/>
    <m/>
    <m/>
    <m/>
    <m/>
    <m/>
    <m/>
    <m/>
    <s v="No"/>
    <n v="6"/>
    <m/>
    <m/>
    <x v="0"/>
    <d v="2021-03-30T22:51:00.000"/>
    <s v="It can be done! Congrats to the Scotts. #renewableenergy #sustainableindustry @Auspol @solarcitizens https://t.co/YjyO83MvsL"/>
    <s v="https://www.bbc.com/news/amp/uk-scotland-56530424?__twitter_impression=true"/>
    <s v="bbc.com"/>
    <x v="2"/>
    <m/>
    <s v="http://pbs.twimg.com/profile_images/1329948461433700352/tc5-iMrq_normal.jpg"/>
    <x v="2"/>
    <d v="2021-03-30T00:00:00.000"/>
    <s v="22:51:00"/>
    <s v="https://twitter.com/#!/electriccaraust/status/1377030629460742144"/>
    <m/>
    <m/>
    <s v="1377030629460742144"/>
    <m/>
    <b v="0"/>
    <n v="1"/>
    <s v=""/>
    <b v="0"/>
    <s v="en"/>
    <m/>
    <s v=""/>
    <b v="0"/>
    <n v="0"/>
    <s v=""/>
    <s v="Twitter for Android"/>
    <b v="0"/>
    <s v="1377030629460742144"/>
    <s v="Tweet"/>
    <n v="0"/>
    <n v="0"/>
    <m/>
    <m/>
    <m/>
    <m/>
    <m/>
    <m/>
    <m/>
    <m/>
    <n v="1"/>
    <s v="1"/>
    <s v="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9"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4">
        <item x="0"/>
        <item x="1"/>
        <item x="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4">
    <i>
      <x/>
    </i>
    <i>
      <x v="1"/>
    </i>
    <i>
      <x v="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3">
        <i x="2"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6" totalsRowShown="0" headerRowDxfId="220" dataDxfId="219">
  <autoFilter ref="A2:BE6"/>
  <tableColumns count="57">
    <tableColumn id="1" name="Vertex 1" dataDxfId="218"/>
    <tableColumn id="2" name="Vertex 2" dataDxfId="217"/>
    <tableColumn id="3" name="Color" dataDxfId="216"/>
    <tableColumn id="4" name="Width" dataDxfId="215"/>
    <tableColumn id="11" name="Style" dataDxfId="214"/>
    <tableColumn id="5" name="Opacity" dataDxfId="213"/>
    <tableColumn id="6" name="Visibility" dataDxfId="212"/>
    <tableColumn id="10" name="Label" dataDxfId="211"/>
    <tableColumn id="12" name="Label Text Color" dataDxfId="210"/>
    <tableColumn id="13" name="Label Font Size" dataDxfId="209"/>
    <tableColumn id="14" name="Reciprocated?" dataDxfId="60"/>
    <tableColumn id="7" name="ID" dataDxfId="208"/>
    <tableColumn id="9" name="Dynamic Filter" dataDxfId="207"/>
    <tableColumn id="8" name="Add Your Own Columns Here" dataDxfId="206"/>
    <tableColumn id="15" name="Relationship" dataDxfId="205"/>
    <tableColumn id="16" name="Relationship Date (UTC)" dataDxfId="204"/>
    <tableColumn id="17" name="Tweet" dataDxfId="203"/>
    <tableColumn id="18" name="URLs in Tweet" dataDxfId="202"/>
    <tableColumn id="19" name="Domains in Tweet" dataDxfId="201"/>
    <tableColumn id="20" name="Hashtags in Tweet" dataDxfId="200"/>
    <tableColumn id="21" name="Media in Tweet" dataDxfId="199"/>
    <tableColumn id="22" name="Tweet Image File" dataDxfId="198"/>
    <tableColumn id="23" name="Tweet Date (UTC)" dataDxfId="197"/>
    <tableColumn id="24" name="Date" dataDxfId="196"/>
    <tableColumn id="25" name="Time" dataDxfId="195"/>
    <tableColumn id="26" name="Twitter Page for Tweet" dataDxfId="194"/>
    <tableColumn id="27" name="Latitude" dataDxfId="193"/>
    <tableColumn id="28" name="Longitude" dataDxfId="192"/>
    <tableColumn id="29" name="Imported ID" dataDxfId="191"/>
    <tableColumn id="30" name="In-Reply-To Tweet ID" dataDxfId="190"/>
    <tableColumn id="31" name="Favorited" dataDxfId="189"/>
    <tableColumn id="32" name="Favorite Count" dataDxfId="188"/>
    <tableColumn id="33" name="In-Reply-To User ID" dataDxfId="187"/>
    <tableColumn id="34" name="Is Quote Status" dataDxfId="186"/>
    <tableColumn id="35" name="Language" dataDxfId="185"/>
    <tableColumn id="36" name="Possibly Sensitive" dataDxfId="184"/>
    <tableColumn id="37" name="Quoted Status ID" dataDxfId="183"/>
    <tableColumn id="38" name="Retweeted" dataDxfId="182"/>
    <tableColumn id="39" name="Retweet Count" dataDxfId="181"/>
    <tableColumn id="40" name="Retweet ID" dataDxfId="180"/>
    <tableColumn id="41" name="Source" dataDxfId="179"/>
    <tableColumn id="42" name="Truncated" dataDxfId="178"/>
    <tableColumn id="43" name="Unified Twitter ID" dataDxfId="177"/>
    <tableColumn id="44" name="Imported Tweet Type" dataDxfId="176"/>
    <tableColumn id="45" name="Added By Extended Analysis" dataDxfId="175"/>
    <tableColumn id="46" name="Corrected By Extended Analysis" dataDxfId="174"/>
    <tableColumn id="47" name="Place Bounding Box" dataDxfId="173"/>
    <tableColumn id="48" name="Place Country" dataDxfId="172"/>
    <tableColumn id="49" name="Place Country Code" dataDxfId="171"/>
    <tableColumn id="50" name="Place Full Name" dataDxfId="170"/>
    <tableColumn id="51" name="Place ID" dataDxfId="169"/>
    <tableColumn id="52" name="Place Name" dataDxfId="168"/>
    <tableColumn id="53" name="Place Type" dataDxfId="167"/>
    <tableColumn id="54" name="Place URL" dataDxfId="166"/>
    <tableColumn id="55" name="Edge Weight"/>
    <tableColumn id="56" name="Vertex 1 Group" dataDxfId="76">
      <calculatedColumnFormula>REPLACE(INDEX(GroupVertices[Group], MATCH(Edges[[#This Row],[Vertex 1]],GroupVertices[Vertex],0)),1,1,"")</calculatedColumnFormula>
    </tableColumn>
    <tableColumn id="57" name="Vertex 2 Group" dataDxfId="75">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87">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8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BA8" totalsRowShown="0" headerRowDxfId="165" dataDxfId="164">
  <autoFilter ref="A2:BA8"/>
  <tableColumns count="53">
    <tableColumn id="1" name="Vertex" dataDxfId="163"/>
    <tableColumn id="2" name="Color" dataDxfId="162"/>
    <tableColumn id="5" name="Shape" dataDxfId="161"/>
    <tableColumn id="6" name="Size" dataDxfId="160"/>
    <tableColumn id="4" name="Opacity" dataDxfId="159"/>
    <tableColumn id="7" name="Image File" dataDxfId="158"/>
    <tableColumn id="3" name="Visibility" dataDxfId="157"/>
    <tableColumn id="10" name="Label" dataDxfId="156"/>
    <tableColumn id="16" name="Label Fill Color" dataDxfId="155"/>
    <tableColumn id="9" name="Label Position" dataDxfId="154"/>
    <tableColumn id="8" name="Tooltip" dataDxfId="153"/>
    <tableColumn id="18" name="Layout Order" dataDxfId="152"/>
    <tableColumn id="13" name="X" dataDxfId="151"/>
    <tableColumn id="14" name="Y" dataDxfId="150"/>
    <tableColumn id="12" name="Locked?" dataDxfId="149"/>
    <tableColumn id="19" name="Polar R" dataDxfId="148"/>
    <tableColumn id="20" name="Polar Angle" dataDxfId="147"/>
    <tableColumn id="21" name="Degree" dataDxfId="146"/>
    <tableColumn id="22" name="In-Degree" dataDxfId="145"/>
    <tableColumn id="23" name="Out-Degree" dataDxfId="144"/>
    <tableColumn id="24" name="Betweenness Centrality" dataDxfId="143"/>
    <tableColumn id="25" name="Closeness Centrality" dataDxfId="142"/>
    <tableColumn id="26" name="Eigenvector Centrality" dataDxfId="141"/>
    <tableColumn id="15" name="PageRank" dataDxfId="140"/>
    <tableColumn id="27" name="Clustering Coefficient" dataDxfId="139"/>
    <tableColumn id="29" name="Reciprocated Vertex Pair Ratio" dataDxfId="138"/>
    <tableColumn id="11" name="ID" dataDxfId="137"/>
    <tableColumn id="28" name="Dynamic Filter" dataDxfId="136"/>
    <tableColumn id="17" name="Add Your Own Columns Here" dataDxfId="135"/>
    <tableColumn id="30" name="Name" dataDxfId="134"/>
    <tableColumn id="31" name="User ID" dataDxfId="133"/>
    <tableColumn id="32" name="Followed" dataDxfId="132"/>
    <tableColumn id="33" name="Followers" dataDxfId="131"/>
    <tableColumn id="34" name="Tweets" dataDxfId="130"/>
    <tableColumn id="35" name="Favorites" dataDxfId="129"/>
    <tableColumn id="36" name="Time Zone UTC Offset (Seconds)" dataDxfId="128"/>
    <tableColumn id="37" name="Description" dataDxfId="127"/>
    <tableColumn id="38" name="Location" dataDxfId="126"/>
    <tableColumn id="39" name="Web" dataDxfId="125"/>
    <tableColumn id="40" name="Time Zone" dataDxfId="124"/>
    <tableColumn id="41" name="Joined Twitter Date (UTC)" dataDxfId="123"/>
    <tableColumn id="42" name="Profile Banner Url" dataDxfId="122"/>
    <tableColumn id="43" name="Default Profile" dataDxfId="121"/>
    <tableColumn id="44" name="Default Profile Image" dataDxfId="120"/>
    <tableColumn id="45" name="Geo Enabled" dataDxfId="119"/>
    <tableColumn id="46" name="Language" dataDxfId="118"/>
    <tableColumn id="47" name="Listed Count" dataDxfId="117"/>
    <tableColumn id="48" name="Profile Background Image Url" dataDxfId="116"/>
    <tableColumn id="49" name="Verified" dataDxfId="115"/>
    <tableColumn id="50" name="Custom Menu Item Text" dataDxfId="114"/>
    <tableColumn id="51" name="Custom Menu Item Action" dataDxfId="113"/>
    <tableColumn id="52" name="Tweeted Search Term?" dataDxfId="78"/>
    <tableColumn id="53" name="Vertex Group" dataDxfId="77">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4" totalsRowShown="0" headerRowDxfId="112">
  <autoFilter ref="A2:Y4"/>
  <tableColumns count="25">
    <tableColumn id="1" name="Group" dataDxfId="85"/>
    <tableColumn id="2" name="Vertex Color" dataDxfId="84"/>
    <tableColumn id="3" name="Vertex Shape" dataDxfId="82"/>
    <tableColumn id="22" name="Visibility" dataDxfId="83"/>
    <tableColumn id="4" name="Collapsed?"/>
    <tableColumn id="18" name="Label" dataDxfId="111"/>
    <tableColumn id="20" name="Collapsed X"/>
    <tableColumn id="21" name="Collapsed Y"/>
    <tableColumn id="6" name="ID" dataDxfId="110"/>
    <tableColumn id="19" name="Collapsed Properties" dataDxfId="74"/>
    <tableColumn id="5" name="Vertices" dataDxfId="73"/>
    <tableColumn id="7" name="Unique Edges" dataDxfId="72"/>
    <tableColumn id="8" name="Edges With Duplicates" dataDxfId="71"/>
    <tableColumn id="9" name="Total Edges" dataDxfId="70"/>
    <tableColumn id="10" name="Self-Loops" dataDxfId="69"/>
    <tableColumn id="24" name="Reciprocated Vertex Pair Ratio" dataDxfId="68"/>
    <tableColumn id="25" name="Reciprocated Edge Ratio" dataDxfId="67"/>
    <tableColumn id="11" name="Connected Components" dataDxfId="66"/>
    <tableColumn id="12" name="Single-Vertex Connected Components" dataDxfId="65"/>
    <tableColumn id="13" name="Maximum Vertices in a Connected Component" dataDxfId="64"/>
    <tableColumn id="14" name="Maximum Edges in a Connected Component" dataDxfId="63"/>
    <tableColumn id="15" name="Maximum Geodesic Distance (Diameter)" dataDxfId="62"/>
    <tableColumn id="16" name="Average Geodesic Distance" dataDxfId="61"/>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 totalsRowShown="0" headerRowDxfId="109" dataDxfId="108">
  <autoFilter ref="A1:C7"/>
  <tableColumns count="3">
    <tableColumn id="1" name="Group" dataDxfId="81"/>
    <tableColumn id="2" name="Vertex" dataDxfId="80"/>
    <tableColumn id="3" name="Vertex ID" dataDxfId="7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07"/>
    <tableColumn id="2" name="Value" dataDxfId="10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105"/>
    <tableColumn id="2" name="Degree Frequency" dataDxfId="104">
      <calculatedColumnFormula>COUNTIF(Vertices[Degree], "&gt;= " &amp; D2) - COUNTIF(Vertices[Degree], "&gt;=" &amp; D3)</calculatedColumnFormula>
    </tableColumn>
    <tableColumn id="3" name="In-Degree Bin" dataDxfId="103"/>
    <tableColumn id="4" name="In-Degree Frequency" dataDxfId="102">
      <calculatedColumnFormula>COUNTIF(Vertices[In-Degree], "&gt;= " &amp; F2) - COUNTIF(Vertices[In-Degree], "&gt;=" &amp; F3)</calculatedColumnFormula>
    </tableColumn>
    <tableColumn id="5" name="Out-Degree Bin" dataDxfId="101"/>
    <tableColumn id="6" name="Out-Degree Frequency" dataDxfId="100">
      <calculatedColumnFormula>COUNTIF(Vertices[Out-Degree], "&gt;= " &amp; H2) - COUNTIF(Vertices[Out-Degree], "&gt;=" &amp; H3)</calculatedColumnFormula>
    </tableColumn>
    <tableColumn id="7" name="Betweenness Centrality Bin" dataDxfId="99"/>
    <tableColumn id="8" name="Betweenness Centrality Frequency" dataDxfId="98">
      <calculatedColumnFormula>COUNTIF(Vertices[Betweenness Centrality], "&gt;= " &amp; J2) - COUNTIF(Vertices[Betweenness Centrality], "&gt;=" &amp; J3)</calculatedColumnFormula>
    </tableColumn>
    <tableColumn id="9" name="Closeness Centrality Bin" dataDxfId="97"/>
    <tableColumn id="10" name="Closeness Centrality Frequency" dataDxfId="96">
      <calculatedColumnFormula>COUNTIF(Vertices[Closeness Centrality], "&gt;= " &amp; L2) - COUNTIF(Vertices[Closeness Centrality], "&gt;=" &amp; L3)</calculatedColumnFormula>
    </tableColumn>
    <tableColumn id="11" name="Eigenvector Centrality Bin" dataDxfId="95"/>
    <tableColumn id="12" name="Eigenvector Centrality Frequency" dataDxfId="94">
      <calculatedColumnFormula>COUNTIF(Vertices[Eigenvector Centrality], "&gt;= " &amp; N2) - COUNTIF(Vertices[Eigenvector Centrality], "&gt;=" &amp; N3)</calculatedColumnFormula>
    </tableColumn>
    <tableColumn id="18" name="PageRank Bin" dataDxfId="93"/>
    <tableColumn id="17" name="PageRank Frequency" dataDxfId="92">
      <calculatedColumnFormula>COUNTIF(Vertices[Eigenvector Centrality], "&gt;= " &amp; P2) - COUNTIF(Vertices[Eigenvector Centrality], "&gt;=" &amp; P3)</calculatedColumnFormula>
    </tableColumn>
    <tableColumn id="13" name="Clustering Coefficient Bin" dataDxfId="91"/>
    <tableColumn id="14" name="Clustering Coefficient Frequency" dataDxfId="90">
      <calculatedColumnFormula>COUNTIF(Vertices[Clustering Coefficient], "&gt;= " &amp; R2) - COUNTIF(Vertices[Clustering Coefficient], "&gt;=" &amp; R3)</calculatedColumnFormula>
    </tableColumn>
    <tableColumn id="15" name="Dynamic Filter Bin" dataDxfId="89"/>
    <tableColumn id="16" name="Dynamic Filter Frequency" dataDxfId="8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6" totalsRowShown="0" headerRowDxfId="57" dataDxfId="56">
  <autoFilter ref="A2:BE6"/>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8" t="s">
        <v>39</v>
      </c>
      <c r="D1" s="19"/>
      <c r="E1" s="19"/>
      <c r="F1" s="19"/>
      <c r="G1" s="18"/>
      <c r="H1" s="16" t="s">
        <v>43</v>
      </c>
      <c r="I1" s="66"/>
      <c r="J1" s="66"/>
      <c r="K1" s="35" t="s">
        <v>42</v>
      </c>
      <c r="L1" s="20" t="s">
        <v>40</v>
      </c>
      <c r="M1" s="20"/>
      <c r="N1" s="17"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327</v>
      </c>
      <c r="BD2" s="13" t="s">
        <v>333</v>
      </c>
      <c r="BE2" s="13" t="s">
        <v>334</v>
      </c>
    </row>
    <row r="3" spans="1:57" ht="15" customHeight="1">
      <c r="A3" s="83" t="s">
        <v>215</v>
      </c>
      <c r="B3" s="83" t="s">
        <v>219</v>
      </c>
      <c r="C3" s="54" t="s">
        <v>340</v>
      </c>
      <c r="D3" s="55">
        <v>3</v>
      </c>
      <c r="E3" s="67" t="s">
        <v>132</v>
      </c>
      <c r="F3" s="56">
        <v>35</v>
      </c>
      <c r="G3" s="54"/>
      <c r="H3" s="58"/>
      <c r="I3" s="57"/>
      <c r="J3" s="57"/>
      <c r="K3" s="36" t="s">
        <v>65</v>
      </c>
      <c r="L3" s="63">
        <v>3</v>
      </c>
      <c r="M3" s="63"/>
      <c r="N3" s="64"/>
      <c r="O3" s="84" t="s">
        <v>220</v>
      </c>
      <c r="P3" s="86">
        <v>44278.35753472222</v>
      </c>
      <c r="Q3" s="84" t="s">
        <v>223</v>
      </c>
      <c r="R3" s="84"/>
      <c r="S3" s="84"/>
      <c r="T3" s="89" t="s">
        <v>228</v>
      </c>
      <c r="U3" s="84"/>
      <c r="V3" s="91" t="str">
        <f>HYPERLINK("http://pbs.twimg.com/profile_images/378800000723068334/cc01fcf0e56bc6122a77ef0b9f9e250b_normal.jpeg")</f>
        <v>http://pbs.twimg.com/profile_images/378800000723068334/cc01fcf0e56bc6122a77ef0b9f9e250b_normal.jpeg</v>
      </c>
      <c r="W3" s="86">
        <v>44278.35753472222</v>
      </c>
      <c r="X3" s="92">
        <v>44278</v>
      </c>
      <c r="Y3" s="89" t="s">
        <v>231</v>
      </c>
      <c r="Z3" s="91" t="str">
        <f>HYPERLINK("https://twitter.com/#!/margaretagroth/status/1374278456863768579")</f>
        <v>https://twitter.com/#!/margaretagroth/status/1374278456863768579</v>
      </c>
      <c r="AA3" s="84"/>
      <c r="AB3" s="84"/>
      <c r="AC3" s="89" t="s">
        <v>234</v>
      </c>
      <c r="AD3" s="84"/>
      <c r="AE3" s="84" t="b">
        <v>0</v>
      </c>
      <c r="AF3" s="84">
        <v>13</v>
      </c>
      <c r="AG3" s="89" t="s">
        <v>235</v>
      </c>
      <c r="AH3" s="84" t="b">
        <v>0</v>
      </c>
      <c r="AI3" s="84" t="s">
        <v>236</v>
      </c>
      <c r="AJ3" s="84"/>
      <c r="AK3" s="89" t="s">
        <v>235</v>
      </c>
      <c r="AL3" s="84" t="b">
        <v>0</v>
      </c>
      <c r="AM3" s="84">
        <v>0</v>
      </c>
      <c r="AN3" s="89" t="s">
        <v>235</v>
      </c>
      <c r="AO3" s="89" t="s">
        <v>238</v>
      </c>
      <c r="AP3" s="84" t="b">
        <v>0</v>
      </c>
      <c r="AQ3" s="89" t="s">
        <v>234</v>
      </c>
      <c r="AR3" s="84" t="s">
        <v>176</v>
      </c>
      <c r="AS3" s="84">
        <v>0</v>
      </c>
      <c r="AT3" s="84">
        <v>0</v>
      </c>
      <c r="AU3" s="84"/>
      <c r="AV3" s="84"/>
      <c r="AW3" s="84"/>
      <c r="AX3" s="84"/>
      <c r="AY3" s="84"/>
      <c r="AZ3" s="84"/>
      <c r="BA3" s="84"/>
      <c r="BB3" s="84"/>
      <c r="BC3">
        <v>1</v>
      </c>
      <c r="BD3" s="84" t="str">
        <f>REPLACE(INDEX(GroupVertices[Group],MATCH(Edges[[#This Row],[Vertex 1]],GroupVertices[Vertex],0)),1,1,"")</f>
        <v>2</v>
      </c>
      <c r="BE3" s="84" t="str">
        <f>REPLACE(INDEX(GroupVertices[Group],MATCH(Edges[[#This Row],[Vertex 2]],GroupVertices[Vertex],0)),1,1,"")</f>
        <v>2</v>
      </c>
    </row>
    <row r="4" spans="1:57" ht="15" customHeight="1">
      <c r="A4" s="83" t="s">
        <v>214</v>
      </c>
      <c r="B4" s="83" t="s">
        <v>216</v>
      </c>
      <c r="C4" s="54" t="s">
        <v>340</v>
      </c>
      <c r="D4" s="55">
        <v>3</v>
      </c>
      <c r="E4" s="67" t="s">
        <v>132</v>
      </c>
      <c r="F4" s="56">
        <v>35</v>
      </c>
      <c r="G4" s="54"/>
      <c r="H4" s="58"/>
      <c r="I4" s="57"/>
      <c r="J4" s="57"/>
      <c r="K4" s="36" t="s">
        <v>65</v>
      </c>
      <c r="L4" s="82">
        <v>4</v>
      </c>
      <c r="M4" s="82"/>
      <c r="N4" s="64"/>
      <c r="O4" s="85" t="s">
        <v>220</v>
      </c>
      <c r="P4" s="87">
        <v>44285.064421296294</v>
      </c>
      <c r="Q4" s="85" t="s">
        <v>221</v>
      </c>
      <c r="R4" s="88" t="str">
        <f>HYPERLINK("https://reneweconomy.com.au/cep-to-build-150mw-big-battery-at-former-holden-plant-in-south-australia/")</f>
        <v>https://reneweconomy.com.au/cep-to-build-150mw-big-battery-at-former-holden-plant-in-south-australia/</v>
      </c>
      <c r="S4" s="85" t="s">
        <v>224</v>
      </c>
      <c r="T4" s="90" t="s">
        <v>226</v>
      </c>
      <c r="U4" s="85"/>
      <c r="V4" s="88" t="str">
        <f>HYPERLINK("http://pbs.twimg.com/profile_images/1329948461433700352/tc5-iMrq_normal.jpg")</f>
        <v>http://pbs.twimg.com/profile_images/1329948461433700352/tc5-iMrq_normal.jpg</v>
      </c>
      <c r="W4" s="87">
        <v>44285.064421296294</v>
      </c>
      <c r="X4" s="93">
        <v>44285</v>
      </c>
      <c r="Y4" s="90" t="s">
        <v>229</v>
      </c>
      <c r="Z4" s="88" t="str">
        <f>HYPERLINK("https://twitter.com/#!/electriccaraust/status/1376708949118918657")</f>
        <v>https://twitter.com/#!/electriccaraust/status/1376708949118918657</v>
      </c>
      <c r="AA4" s="85"/>
      <c r="AB4" s="85"/>
      <c r="AC4" s="90" t="s">
        <v>232</v>
      </c>
      <c r="AD4" s="85"/>
      <c r="AE4" s="85" t="b">
        <v>0</v>
      </c>
      <c r="AF4" s="85">
        <v>0</v>
      </c>
      <c r="AG4" s="90" t="s">
        <v>235</v>
      </c>
      <c r="AH4" s="85" t="b">
        <v>0</v>
      </c>
      <c r="AI4" s="85" t="s">
        <v>236</v>
      </c>
      <c r="AJ4" s="85"/>
      <c r="AK4" s="90" t="s">
        <v>235</v>
      </c>
      <c r="AL4" s="85" t="b">
        <v>0</v>
      </c>
      <c r="AM4" s="85">
        <v>0</v>
      </c>
      <c r="AN4" s="90" t="s">
        <v>235</v>
      </c>
      <c r="AO4" s="90" t="s">
        <v>237</v>
      </c>
      <c r="AP4" s="85" t="b">
        <v>0</v>
      </c>
      <c r="AQ4" s="90" t="s">
        <v>232</v>
      </c>
      <c r="AR4" s="85" t="s">
        <v>176</v>
      </c>
      <c r="AS4" s="85">
        <v>0</v>
      </c>
      <c r="AT4" s="85">
        <v>0</v>
      </c>
      <c r="AU4" s="85"/>
      <c r="AV4" s="85"/>
      <c r="AW4" s="85"/>
      <c r="AX4" s="85"/>
      <c r="AY4" s="85"/>
      <c r="AZ4" s="85"/>
      <c r="BA4" s="85"/>
      <c r="BB4" s="85"/>
      <c r="BC4">
        <v>1</v>
      </c>
      <c r="BD4" s="84" t="str">
        <f>REPLACE(INDEX(GroupVertices[Group],MATCH(Edges[[#This Row],[Vertex 1]],GroupVertices[Vertex],0)),1,1,"")</f>
        <v>1</v>
      </c>
      <c r="BE4" s="84" t="str">
        <f>REPLACE(INDEX(GroupVertices[Group],MATCH(Edges[[#This Row],[Vertex 2]],GroupVertices[Vertex],0)),1,1,"")</f>
        <v>1</v>
      </c>
    </row>
    <row r="5" spans="1:57" ht="45">
      <c r="A5" s="83" t="s">
        <v>214</v>
      </c>
      <c r="B5" s="83" t="s">
        <v>217</v>
      </c>
      <c r="C5" s="54" t="s">
        <v>340</v>
      </c>
      <c r="D5" s="55">
        <v>3</v>
      </c>
      <c r="E5" s="67" t="s">
        <v>132</v>
      </c>
      <c r="F5" s="56">
        <v>35</v>
      </c>
      <c r="G5" s="54"/>
      <c r="H5" s="58"/>
      <c r="I5" s="57"/>
      <c r="J5" s="57"/>
      <c r="K5" s="36" t="s">
        <v>65</v>
      </c>
      <c r="L5" s="82">
        <v>5</v>
      </c>
      <c r="M5" s="82"/>
      <c r="N5" s="64"/>
      <c r="O5" s="85" t="s">
        <v>220</v>
      </c>
      <c r="P5" s="87">
        <v>44285.95208333333</v>
      </c>
      <c r="Q5" s="85" t="s">
        <v>222</v>
      </c>
      <c r="R5" s="88" t="str">
        <f>HYPERLINK("https://www.bbc.com/news/amp/uk-scotland-56530424?__twitter_impression=true")</f>
        <v>https://www.bbc.com/news/amp/uk-scotland-56530424?__twitter_impression=true</v>
      </c>
      <c r="S5" s="85" t="s">
        <v>225</v>
      </c>
      <c r="T5" s="90" t="s">
        <v>227</v>
      </c>
      <c r="U5" s="85"/>
      <c r="V5" s="88" t="str">
        <f>HYPERLINK("http://pbs.twimg.com/profile_images/1329948461433700352/tc5-iMrq_normal.jpg")</f>
        <v>http://pbs.twimg.com/profile_images/1329948461433700352/tc5-iMrq_normal.jpg</v>
      </c>
      <c r="W5" s="87">
        <v>44285.95208333333</v>
      </c>
      <c r="X5" s="93">
        <v>44285</v>
      </c>
      <c r="Y5" s="90" t="s">
        <v>230</v>
      </c>
      <c r="Z5" s="88" t="str">
        <f>HYPERLINK("https://twitter.com/#!/electriccaraust/status/1377030629460742144")</f>
        <v>https://twitter.com/#!/electriccaraust/status/1377030629460742144</v>
      </c>
      <c r="AA5" s="85"/>
      <c r="AB5" s="85"/>
      <c r="AC5" s="90" t="s">
        <v>233</v>
      </c>
      <c r="AD5" s="85"/>
      <c r="AE5" s="85" t="b">
        <v>0</v>
      </c>
      <c r="AF5" s="85">
        <v>1</v>
      </c>
      <c r="AG5" s="90" t="s">
        <v>235</v>
      </c>
      <c r="AH5" s="85" t="b">
        <v>0</v>
      </c>
      <c r="AI5" s="85" t="s">
        <v>236</v>
      </c>
      <c r="AJ5" s="85"/>
      <c r="AK5" s="90" t="s">
        <v>235</v>
      </c>
      <c r="AL5" s="85" t="b">
        <v>0</v>
      </c>
      <c r="AM5" s="85">
        <v>0</v>
      </c>
      <c r="AN5" s="90" t="s">
        <v>235</v>
      </c>
      <c r="AO5" s="90" t="s">
        <v>237</v>
      </c>
      <c r="AP5" s="85" t="b">
        <v>0</v>
      </c>
      <c r="AQ5" s="90" t="s">
        <v>233</v>
      </c>
      <c r="AR5" s="85" t="s">
        <v>176</v>
      </c>
      <c r="AS5" s="85">
        <v>0</v>
      </c>
      <c r="AT5" s="85">
        <v>0</v>
      </c>
      <c r="AU5" s="85"/>
      <c r="AV5" s="85"/>
      <c r="AW5" s="85"/>
      <c r="AX5" s="85"/>
      <c r="AY5" s="85"/>
      <c r="AZ5" s="85"/>
      <c r="BA5" s="85"/>
      <c r="BB5" s="85"/>
      <c r="BC5">
        <v>1</v>
      </c>
      <c r="BD5" s="84" t="str">
        <f>REPLACE(INDEX(GroupVertices[Group],MATCH(Edges[[#This Row],[Vertex 1]],GroupVertices[Vertex],0)),1,1,"")</f>
        <v>1</v>
      </c>
      <c r="BE5" s="84" t="str">
        <f>REPLACE(INDEX(GroupVertices[Group],MATCH(Edges[[#This Row],[Vertex 2]],GroupVertices[Vertex],0)),1,1,"")</f>
        <v>1</v>
      </c>
    </row>
    <row r="6" spans="1:57" ht="45">
      <c r="A6" s="83" t="s">
        <v>214</v>
      </c>
      <c r="B6" s="83" t="s">
        <v>218</v>
      </c>
      <c r="C6" s="54" t="s">
        <v>340</v>
      </c>
      <c r="D6" s="55">
        <v>3</v>
      </c>
      <c r="E6" s="67" t="s">
        <v>132</v>
      </c>
      <c r="F6" s="56">
        <v>35</v>
      </c>
      <c r="G6" s="54"/>
      <c r="H6" s="58"/>
      <c r="I6" s="57"/>
      <c r="J6" s="57"/>
      <c r="K6" s="36" t="s">
        <v>65</v>
      </c>
      <c r="L6" s="82">
        <v>6</v>
      </c>
      <c r="M6" s="82"/>
      <c r="N6" s="64"/>
      <c r="O6" s="85" t="s">
        <v>220</v>
      </c>
      <c r="P6" s="87">
        <v>44285.95208333333</v>
      </c>
      <c r="Q6" s="85" t="s">
        <v>222</v>
      </c>
      <c r="R6" s="88" t="str">
        <f>HYPERLINK("https://www.bbc.com/news/amp/uk-scotland-56530424?__twitter_impression=true")</f>
        <v>https://www.bbc.com/news/amp/uk-scotland-56530424?__twitter_impression=true</v>
      </c>
      <c r="S6" s="85" t="s">
        <v>225</v>
      </c>
      <c r="T6" s="90" t="s">
        <v>227</v>
      </c>
      <c r="U6" s="85"/>
      <c r="V6" s="88" t="str">
        <f>HYPERLINK("http://pbs.twimg.com/profile_images/1329948461433700352/tc5-iMrq_normal.jpg")</f>
        <v>http://pbs.twimg.com/profile_images/1329948461433700352/tc5-iMrq_normal.jpg</v>
      </c>
      <c r="W6" s="87">
        <v>44285.95208333333</v>
      </c>
      <c r="X6" s="93">
        <v>44285</v>
      </c>
      <c r="Y6" s="90" t="s">
        <v>230</v>
      </c>
      <c r="Z6" s="88" t="str">
        <f>HYPERLINK("https://twitter.com/#!/electriccaraust/status/1377030629460742144")</f>
        <v>https://twitter.com/#!/electriccaraust/status/1377030629460742144</v>
      </c>
      <c r="AA6" s="85"/>
      <c r="AB6" s="85"/>
      <c r="AC6" s="90" t="s">
        <v>233</v>
      </c>
      <c r="AD6" s="85"/>
      <c r="AE6" s="85" t="b">
        <v>0</v>
      </c>
      <c r="AF6" s="85">
        <v>1</v>
      </c>
      <c r="AG6" s="90" t="s">
        <v>235</v>
      </c>
      <c r="AH6" s="85" t="b">
        <v>0</v>
      </c>
      <c r="AI6" s="85" t="s">
        <v>236</v>
      </c>
      <c r="AJ6" s="85"/>
      <c r="AK6" s="90" t="s">
        <v>235</v>
      </c>
      <c r="AL6" s="85" t="b">
        <v>0</v>
      </c>
      <c r="AM6" s="85">
        <v>0</v>
      </c>
      <c r="AN6" s="90" t="s">
        <v>235</v>
      </c>
      <c r="AO6" s="90" t="s">
        <v>237</v>
      </c>
      <c r="AP6" s="85" t="b">
        <v>0</v>
      </c>
      <c r="AQ6" s="90" t="s">
        <v>233</v>
      </c>
      <c r="AR6" s="85" t="s">
        <v>176</v>
      </c>
      <c r="AS6" s="85">
        <v>0</v>
      </c>
      <c r="AT6" s="85">
        <v>0</v>
      </c>
      <c r="AU6" s="85"/>
      <c r="AV6" s="85"/>
      <c r="AW6" s="85"/>
      <c r="AX6" s="85"/>
      <c r="AY6" s="85"/>
      <c r="AZ6" s="85"/>
      <c r="BA6" s="85"/>
      <c r="BB6" s="85"/>
      <c r="BC6">
        <v>1</v>
      </c>
      <c r="BD6" s="84" t="str">
        <f>REPLACE(INDEX(GroupVertices[Group],MATCH(Edges[[#This Row],[Vertex 1]],GroupVertices[Vertex],0)),1,1,"")</f>
        <v>1</v>
      </c>
      <c r="BE6" s="84" t="str">
        <f>REPLACE(INDEX(GroupVertices[Group],MATCH(Edges[[#This Row],[Vertex 2]],GroupVertices[Vertex],0)),1,1,"")</f>
        <v>1</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
    <dataValidation allowBlank="1" showErrorMessage="1" sqref="N2:N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
    <dataValidation allowBlank="1" showInputMessage="1" promptTitle="Edge Color" prompt="To select an optional edge color, right-click and select Select Color on the right-click menu." sqref="C3:C6"/>
    <dataValidation allowBlank="1" showInputMessage="1" promptTitle="Edge Width" prompt="Enter an optional edge width between 1 and 10." errorTitle="Invalid Edge Width" error="The optional edge width must be a whole number between 1 and 10." sqref="D3:D6"/>
    <dataValidation allowBlank="1" showInputMessage="1" promptTitle="Edge Opacity" prompt="Enter an optional edge opacity between 0 (transparent) and 100 (opaque)." errorTitle="Invalid Edge Opacity" error="The optional edge opacity must be a whole number between 0 and 10." sqref="F3:F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
      <formula1>ValidEdgeVisibilities</formula1>
    </dataValidation>
    <dataValidation allowBlank="1" showInputMessage="1" showErrorMessage="1" promptTitle="Vertex 1 Name" prompt="Enter the name of the edge's first vertex." sqref="A3:A6"/>
    <dataValidation allowBlank="1" showInputMessage="1" showErrorMessage="1" promptTitle="Vertex 2 Name" prompt="Enter the name of the edge's second vertex." sqref="B3:B6"/>
    <dataValidation allowBlank="1" showInputMessage="1" showErrorMessage="1" promptTitle="Edge Label" prompt="Enter an optional edge label." errorTitle="Invalid Edge Visibility" error="You have entered an unrecognized edge visibility.  Try selecting from the drop-down list instead." sqref="H3:H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55"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239</v>
      </c>
      <c r="AE2" s="13" t="s">
        <v>240</v>
      </c>
      <c r="AF2" s="13" t="s">
        <v>241</v>
      </c>
      <c r="AG2" s="13" t="s">
        <v>242</v>
      </c>
      <c r="AH2" s="13" t="s">
        <v>243</v>
      </c>
      <c r="AI2" s="13" t="s">
        <v>244</v>
      </c>
      <c r="AJ2" s="13" t="s">
        <v>245</v>
      </c>
      <c r="AK2" s="13" t="s">
        <v>246</v>
      </c>
      <c r="AL2" s="13" t="s">
        <v>247</v>
      </c>
      <c r="AM2" s="13" t="s">
        <v>248</v>
      </c>
      <c r="AN2" s="13" t="s">
        <v>249</v>
      </c>
      <c r="AO2" s="13" t="s">
        <v>250</v>
      </c>
      <c r="AP2" s="13" t="s">
        <v>251</v>
      </c>
      <c r="AQ2" s="13" t="s">
        <v>252</v>
      </c>
      <c r="AR2" s="13" t="s">
        <v>253</v>
      </c>
      <c r="AS2" s="13" t="s">
        <v>254</v>
      </c>
      <c r="AT2" s="13" t="s">
        <v>194</v>
      </c>
      <c r="AU2" s="13" t="s">
        <v>255</v>
      </c>
      <c r="AV2" s="13" t="s">
        <v>256</v>
      </c>
      <c r="AW2" s="13" t="s">
        <v>257</v>
      </c>
      <c r="AX2" s="13" t="s">
        <v>258</v>
      </c>
      <c r="AY2" s="13" t="s">
        <v>259</v>
      </c>
      <c r="AZ2" s="13" t="s">
        <v>260</v>
      </c>
      <c r="BA2" s="13" t="s">
        <v>332</v>
      </c>
      <c r="BB2" s="3"/>
      <c r="BC2" s="3"/>
    </row>
    <row r="3" spans="1:55" ht="15" customHeight="1">
      <c r="A3" s="50" t="s">
        <v>215</v>
      </c>
      <c r="B3" s="54"/>
      <c r="C3" s="54"/>
      <c r="D3" s="55"/>
      <c r="E3" s="56"/>
      <c r="F3" s="115" t="str">
        <f>HYPERLINK("http://pbs.twimg.com/profile_images/378800000723068334/cc01fcf0e56bc6122a77ef0b9f9e250b_normal.jpeg")</f>
        <v>http://pbs.twimg.com/profile_images/378800000723068334/cc01fcf0e56bc6122a77ef0b9f9e250b_normal.jpeg</v>
      </c>
      <c r="G3" s="54"/>
      <c r="H3" s="58" t="s">
        <v>215</v>
      </c>
      <c r="I3" s="57"/>
      <c r="J3" s="57"/>
      <c r="K3" s="117" t="s">
        <v>289</v>
      </c>
      <c r="L3" s="60"/>
      <c r="M3" s="61">
        <v>8295.8095703125</v>
      </c>
      <c r="N3" s="61">
        <v>7417.021484375</v>
      </c>
      <c r="O3" s="59"/>
      <c r="P3" s="62"/>
      <c r="Q3" s="62"/>
      <c r="R3" s="51"/>
      <c r="S3" s="51"/>
      <c r="T3" s="51"/>
      <c r="U3" s="51"/>
      <c r="V3" s="52"/>
      <c r="W3" s="52"/>
      <c r="X3" s="53"/>
      <c r="Y3" s="52"/>
      <c r="Z3" s="52"/>
      <c r="AA3" s="63">
        <v>3</v>
      </c>
      <c r="AB3" s="63"/>
      <c r="AC3" s="64"/>
      <c r="AD3" s="84" t="s">
        <v>266</v>
      </c>
      <c r="AE3" s="89" t="s">
        <v>272</v>
      </c>
      <c r="AF3" s="84">
        <v>2764</v>
      </c>
      <c r="AG3" s="84">
        <v>2226</v>
      </c>
      <c r="AH3" s="84">
        <v>7938</v>
      </c>
      <c r="AI3" s="84">
        <v>38644</v>
      </c>
      <c r="AJ3" s="84"/>
      <c r="AK3" s="84" t="s">
        <v>278</v>
      </c>
      <c r="AL3" s="84" t="s">
        <v>282</v>
      </c>
      <c r="AM3" s="91" t="str">
        <f>HYPERLINK("http://t.co/N41P292wWE")</f>
        <v>http://t.co/N41P292wWE</v>
      </c>
      <c r="AN3" s="84"/>
      <c r="AO3" s="86">
        <v>41585.45375</v>
      </c>
      <c r="AP3" s="91" t="str">
        <f>HYPERLINK("https://pbs.twimg.com/profile_banners/2179853022/1409648743")</f>
        <v>https://pbs.twimg.com/profile_banners/2179853022/1409648743</v>
      </c>
      <c r="AQ3" s="84" t="b">
        <v>1</v>
      </c>
      <c r="AR3" s="84" t="b">
        <v>0</v>
      </c>
      <c r="AS3" s="84" t="b">
        <v>1</v>
      </c>
      <c r="AT3" s="84"/>
      <c r="AU3" s="84">
        <v>84</v>
      </c>
      <c r="AV3" s="91" t="str">
        <f>HYPERLINK("http://abs.twimg.com/images/themes/theme1/bg.png")</f>
        <v>http://abs.twimg.com/images/themes/theme1/bg.png</v>
      </c>
      <c r="AW3" s="84" t="b">
        <v>0</v>
      </c>
      <c r="AX3" s="84" t="s">
        <v>283</v>
      </c>
      <c r="AY3" s="91" t="str">
        <f>HYPERLINK("https://twitter.com/margaretagroth")</f>
        <v>https://twitter.com/margaretagroth</v>
      </c>
      <c r="AZ3" s="84" t="s">
        <v>66</v>
      </c>
      <c r="BA3" s="84" t="str">
        <f>REPLACE(INDEX(GroupVertices[Group],MATCH(Vertices[[#This Row],[Vertex]],GroupVertices[Vertex],0)),1,1,"")</f>
        <v>2</v>
      </c>
      <c r="BB3" s="3"/>
      <c r="BC3" s="3"/>
    </row>
    <row r="4" spans="1:58" ht="15">
      <c r="A4" s="14" t="s">
        <v>219</v>
      </c>
      <c r="B4" s="15"/>
      <c r="C4" s="15"/>
      <c r="D4" s="94"/>
      <c r="E4" s="80"/>
      <c r="F4" s="115" t="str">
        <f>HYPERLINK("http://pbs.twimg.com/profile_images/790803862147981312/3lkaw9vx_normal.jpg")</f>
        <v>http://pbs.twimg.com/profile_images/790803862147981312/3lkaw9vx_normal.jpg</v>
      </c>
      <c r="G4" s="15"/>
      <c r="H4" s="16" t="s">
        <v>219</v>
      </c>
      <c r="I4" s="68"/>
      <c r="J4" s="68"/>
      <c r="K4" s="117" t="s">
        <v>284</v>
      </c>
      <c r="L4" s="95"/>
      <c r="M4" s="96">
        <v>8295.8095703125</v>
      </c>
      <c r="N4" s="96">
        <v>2581.978515625</v>
      </c>
      <c r="O4" s="78"/>
      <c r="P4" s="97"/>
      <c r="Q4" s="97"/>
      <c r="R4" s="98"/>
      <c r="S4" s="98"/>
      <c r="T4" s="98"/>
      <c r="U4" s="98"/>
      <c r="V4" s="53"/>
      <c r="W4" s="53"/>
      <c r="X4" s="53"/>
      <c r="Y4" s="53"/>
      <c r="Z4" s="52"/>
      <c r="AA4" s="81">
        <v>4</v>
      </c>
      <c r="AB4" s="81"/>
      <c r="AC4" s="99"/>
      <c r="AD4" s="84" t="s">
        <v>261</v>
      </c>
      <c r="AE4" s="89" t="s">
        <v>267</v>
      </c>
      <c r="AF4" s="84">
        <v>857</v>
      </c>
      <c r="AG4" s="84">
        <v>5857</v>
      </c>
      <c r="AH4" s="84">
        <v>2621</v>
      </c>
      <c r="AI4" s="84">
        <v>2250</v>
      </c>
      <c r="AJ4" s="84"/>
      <c r="AK4" s="84" t="s">
        <v>273</v>
      </c>
      <c r="AL4" s="84"/>
      <c r="AM4" s="91" t="str">
        <f>HYPERLINK("https://t.co/jynFcLQmth")</f>
        <v>https://t.co/jynFcLQmth</v>
      </c>
      <c r="AN4" s="84"/>
      <c r="AO4" s="86">
        <v>40581.515081018515</v>
      </c>
      <c r="AP4" s="91" t="str">
        <f>HYPERLINK("https://pbs.twimg.com/profile_banners/248637894/1562058392")</f>
        <v>https://pbs.twimg.com/profile_banners/248637894/1562058392</v>
      </c>
      <c r="AQ4" s="84" t="b">
        <v>0</v>
      </c>
      <c r="AR4" s="84" t="b">
        <v>0</v>
      </c>
      <c r="AS4" s="84" t="b">
        <v>1</v>
      </c>
      <c r="AT4" s="84"/>
      <c r="AU4" s="84">
        <v>163</v>
      </c>
      <c r="AV4" s="91" t="str">
        <f>HYPERLINK("http://abs.twimg.com/images/themes/theme1/bg.png")</f>
        <v>http://abs.twimg.com/images/themes/theme1/bg.png</v>
      </c>
      <c r="AW4" s="84" t="b">
        <v>0</v>
      </c>
      <c r="AX4" s="84" t="s">
        <v>283</v>
      </c>
      <c r="AY4" s="91" t="str">
        <f>HYPERLINK("https://twitter.com/nordicinno")</f>
        <v>https://twitter.com/nordicinno</v>
      </c>
      <c r="AZ4" s="84" t="s">
        <v>65</v>
      </c>
      <c r="BA4" s="84" t="str">
        <f>REPLACE(INDEX(GroupVertices[Group],MATCH(Vertices[[#This Row],[Vertex]],GroupVertices[Vertex],0)),1,1,"")</f>
        <v>2</v>
      </c>
      <c r="BB4" s="2"/>
      <c r="BC4" s="3"/>
      <c r="BD4" s="3"/>
      <c r="BE4" s="3"/>
      <c r="BF4" s="3"/>
    </row>
    <row r="5" spans="1:58" ht="15">
      <c r="A5" s="14" t="s">
        <v>214</v>
      </c>
      <c r="B5" s="15"/>
      <c r="C5" s="15"/>
      <c r="D5" s="94"/>
      <c r="E5" s="80"/>
      <c r="F5" s="115" t="str">
        <f>HYPERLINK("http://pbs.twimg.com/profile_images/1329948461433700352/tc5-iMrq_normal.jpg")</f>
        <v>http://pbs.twimg.com/profile_images/1329948461433700352/tc5-iMrq_normal.jpg</v>
      </c>
      <c r="G5" s="15"/>
      <c r="H5" s="16" t="s">
        <v>214</v>
      </c>
      <c r="I5" s="68"/>
      <c r="J5" s="68"/>
      <c r="K5" s="117" t="s">
        <v>285</v>
      </c>
      <c r="L5" s="95"/>
      <c r="M5" s="96">
        <v>1735.052490234375</v>
      </c>
      <c r="N5" s="96">
        <v>7417.021484375</v>
      </c>
      <c r="O5" s="78"/>
      <c r="P5" s="97"/>
      <c r="Q5" s="97"/>
      <c r="R5" s="98"/>
      <c r="S5" s="98"/>
      <c r="T5" s="98"/>
      <c r="U5" s="98"/>
      <c r="V5" s="53"/>
      <c r="W5" s="53"/>
      <c r="X5" s="53"/>
      <c r="Y5" s="53"/>
      <c r="Z5" s="52"/>
      <c r="AA5" s="81">
        <v>5</v>
      </c>
      <c r="AB5" s="81"/>
      <c r="AC5" s="99"/>
      <c r="AD5" s="84" t="s">
        <v>262</v>
      </c>
      <c r="AE5" s="89" t="s">
        <v>268</v>
      </c>
      <c r="AF5" s="84">
        <v>140</v>
      </c>
      <c r="AG5" s="84">
        <v>94</v>
      </c>
      <c r="AH5" s="84">
        <v>239</v>
      </c>
      <c r="AI5" s="84">
        <v>474</v>
      </c>
      <c r="AJ5" s="84"/>
      <c r="AK5" s="84" t="s">
        <v>274</v>
      </c>
      <c r="AL5" s="84" t="s">
        <v>279</v>
      </c>
      <c r="AM5" s="91" t="str">
        <f>HYPERLINK("https://t.co/Uc9nDJdMS1")</f>
        <v>https://t.co/Uc9nDJdMS1</v>
      </c>
      <c r="AN5" s="84"/>
      <c r="AO5" s="86">
        <v>44139.22790509259</v>
      </c>
      <c r="AP5" s="91" t="str">
        <f>HYPERLINK("https://pbs.twimg.com/profile_banners/1323859355792388096/1605919399")</f>
        <v>https://pbs.twimg.com/profile_banners/1323859355792388096/1605919399</v>
      </c>
      <c r="AQ5" s="84" t="b">
        <v>1</v>
      </c>
      <c r="AR5" s="84" t="b">
        <v>0</v>
      </c>
      <c r="AS5" s="84" t="b">
        <v>1</v>
      </c>
      <c r="AT5" s="84"/>
      <c r="AU5" s="84">
        <v>3</v>
      </c>
      <c r="AV5" s="84"/>
      <c r="AW5" s="84" t="b">
        <v>0</v>
      </c>
      <c r="AX5" s="84" t="s">
        <v>283</v>
      </c>
      <c r="AY5" s="91" t="str">
        <f>HYPERLINK("https://twitter.com/electriccaraust")</f>
        <v>https://twitter.com/electriccaraust</v>
      </c>
      <c r="AZ5" s="84" t="s">
        <v>66</v>
      </c>
      <c r="BA5" s="84" t="str">
        <f>REPLACE(INDEX(GroupVertices[Group],MATCH(Vertices[[#This Row],[Vertex]],GroupVertices[Vertex],0)),1,1,"")</f>
        <v>1</v>
      </c>
      <c r="BB5" s="2"/>
      <c r="BC5" s="3"/>
      <c r="BD5" s="3"/>
      <c r="BE5" s="3"/>
      <c r="BF5" s="3"/>
    </row>
    <row r="6" spans="1:58" ht="15">
      <c r="A6" s="14" t="s">
        <v>216</v>
      </c>
      <c r="B6" s="15"/>
      <c r="C6" s="15"/>
      <c r="D6" s="94"/>
      <c r="E6" s="80"/>
      <c r="F6" s="115" t="str">
        <f>HYPERLINK("http://pbs.twimg.com/profile_images/1026050217160790018/oiTWajKR_normal.jpg")</f>
        <v>http://pbs.twimg.com/profile_images/1026050217160790018/oiTWajKR_normal.jpg</v>
      </c>
      <c r="G6" s="15"/>
      <c r="H6" s="16" t="s">
        <v>216</v>
      </c>
      <c r="I6" s="68"/>
      <c r="J6" s="68"/>
      <c r="K6" s="117" t="s">
        <v>286</v>
      </c>
      <c r="L6" s="95"/>
      <c r="M6" s="96">
        <v>4973.43115234375</v>
      </c>
      <c r="N6" s="96">
        <v>2581.978515625</v>
      </c>
      <c r="O6" s="78"/>
      <c r="P6" s="97"/>
      <c r="Q6" s="97"/>
      <c r="R6" s="98"/>
      <c r="S6" s="98"/>
      <c r="T6" s="98"/>
      <c r="U6" s="98"/>
      <c r="V6" s="53"/>
      <c r="W6" s="53"/>
      <c r="X6" s="53"/>
      <c r="Y6" s="53"/>
      <c r="Z6" s="52"/>
      <c r="AA6" s="81">
        <v>6</v>
      </c>
      <c r="AB6" s="81"/>
      <c r="AC6" s="99"/>
      <c r="AD6" s="84" t="s">
        <v>263</v>
      </c>
      <c r="AE6" s="89" t="s">
        <v>269</v>
      </c>
      <c r="AF6" s="84">
        <v>717</v>
      </c>
      <c r="AG6" s="84">
        <v>29921</v>
      </c>
      <c r="AH6" s="84">
        <v>41013</v>
      </c>
      <c r="AI6" s="84">
        <v>2570</v>
      </c>
      <c r="AJ6" s="84"/>
      <c r="AK6" s="84" t="s">
        <v>275</v>
      </c>
      <c r="AL6" s="84" t="s">
        <v>280</v>
      </c>
      <c r="AM6" s="84"/>
      <c r="AN6" s="84"/>
      <c r="AO6" s="86">
        <v>40914.046689814815</v>
      </c>
      <c r="AP6" s="91" t="str">
        <f>HYPERLINK("https://pbs.twimg.com/profile_banners/456230845/1457323542")</f>
        <v>https://pbs.twimg.com/profile_banners/456230845/1457323542</v>
      </c>
      <c r="AQ6" s="84" t="b">
        <v>1</v>
      </c>
      <c r="AR6" s="84" t="b">
        <v>0</v>
      </c>
      <c r="AS6" s="84" t="b">
        <v>0</v>
      </c>
      <c r="AT6" s="84"/>
      <c r="AU6" s="84">
        <v>891</v>
      </c>
      <c r="AV6" s="91" t="str">
        <f>HYPERLINK("http://abs.twimg.com/images/themes/theme1/bg.png")</f>
        <v>http://abs.twimg.com/images/themes/theme1/bg.png</v>
      </c>
      <c r="AW6" s="84" t="b">
        <v>0</v>
      </c>
      <c r="AX6" s="84" t="s">
        <v>283</v>
      </c>
      <c r="AY6" s="91" t="str">
        <f>HYPERLINK("https://twitter.com/renew_economy")</f>
        <v>https://twitter.com/renew_economy</v>
      </c>
      <c r="AZ6" s="84" t="s">
        <v>65</v>
      </c>
      <c r="BA6" s="84" t="str">
        <f>REPLACE(INDEX(GroupVertices[Group],MATCH(Vertices[[#This Row],[Vertex]],GroupVertices[Vertex],0)),1,1,"")</f>
        <v>1</v>
      </c>
      <c r="BB6" s="2"/>
      <c r="BC6" s="3"/>
      <c r="BD6" s="3"/>
      <c r="BE6" s="3"/>
      <c r="BF6" s="3"/>
    </row>
    <row r="7" spans="1:58" ht="15">
      <c r="A7" s="14" t="s">
        <v>217</v>
      </c>
      <c r="B7" s="15"/>
      <c r="C7" s="15"/>
      <c r="D7" s="94"/>
      <c r="E7" s="80"/>
      <c r="F7" s="115" t="str">
        <f>HYPERLINK("http://pbs.twimg.com/profile_images/911098217898508288/Mkm_HTzh_normal.jpg")</f>
        <v>http://pbs.twimg.com/profile_images/911098217898508288/Mkm_HTzh_normal.jpg</v>
      </c>
      <c r="G7" s="15"/>
      <c r="H7" s="16" t="s">
        <v>217</v>
      </c>
      <c r="I7" s="68"/>
      <c r="J7" s="68"/>
      <c r="K7" s="117" t="s">
        <v>287</v>
      </c>
      <c r="L7" s="95"/>
      <c r="M7" s="96">
        <v>1735.052490234375</v>
      </c>
      <c r="N7" s="96">
        <v>2581.978515625</v>
      </c>
      <c r="O7" s="78"/>
      <c r="P7" s="97"/>
      <c r="Q7" s="97"/>
      <c r="R7" s="98"/>
      <c r="S7" s="98"/>
      <c r="T7" s="98"/>
      <c r="U7" s="98"/>
      <c r="V7" s="53"/>
      <c r="W7" s="53"/>
      <c r="X7" s="53"/>
      <c r="Y7" s="53"/>
      <c r="Z7" s="52"/>
      <c r="AA7" s="81">
        <v>7</v>
      </c>
      <c r="AB7" s="81"/>
      <c r="AC7" s="99"/>
      <c r="AD7" s="84" t="s">
        <v>264</v>
      </c>
      <c r="AE7" s="89" t="s">
        <v>270</v>
      </c>
      <c r="AF7" s="84">
        <v>1573</v>
      </c>
      <c r="AG7" s="84">
        <v>9055</v>
      </c>
      <c r="AH7" s="84">
        <v>7677</v>
      </c>
      <c r="AI7" s="84">
        <v>3753</v>
      </c>
      <c r="AJ7" s="84"/>
      <c r="AK7" s="84" t="s">
        <v>276</v>
      </c>
      <c r="AL7" s="84" t="s">
        <v>280</v>
      </c>
      <c r="AM7" s="91" t="str">
        <f>HYPERLINK("http://t.co/Udi1R8O9lM")</f>
        <v>http://t.co/Udi1R8O9lM</v>
      </c>
      <c r="AN7" s="84"/>
      <c r="AO7" s="86">
        <v>41117.29686342592</v>
      </c>
      <c r="AP7" s="91" t="str">
        <f>HYPERLINK("https://pbs.twimg.com/profile_banners/719639137/1519875036")</f>
        <v>https://pbs.twimg.com/profile_banners/719639137/1519875036</v>
      </c>
      <c r="AQ7" s="84" t="b">
        <v>0</v>
      </c>
      <c r="AR7" s="84" t="b">
        <v>0</v>
      </c>
      <c r="AS7" s="84" t="b">
        <v>1</v>
      </c>
      <c r="AT7" s="84"/>
      <c r="AU7" s="84">
        <v>197</v>
      </c>
      <c r="AV7" s="91" t="str">
        <f>HYPERLINK("http://abs.twimg.com/images/themes/theme1/bg.png")</f>
        <v>http://abs.twimg.com/images/themes/theme1/bg.png</v>
      </c>
      <c r="AW7" s="84" t="b">
        <v>0</v>
      </c>
      <c r="AX7" s="84" t="s">
        <v>283</v>
      </c>
      <c r="AY7" s="91" t="str">
        <f>HYPERLINK("https://twitter.com/solarcitizens")</f>
        <v>https://twitter.com/solarcitizens</v>
      </c>
      <c r="AZ7" s="84" t="s">
        <v>65</v>
      </c>
      <c r="BA7" s="84" t="str">
        <f>REPLACE(INDEX(GroupVertices[Group],MATCH(Vertices[[#This Row],[Vertex]],GroupVertices[Vertex],0)),1,1,"")</f>
        <v>1</v>
      </c>
      <c r="BB7" s="2"/>
      <c r="BC7" s="3"/>
      <c r="BD7" s="3"/>
      <c r="BE7" s="3"/>
      <c r="BF7" s="3"/>
    </row>
    <row r="8" spans="1:58" ht="15">
      <c r="A8" s="100" t="s">
        <v>218</v>
      </c>
      <c r="B8" s="101"/>
      <c r="C8" s="101"/>
      <c r="D8" s="102"/>
      <c r="E8" s="103"/>
      <c r="F8" s="116" t="str">
        <f>HYPERLINK("http://pbs.twimg.com/profile_images/1032835202232401921/CeBv0XbK_normal.jpg")</f>
        <v>http://pbs.twimg.com/profile_images/1032835202232401921/CeBv0XbK_normal.jpg</v>
      </c>
      <c r="G8" s="101"/>
      <c r="H8" s="104" t="s">
        <v>218</v>
      </c>
      <c r="I8" s="105"/>
      <c r="J8" s="105"/>
      <c r="K8" s="118" t="s">
        <v>288</v>
      </c>
      <c r="L8" s="106"/>
      <c r="M8" s="107">
        <v>4973.43115234375</v>
      </c>
      <c r="N8" s="107">
        <v>7417.021484375</v>
      </c>
      <c r="O8" s="108"/>
      <c r="P8" s="109"/>
      <c r="Q8" s="109"/>
      <c r="R8" s="110"/>
      <c r="S8" s="110"/>
      <c r="T8" s="110"/>
      <c r="U8" s="110"/>
      <c r="V8" s="111"/>
      <c r="W8" s="111"/>
      <c r="X8" s="111"/>
      <c r="Y8" s="111"/>
      <c r="Z8" s="112"/>
      <c r="AA8" s="113">
        <v>8</v>
      </c>
      <c r="AB8" s="113"/>
      <c r="AC8" s="114"/>
      <c r="AD8" s="84" t="s">
        <v>265</v>
      </c>
      <c r="AE8" s="89" t="s">
        <v>271</v>
      </c>
      <c r="AF8" s="84">
        <v>13</v>
      </c>
      <c r="AG8" s="84">
        <v>513</v>
      </c>
      <c r="AH8" s="84">
        <v>372</v>
      </c>
      <c r="AI8" s="84">
        <v>89</v>
      </c>
      <c r="AJ8" s="84"/>
      <c r="AK8" s="84" t="s">
        <v>277</v>
      </c>
      <c r="AL8" s="84" t="s">
        <v>281</v>
      </c>
      <c r="AM8" s="84"/>
      <c r="AN8" s="84"/>
      <c r="AO8" s="86">
        <v>40028.77923611111</v>
      </c>
      <c r="AP8" s="84"/>
      <c r="AQ8" s="84" t="b">
        <v>1</v>
      </c>
      <c r="AR8" s="84" t="b">
        <v>0</v>
      </c>
      <c r="AS8" s="84" t="b">
        <v>1</v>
      </c>
      <c r="AT8" s="84"/>
      <c r="AU8" s="84">
        <v>7</v>
      </c>
      <c r="AV8" s="91" t="str">
        <f>HYPERLINK("http://abs.twimg.com/images/themes/theme1/bg.png")</f>
        <v>http://abs.twimg.com/images/themes/theme1/bg.png</v>
      </c>
      <c r="AW8" s="84" t="b">
        <v>0</v>
      </c>
      <c r="AX8" s="84" t="s">
        <v>283</v>
      </c>
      <c r="AY8" s="91" t="str">
        <f>HYPERLINK("https://twitter.com/auspol")</f>
        <v>https://twitter.com/auspol</v>
      </c>
      <c r="AZ8" s="84" t="s">
        <v>65</v>
      </c>
      <c r="BA8" s="84" t="str">
        <f>REPLACE(INDEX(GroupVertices[Group],MATCH(Vertices[[#This Row],[Vertex]],GroupVertices[Vertex],0)),1,1,"")</f>
        <v>1</v>
      </c>
      <c r="BB8" s="2"/>
      <c r="BC8" s="3"/>
      <c r="BD8" s="3"/>
      <c r="BE8" s="3"/>
      <c r="BF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
    <dataValidation allowBlank="1" errorTitle="Invalid Vertex Visibility" error="You have entered an unrecognized vertex visibility.  Try selecting from the drop-down list instead." sqref="BB3"/>
    <dataValidation allowBlank="1" showErrorMessage="1" sqref="B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
    <dataValidation allowBlank="1" showInputMessage="1" promptTitle="Vertex Tooltip" prompt="Enter optional text that will pop up when the mouse is hovered over the vertex." errorTitle="Invalid Vertex Image Key" sqref="K3:K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
    <dataValidation allowBlank="1" showInputMessage="1" promptTitle="Vertex Label Fill Color" prompt="To select an optional fill color for the Label shape, right-click and select Select Color on the right-click menu." sqref="I3:I8"/>
    <dataValidation allowBlank="1" showInputMessage="1" promptTitle="Vertex Image File" prompt="Enter the path to an image file.  Hover over the column header for examples." errorTitle="Invalid Vertex Image Key" sqref="F3:F8"/>
    <dataValidation allowBlank="1" showInputMessage="1" promptTitle="Vertex Color" prompt="To select an optional vertex color, right-click and select Select Color on the right-click menu." sqref="B3:B8"/>
    <dataValidation allowBlank="1" showInputMessage="1" promptTitle="Vertex Opacity" prompt="Enter an optional vertex opacity between 0 (transparent) and 100 (opaque)." errorTitle="Invalid Vertex Opacity" error="The optional vertex opacity must be a whole number between 0 and 10." sqref="E3:E8"/>
    <dataValidation type="list" allowBlank="1" showInputMessage="1" showErrorMessage="1" promptTitle="Vertex Shape" prompt="Select an optional vertex shape." errorTitle="Invalid Vertex Shape" error="You have entered an invalid vertex shape.  Try selecting from the drop-down list instead." sqref="C3:C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
      <formula1>ValidVertexLabelPositions</formula1>
    </dataValidation>
    <dataValidation allowBlank="1" showInputMessage="1" showErrorMessage="1" promptTitle="Vertex Name" prompt="Enter the name of the vertex." sqref="A3:A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9" t="s">
        <v>39</v>
      </c>
      <c r="C1" s="70"/>
      <c r="D1" s="70"/>
      <c r="E1" s="71"/>
      <c r="F1" s="68" t="s">
        <v>43</v>
      </c>
      <c r="G1" s="72" t="s">
        <v>44</v>
      </c>
      <c r="H1" s="73"/>
      <c r="I1" s="74" t="s">
        <v>40</v>
      </c>
      <c r="J1" s="75"/>
      <c r="K1" s="76" t="s">
        <v>42</v>
      </c>
      <c r="L1" s="77"/>
      <c r="M1" s="77"/>
      <c r="N1" s="77"/>
      <c r="O1" s="77"/>
      <c r="P1" s="77"/>
      <c r="Q1" s="77"/>
      <c r="R1" s="77"/>
      <c r="S1" s="77"/>
      <c r="T1" s="77"/>
      <c r="U1" s="77"/>
      <c r="V1" s="77"/>
      <c r="W1" s="77"/>
      <c r="X1" s="77"/>
    </row>
    <row r="2" spans="1:25"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335</v>
      </c>
    </row>
    <row r="3" spans="1:25" ht="15">
      <c r="A3" s="83" t="s">
        <v>328</v>
      </c>
      <c r="B3" s="121" t="s">
        <v>330</v>
      </c>
      <c r="C3" s="121" t="s">
        <v>56</v>
      </c>
      <c r="D3" s="119"/>
      <c r="E3" s="15"/>
      <c r="F3" s="16" t="s">
        <v>328</v>
      </c>
      <c r="G3" s="78"/>
      <c r="H3" s="78"/>
      <c r="I3" s="120">
        <v>3</v>
      </c>
      <c r="J3" s="65"/>
      <c r="K3" s="51">
        <v>4</v>
      </c>
      <c r="L3" s="51">
        <v>3</v>
      </c>
      <c r="M3" s="51">
        <v>0</v>
      </c>
      <c r="N3" s="51">
        <v>3</v>
      </c>
      <c r="O3" s="51">
        <v>0</v>
      </c>
      <c r="P3" s="52">
        <v>0</v>
      </c>
      <c r="Q3" s="52">
        <v>0</v>
      </c>
      <c r="R3" s="51">
        <v>1</v>
      </c>
      <c r="S3" s="51">
        <v>0</v>
      </c>
      <c r="T3" s="51">
        <v>4</v>
      </c>
      <c r="U3" s="51">
        <v>3</v>
      </c>
      <c r="V3" s="51">
        <v>2</v>
      </c>
      <c r="W3" s="52">
        <v>1.125</v>
      </c>
      <c r="X3" s="52">
        <v>0.25</v>
      </c>
      <c r="Y3" s="84" t="s">
        <v>336</v>
      </c>
    </row>
    <row r="4" spans="1:25" ht="15">
      <c r="A4" s="83" t="s">
        <v>329</v>
      </c>
      <c r="B4" s="121" t="s">
        <v>331</v>
      </c>
      <c r="C4" s="121" t="s">
        <v>56</v>
      </c>
      <c r="D4" s="119"/>
      <c r="E4" s="15"/>
      <c r="F4" s="16" t="s">
        <v>329</v>
      </c>
      <c r="G4" s="78"/>
      <c r="H4" s="78"/>
      <c r="I4" s="120">
        <v>4</v>
      </c>
      <c r="J4" s="81"/>
      <c r="K4" s="51">
        <v>2</v>
      </c>
      <c r="L4" s="51">
        <v>1</v>
      </c>
      <c r="M4" s="51">
        <v>0</v>
      </c>
      <c r="N4" s="51">
        <v>1</v>
      </c>
      <c r="O4" s="51">
        <v>0</v>
      </c>
      <c r="P4" s="52">
        <v>0</v>
      </c>
      <c r="Q4" s="52">
        <v>0</v>
      </c>
      <c r="R4" s="51">
        <v>1</v>
      </c>
      <c r="S4" s="51">
        <v>0</v>
      </c>
      <c r="T4" s="51">
        <v>2</v>
      </c>
      <c r="U4" s="51">
        <v>1</v>
      </c>
      <c r="V4" s="51">
        <v>1</v>
      </c>
      <c r="W4" s="52">
        <v>0.5</v>
      </c>
      <c r="X4" s="52">
        <v>0.5</v>
      </c>
      <c r="Y4" s="84"/>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4" t="s">
        <v>328</v>
      </c>
      <c r="B2" s="89" t="s">
        <v>214</v>
      </c>
      <c r="C2" s="84">
        <f>VLOOKUP(GroupVertices[[#This Row],[Vertex]],Vertices[],MATCH("ID",Vertices[[#Headers],[Vertex]:[Vertex Group]],0),FALSE)</f>
        <v>5</v>
      </c>
    </row>
    <row r="3" spans="1:3" ht="15">
      <c r="A3" s="85" t="s">
        <v>328</v>
      </c>
      <c r="B3" s="89" t="s">
        <v>218</v>
      </c>
      <c r="C3" s="84">
        <f>VLOOKUP(GroupVertices[[#This Row],[Vertex]],Vertices[],MATCH("ID",Vertices[[#Headers],[Vertex]:[Vertex Group]],0),FALSE)</f>
        <v>8</v>
      </c>
    </row>
    <row r="4" spans="1:3" ht="15">
      <c r="A4" s="85" t="s">
        <v>328</v>
      </c>
      <c r="B4" s="89" t="s">
        <v>217</v>
      </c>
      <c r="C4" s="84">
        <f>VLOOKUP(GroupVertices[[#This Row],[Vertex]],Vertices[],MATCH("ID",Vertices[[#Headers],[Vertex]:[Vertex Group]],0),FALSE)</f>
        <v>7</v>
      </c>
    </row>
    <row r="5" spans="1:3" ht="15">
      <c r="A5" s="85" t="s">
        <v>328</v>
      </c>
      <c r="B5" s="89" t="s">
        <v>216</v>
      </c>
      <c r="C5" s="84">
        <f>VLOOKUP(GroupVertices[[#This Row],[Vertex]],Vertices[],MATCH("ID",Vertices[[#Headers],[Vertex]:[Vertex Group]],0),FALSE)</f>
        <v>6</v>
      </c>
    </row>
    <row r="6" spans="1:3" ht="15">
      <c r="A6" s="85" t="s">
        <v>329</v>
      </c>
      <c r="B6" s="89" t="s">
        <v>215</v>
      </c>
      <c r="C6" s="84">
        <f>VLOOKUP(GroupVertices[[#This Row],[Vertex]],Vertices[],MATCH("ID",Vertices[[#Headers],[Vertex]:[Vertex Group]],0),FALSE)</f>
        <v>3</v>
      </c>
    </row>
    <row r="7" spans="1:3" ht="15">
      <c r="A7" s="85" t="s">
        <v>329</v>
      </c>
      <c r="B7" s="89" t="s">
        <v>219</v>
      </c>
      <c r="C7" s="84">
        <f>VLOOKUP(GroupVertices[[#This Row],[Vertex]],Vertices[],MATCH("ID",Vertices[[#Headers],[Vertex]:[Vertex Group]],0),FALSE)</f>
        <v>4</v>
      </c>
    </row>
  </sheetData>
  <dataValidations count="3" xWindow="58" yWindow="226">
    <dataValidation allowBlank="1" showInputMessage="1" showErrorMessage="1" promptTitle="Group Name" prompt="Enter the name of the group.  The group name must also be entered on the Groups worksheet." sqref="A2:A7"/>
    <dataValidation allowBlank="1" showInputMessage="1" showErrorMessage="1" promptTitle="Vertex Name" prompt="Enter the name of a vertex to include in the group." sqref="B2:B7"/>
    <dataValidation allowBlank="1" showInputMessage="1" promptTitle="Vertex ID" prompt="This is the value of the hidden ID cell in the Vertices worksheet.  It gets filled in by the items on the NodeXL, Analysis, Groups menu." sqref="C2:C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c r="B2" s="36"/>
      <c r="D2" s="33">
        <f>MIN(Vertices[Degree])</f>
        <v>0</v>
      </c>
      <c r="E2" s="3">
        <f>COUNTIF(Vertices[Degree],"&gt;= "&amp;D2)-COUNTIF(Vertices[Degree],"&gt;="&amp;D3)</f>
        <v>0</v>
      </c>
      <c r="F2" s="39">
        <f>MIN(Vertices[In-Degree])</f>
        <v>0</v>
      </c>
      <c r="G2" s="40">
        <f>COUNTIF(Vertices[In-Degree],"&gt;= "&amp;F2)-COUNTIF(Vertices[In-Degree],"&gt;="&amp;F3)</f>
        <v>0</v>
      </c>
      <c r="H2" s="39">
        <f>MIN(Vertices[Out-Degree])</f>
        <v>0</v>
      </c>
      <c r="I2" s="40">
        <f>COUNTIF(Vertices[Out-Degree],"&gt;= "&amp;H2)-COUNTIF(Vertices[Out-Degree],"&gt;="&amp;H3)</f>
        <v>0</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0</v>
      </c>
      <c r="N2" s="39">
        <f>MIN(Vertices[Eigenvector Centrality])</f>
        <v>0</v>
      </c>
      <c r="O2" s="40">
        <f>COUNTIF(Vertices[Eigenvector Centrality],"&gt;= "&amp;N2)-COUNTIF(Vertices[Eigenvector Centrality],"&gt;="&amp;N3)</f>
        <v>0</v>
      </c>
      <c r="P2" s="39">
        <f>MIN(Vertices[PageRank])</f>
        <v>0</v>
      </c>
      <c r="Q2" s="40">
        <f>COUNTIF(Vertices[PageRank],"&gt;= "&amp;P2)-COUNTIF(Vertices[PageRank],"&gt;="&amp;P3)</f>
        <v>0</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36"/>
      <c r="B3" s="36"/>
      <c r="D3" s="34">
        <f aca="true" t="shared" si="1" ref="D3:D35">D2+($D$36-$D$2)/BinDivisor</f>
        <v>0</v>
      </c>
      <c r="E3" s="3">
        <f>COUNTIF(Vertices[Degree],"&gt;= "&amp;D3)-COUNTIF(Vertices[Degree],"&gt;="&amp;D4)</f>
        <v>0</v>
      </c>
      <c r="F3" s="41">
        <f aca="true" t="shared" si="2" ref="F3:F35">F2+($F$36-$F$2)/BinDivisor</f>
        <v>0</v>
      </c>
      <c r="G3" s="42">
        <f>COUNTIF(Vertices[In-Degree],"&gt;= "&amp;F3)-COUNTIF(Vertices[In-Degree],"&gt;="&amp;F4)</f>
        <v>0</v>
      </c>
      <c r="H3" s="41">
        <f aca="true" t="shared" si="3" ref="H3:H35">H2+($H$36-$H$2)/BinDivisor</f>
        <v>0</v>
      </c>
      <c r="I3" s="42">
        <f>COUNTIF(Vertices[Out-Degree],"&gt;= "&amp;H3)-COUNTIF(Vertices[Out-Degree],"&gt;="&amp;H4)</f>
        <v>0</v>
      </c>
      <c r="J3" s="41">
        <f aca="true" t="shared" si="4" ref="J3:J35">J2+($J$36-$J$2)/BinDivisor</f>
        <v>0</v>
      </c>
      <c r="K3" s="42">
        <f>COUNTIF(Vertices[Betweenness Centrality],"&gt;= "&amp;J3)-COUNTIF(Vertices[Betweenness Centrality],"&gt;="&amp;J4)</f>
        <v>0</v>
      </c>
      <c r="L3" s="41">
        <f aca="true" t="shared" si="5" ref="L3:L35">L2+($L$36-$L$2)/BinDivisor</f>
        <v>0</v>
      </c>
      <c r="M3" s="42">
        <f>COUNTIF(Vertices[Closeness Centrality],"&gt;= "&amp;L3)-COUNTIF(Vertices[Closeness Centrality],"&gt;="&amp;L4)</f>
        <v>0</v>
      </c>
      <c r="N3" s="41">
        <f aca="true" t="shared" si="6" ref="N3:N35">N2+($N$36-$N$2)/BinDivisor</f>
        <v>0</v>
      </c>
      <c r="O3" s="42">
        <f>COUNTIF(Vertices[Eigenvector Centrality],"&gt;= "&amp;N3)-COUNTIF(Vertices[Eigenvector Centrality],"&gt;="&amp;N4)</f>
        <v>0</v>
      </c>
      <c r="P3" s="41">
        <f aca="true" t="shared" si="7" ref="P3:P35">P2+($P$36-$P$2)/BinDivisor</f>
        <v>0</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c r="B4" s="36"/>
      <c r="D4" s="34">
        <f t="shared" si="1"/>
        <v>0</v>
      </c>
      <c r="E4" s="3">
        <f>COUNTIF(Vertices[Degree],"&gt;= "&amp;D4)-COUNTIF(Vertices[Degree],"&gt;="&amp;D5)</f>
        <v>0</v>
      </c>
      <c r="F4" s="39">
        <f t="shared" si="2"/>
        <v>0</v>
      </c>
      <c r="G4" s="40">
        <f>COUNTIF(Vertices[In-Degree],"&gt;= "&amp;F4)-COUNTIF(Vertices[In-Degree],"&gt;="&amp;F5)</f>
        <v>0</v>
      </c>
      <c r="H4" s="39">
        <f t="shared" si="3"/>
        <v>0</v>
      </c>
      <c r="I4" s="40">
        <f>COUNTIF(Vertices[Out-Degree],"&gt;= "&amp;H4)-COUNTIF(Vertices[Out-Degree],"&gt;="&amp;H5)</f>
        <v>0</v>
      </c>
      <c r="J4" s="39">
        <f t="shared" si="4"/>
        <v>0</v>
      </c>
      <c r="K4" s="40">
        <f>COUNTIF(Vertices[Betweenness Centrality],"&gt;= "&amp;J4)-COUNTIF(Vertices[Betweenness Centrality],"&gt;="&amp;J5)</f>
        <v>0</v>
      </c>
      <c r="L4" s="39">
        <f t="shared" si="5"/>
        <v>0</v>
      </c>
      <c r="M4" s="40">
        <f>COUNTIF(Vertices[Closeness Centrality],"&gt;= "&amp;L4)-COUNTIF(Vertices[Closeness Centrality],"&gt;="&amp;L5)</f>
        <v>0</v>
      </c>
      <c r="N4" s="39">
        <f t="shared" si="6"/>
        <v>0</v>
      </c>
      <c r="O4" s="40">
        <f>COUNTIF(Vertices[Eigenvector Centrality],"&gt;= "&amp;N4)-COUNTIF(Vertices[Eigenvector Centrality],"&gt;="&amp;N5)</f>
        <v>0</v>
      </c>
      <c r="P4" s="39">
        <f t="shared" si="7"/>
        <v>0</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36"/>
      <c r="B5" s="36"/>
      <c r="D5" s="34">
        <f t="shared" si="1"/>
        <v>0</v>
      </c>
      <c r="E5" s="3">
        <f>COUNTIF(Vertices[Degree],"&gt;= "&amp;D5)-COUNTIF(Vertices[Degree],"&gt;="&amp;D6)</f>
        <v>0</v>
      </c>
      <c r="F5" s="41">
        <f t="shared" si="2"/>
        <v>0</v>
      </c>
      <c r="G5" s="42">
        <f>COUNTIF(Vertices[In-Degree],"&gt;= "&amp;F5)-COUNTIF(Vertices[In-Degree],"&gt;="&amp;F6)</f>
        <v>0</v>
      </c>
      <c r="H5" s="41">
        <f t="shared" si="3"/>
        <v>0</v>
      </c>
      <c r="I5" s="42">
        <f>COUNTIF(Vertices[Out-Degree],"&gt;= "&amp;H5)-COUNTIF(Vertices[Out-Degree],"&gt;="&amp;H6)</f>
        <v>0</v>
      </c>
      <c r="J5" s="41">
        <f t="shared" si="4"/>
        <v>0</v>
      </c>
      <c r="K5" s="42">
        <f>COUNTIF(Vertices[Betweenness Centrality],"&gt;= "&amp;J5)-COUNTIF(Vertices[Betweenness Centrality],"&gt;="&amp;J6)</f>
        <v>0</v>
      </c>
      <c r="L5" s="41">
        <f t="shared" si="5"/>
        <v>0</v>
      </c>
      <c r="M5" s="42">
        <f>COUNTIF(Vertices[Closeness Centrality],"&gt;= "&amp;L5)-COUNTIF(Vertices[Closeness Centrality],"&gt;="&amp;L6)</f>
        <v>0</v>
      </c>
      <c r="N5" s="41">
        <f t="shared" si="6"/>
        <v>0</v>
      </c>
      <c r="O5" s="42">
        <f>COUNTIF(Vertices[Eigenvector Centrality],"&gt;= "&amp;N5)-COUNTIF(Vertices[Eigenvector Centrality],"&gt;="&amp;N6)</f>
        <v>0</v>
      </c>
      <c r="P5" s="41">
        <f t="shared" si="7"/>
        <v>0</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c r="B6" s="36"/>
      <c r="D6" s="34">
        <f t="shared" si="1"/>
        <v>0</v>
      </c>
      <c r="E6" s="3">
        <f>COUNTIF(Vertices[Degree],"&gt;= "&amp;D6)-COUNTIF(Vertices[Degree],"&gt;="&amp;D7)</f>
        <v>0</v>
      </c>
      <c r="F6" s="39">
        <f t="shared" si="2"/>
        <v>0</v>
      </c>
      <c r="G6" s="40">
        <f>COUNTIF(Vertices[In-Degree],"&gt;= "&amp;F6)-COUNTIF(Vertices[In-Degree],"&gt;="&amp;F7)</f>
        <v>0</v>
      </c>
      <c r="H6" s="39">
        <f t="shared" si="3"/>
        <v>0</v>
      </c>
      <c r="I6" s="40">
        <f>COUNTIF(Vertices[Out-Degree],"&gt;= "&amp;H6)-COUNTIF(Vertices[Out-Degree],"&gt;="&amp;H7)</f>
        <v>0</v>
      </c>
      <c r="J6" s="39">
        <f t="shared" si="4"/>
        <v>0</v>
      </c>
      <c r="K6" s="40">
        <f>COUNTIF(Vertices[Betweenness Centrality],"&gt;= "&amp;J6)-COUNTIF(Vertices[Betweenness Centrality],"&gt;="&amp;J7)</f>
        <v>0</v>
      </c>
      <c r="L6" s="39">
        <f t="shared" si="5"/>
        <v>0</v>
      </c>
      <c r="M6" s="40">
        <f>COUNTIF(Vertices[Closeness Centrality],"&gt;= "&amp;L6)-COUNTIF(Vertices[Closeness Centrality],"&gt;="&amp;L7)</f>
        <v>0</v>
      </c>
      <c r="N6" s="39">
        <f t="shared" si="6"/>
        <v>0</v>
      </c>
      <c r="O6" s="40">
        <f>COUNTIF(Vertices[Eigenvector Centrality],"&gt;= "&amp;N6)-COUNTIF(Vertices[Eigenvector Centrality],"&gt;="&amp;N7)</f>
        <v>0</v>
      </c>
      <c r="P6" s="39">
        <f t="shared" si="7"/>
        <v>0</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c r="B7" s="36"/>
      <c r="D7" s="34">
        <f t="shared" si="1"/>
        <v>0</v>
      </c>
      <c r="E7" s="3">
        <f>COUNTIF(Vertices[Degree],"&gt;= "&amp;D7)-COUNTIF(Vertices[Degree],"&gt;="&amp;D8)</f>
        <v>0</v>
      </c>
      <c r="F7" s="41">
        <f t="shared" si="2"/>
        <v>0</v>
      </c>
      <c r="G7" s="42">
        <f>COUNTIF(Vertices[In-Degree],"&gt;= "&amp;F7)-COUNTIF(Vertices[In-Degree],"&gt;="&amp;F8)</f>
        <v>0</v>
      </c>
      <c r="H7" s="41">
        <f t="shared" si="3"/>
        <v>0</v>
      </c>
      <c r="I7" s="42">
        <f>COUNTIF(Vertices[Out-Degree],"&gt;= "&amp;H7)-COUNTIF(Vertices[Out-Degree],"&gt;="&amp;H8)</f>
        <v>0</v>
      </c>
      <c r="J7" s="41">
        <f t="shared" si="4"/>
        <v>0</v>
      </c>
      <c r="K7" s="42">
        <f>COUNTIF(Vertices[Betweenness Centrality],"&gt;= "&amp;J7)-COUNTIF(Vertices[Betweenness Centrality],"&gt;="&amp;J8)</f>
        <v>0</v>
      </c>
      <c r="L7" s="41">
        <f t="shared" si="5"/>
        <v>0</v>
      </c>
      <c r="M7" s="42">
        <f>COUNTIF(Vertices[Closeness Centrality],"&gt;= "&amp;L7)-COUNTIF(Vertices[Closeness Centrality],"&gt;="&amp;L8)</f>
        <v>0</v>
      </c>
      <c r="N7" s="41">
        <f t="shared" si="6"/>
        <v>0</v>
      </c>
      <c r="O7" s="42">
        <f>COUNTIF(Vertices[Eigenvector Centrality],"&gt;= "&amp;N7)-COUNTIF(Vertices[Eigenvector Centrality],"&gt;="&amp;N8)</f>
        <v>0</v>
      </c>
      <c r="P7" s="41">
        <f t="shared" si="7"/>
        <v>0</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c r="B8" s="36"/>
      <c r="D8" s="34">
        <f t="shared" si="1"/>
        <v>0</v>
      </c>
      <c r="E8" s="3">
        <f>COUNTIF(Vertices[Degree],"&gt;= "&amp;D8)-COUNTIF(Vertices[Degree],"&gt;="&amp;D9)</f>
        <v>0</v>
      </c>
      <c r="F8" s="39">
        <f t="shared" si="2"/>
        <v>0</v>
      </c>
      <c r="G8" s="40">
        <f>COUNTIF(Vertices[In-Degree],"&gt;= "&amp;F8)-COUNTIF(Vertices[In-Degree],"&gt;="&amp;F9)</f>
        <v>0</v>
      </c>
      <c r="H8" s="39">
        <f t="shared" si="3"/>
        <v>0</v>
      </c>
      <c r="I8" s="40">
        <f>COUNTIF(Vertices[Out-Degree],"&gt;= "&amp;H8)-COUNTIF(Vertices[Out-Degree],"&gt;="&amp;H9)</f>
        <v>0</v>
      </c>
      <c r="J8" s="39">
        <f t="shared" si="4"/>
        <v>0</v>
      </c>
      <c r="K8" s="40">
        <f>COUNTIF(Vertices[Betweenness Centrality],"&gt;= "&amp;J8)-COUNTIF(Vertices[Betweenness Centrality],"&gt;="&amp;J9)</f>
        <v>0</v>
      </c>
      <c r="L8" s="39">
        <f t="shared" si="5"/>
        <v>0</v>
      </c>
      <c r="M8" s="40">
        <f>COUNTIF(Vertices[Closeness Centrality],"&gt;= "&amp;L8)-COUNTIF(Vertices[Closeness Centrality],"&gt;="&amp;L9)</f>
        <v>0</v>
      </c>
      <c r="N8" s="39">
        <f t="shared" si="6"/>
        <v>0</v>
      </c>
      <c r="O8" s="40">
        <f>COUNTIF(Vertices[Eigenvector Centrality],"&gt;= "&amp;N8)-COUNTIF(Vertices[Eigenvector Centrality],"&gt;="&amp;N9)</f>
        <v>0</v>
      </c>
      <c r="P8" s="39">
        <f t="shared" si="7"/>
        <v>0</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36"/>
      <c r="B9" s="36"/>
      <c r="D9" s="34">
        <f t="shared" si="1"/>
        <v>0</v>
      </c>
      <c r="E9" s="3">
        <f>COUNTIF(Vertices[Degree],"&gt;= "&amp;D9)-COUNTIF(Vertices[Degree],"&gt;="&amp;D10)</f>
        <v>0</v>
      </c>
      <c r="F9" s="41">
        <f t="shared" si="2"/>
        <v>0</v>
      </c>
      <c r="G9" s="42">
        <f>COUNTIF(Vertices[In-Degree],"&gt;= "&amp;F9)-COUNTIF(Vertices[In-Degree],"&gt;="&amp;F10)</f>
        <v>0</v>
      </c>
      <c r="H9" s="41">
        <f t="shared" si="3"/>
        <v>0</v>
      </c>
      <c r="I9" s="42">
        <f>COUNTIF(Vertices[Out-Degree],"&gt;= "&amp;H9)-COUNTIF(Vertices[Out-Degree],"&gt;="&amp;H10)</f>
        <v>0</v>
      </c>
      <c r="J9" s="41">
        <f t="shared" si="4"/>
        <v>0</v>
      </c>
      <c r="K9" s="42">
        <f>COUNTIF(Vertices[Betweenness Centrality],"&gt;= "&amp;J9)-COUNTIF(Vertices[Betweenness Centrality],"&gt;="&amp;J10)</f>
        <v>0</v>
      </c>
      <c r="L9" s="41">
        <f t="shared" si="5"/>
        <v>0</v>
      </c>
      <c r="M9" s="42">
        <f>COUNTIF(Vertices[Closeness Centrality],"&gt;= "&amp;L9)-COUNTIF(Vertices[Closeness Centrality],"&gt;="&amp;L10)</f>
        <v>0</v>
      </c>
      <c r="N9" s="41">
        <f t="shared" si="6"/>
        <v>0</v>
      </c>
      <c r="O9" s="42">
        <f>COUNTIF(Vertices[Eigenvector Centrality],"&gt;= "&amp;N9)-COUNTIF(Vertices[Eigenvector Centrality],"&gt;="&amp;N10)</f>
        <v>0</v>
      </c>
      <c r="P9" s="41">
        <f t="shared" si="7"/>
        <v>0</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c r="B10" s="36"/>
      <c r="D10" s="34">
        <f t="shared" si="1"/>
        <v>0</v>
      </c>
      <c r="E10" s="3">
        <f>COUNTIF(Vertices[Degree],"&gt;= "&amp;D10)-COUNTIF(Vertices[Degree],"&gt;="&amp;D11)</f>
        <v>0</v>
      </c>
      <c r="F10" s="39">
        <f t="shared" si="2"/>
        <v>0</v>
      </c>
      <c r="G10" s="40">
        <f>COUNTIF(Vertices[In-Degree],"&gt;= "&amp;F10)-COUNTIF(Vertices[In-Degree],"&gt;="&amp;F11)</f>
        <v>0</v>
      </c>
      <c r="H10" s="39">
        <f t="shared" si="3"/>
        <v>0</v>
      </c>
      <c r="I10" s="40">
        <f>COUNTIF(Vertices[Out-Degree],"&gt;= "&amp;H10)-COUNTIF(Vertices[Out-Degree],"&gt;="&amp;H11)</f>
        <v>0</v>
      </c>
      <c r="J10" s="39">
        <f t="shared" si="4"/>
        <v>0</v>
      </c>
      <c r="K10" s="40">
        <f>COUNTIF(Vertices[Betweenness Centrality],"&gt;= "&amp;J10)-COUNTIF(Vertices[Betweenness Centrality],"&gt;="&amp;J11)</f>
        <v>0</v>
      </c>
      <c r="L10" s="39">
        <f t="shared" si="5"/>
        <v>0</v>
      </c>
      <c r="M10" s="40">
        <f>COUNTIF(Vertices[Closeness Centrality],"&gt;= "&amp;L10)-COUNTIF(Vertices[Closeness Centrality],"&gt;="&amp;L11)</f>
        <v>0</v>
      </c>
      <c r="N10" s="39">
        <f t="shared" si="6"/>
        <v>0</v>
      </c>
      <c r="O10" s="40">
        <f>COUNTIF(Vertices[Eigenvector Centrality],"&gt;= "&amp;N10)-COUNTIF(Vertices[Eigenvector Centrality],"&gt;="&amp;N11)</f>
        <v>0</v>
      </c>
      <c r="P10" s="39">
        <f t="shared" si="7"/>
        <v>0</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36"/>
      <c r="B11" s="36"/>
      <c r="D11" s="34">
        <f t="shared" si="1"/>
        <v>0</v>
      </c>
      <c r="E11" s="3">
        <f>COUNTIF(Vertices[Degree],"&gt;= "&amp;D11)-COUNTIF(Vertices[Degree],"&gt;="&amp;D12)</f>
        <v>0</v>
      </c>
      <c r="F11" s="41">
        <f t="shared" si="2"/>
        <v>0</v>
      </c>
      <c r="G11" s="42">
        <f>COUNTIF(Vertices[In-Degree],"&gt;= "&amp;F11)-COUNTIF(Vertices[In-Degree],"&gt;="&amp;F12)</f>
        <v>0</v>
      </c>
      <c r="H11" s="41">
        <f t="shared" si="3"/>
        <v>0</v>
      </c>
      <c r="I11" s="42">
        <f>COUNTIF(Vertices[Out-Degree],"&gt;= "&amp;H11)-COUNTIF(Vertices[Out-Degree],"&gt;="&amp;H12)</f>
        <v>0</v>
      </c>
      <c r="J11" s="41">
        <f t="shared" si="4"/>
        <v>0</v>
      </c>
      <c r="K11" s="42">
        <f>COUNTIF(Vertices[Betweenness Centrality],"&gt;= "&amp;J11)-COUNTIF(Vertices[Betweenness Centrality],"&gt;="&amp;J12)</f>
        <v>0</v>
      </c>
      <c r="L11" s="41">
        <f t="shared" si="5"/>
        <v>0</v>
      </c>
      <c r="M11" s="42">
        <f>COUNTIF(Vertices[Closeness Centrality],"&gt;= "&amp;L11)-COUNTIF(Vertices[Closeness Centrality],"&gt;="&amp;L12)</f>
        <v>0</v>
      </c>
      <c r="N11" s="41">
        <f t="shared" si="6"/>
        <v>0</v>
      </c>
      <c r="O11" s="42">
        <f>COUNTIF(Vertices[Eigenvector Centrality],"&gt;= "&amp;N11)-COUNTIF(Vertices[Eigenvector Centrality],"&gt;="&amp;N12)</f>
        <v>0</v>
      </c>
      <c r="P11" s="41">
        <f t="shared" si="7"/>
        <v>0</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c r="B12" s="36"/>
      <c r="D12" s="34">
        <f t="shared" si="1"/>
        <v>0</v>
      </c>
      <c r="E12" s="3">
        <f>COUNTIF(Vertices[Degree],"&gt;= "&amp;D12)-COUNTIF(Vertices[Degree],"&gt;="&amp;D13)</f>
        <v>0</v>
      </c>
      <c r="F12" s="39">
        <f t="shared" si="2"/>
        <v>0</v>
      </c>
      <c r="G12" s="40">
        <f>COUNTIF(Vertices[In-Degree],"&gt;= "&amp;F12)-COUNTIF(Vertices[In-Degree],"&gt;="&amp;F13)</f>
        <v>0</v>
      </c>
      <c r="H12" s="39">
        <f t="shared" si="3"/>
        <v>0</v>
      </c>
      <c r="I12" s="40">
        <f>COUNTIF(Vertices[Out-Degree],"&gt;= "&amp;H12)-COUNTIF(Vertices[Out-Degree],"&gt;="&amp;H13)</f>
        <v>0</v>
      </c>
      <c r="J12" s="39">
        <f t="shared" si="4"/>
        <v>0</v>
      </c>
      <c r="K12" s="40">
        <f>COUNTIF(Vertices[Betweenness Centrality],"&gt;= "&amp;J12)-COUNTIF(Vertices[Betweenness Centrality],"&gt;="&amp;J13)</f>
        <v>0</v>
      </c>
      <c r="L12" s="39">
        <f t="shared" si="5"/>
        <v>0</v>
      </c>
      <c r="M12" s="40">
        <f>COUNTIF(Vertices[Closeness Centrality],"&gt;= "&amp;L12)-COUNTIF(Vertices[Closeness Centrality],"&gt;="&amp;L13)</f>
        <v>0</v>
      </c>
      <c r="N12" s="39">
        <f t="shared" si="6"/>
        <v>0</v>
      </c>
      <c r="O12" s="40">
        <f>COUNTIF(Vertices[Eigenvector Centrality],"&gt;= "&amp;N12)-COUNTIF(Vertices[Eigenvector Centrality],"&gt;="&amp;N13)</f>
        <v>0</v>
      </c>
      <c r="P12" s="39">
        <f t="shared" si="7"/>
        <v>0</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c r="B13" s="36"/>
      <c r="D13" s="34">
        <f t="shared" si="1"/>
        <v>0</v>
      </c>
      <c r="E13" s="3">
        <f>COUNTIF(Vertices[Degree],"&gt;= "&amp;D13)-COUNTIF(Vertices[Degree],"&gt;="&amp;D14)</f>
        <v>0</v>
      </c>
      <c r="F13" s="41">
        <f t="shared" si="2"/>
        <v>0</v>
      </c>
      <c r="G13" s="42">
        <f>COUNTIF(Vertices[In-Degree],"&gt;= "&amp;F13)-COUNTIF(Vertices[In-Degree],"&gt;="&amp;F14)</f>
        <v>0</v>
      </c>
      <c r="H13" s="41">
        <f t="shared" si="3"/>
        <v>0</v>
      </c>
      <c r="I13" s="42">
        <f>COUNTIF(Vertices[Out-Degree],"&gt;= "&amp;H13)-COUNTIF(Vertices[Out-Degree],"&gt;="&amp;H14)</f>
        <v>0</v>
      </c>
      <c r="J13" s="41">
        <f t="shared" si="4"/>
        <v>0</v>
      </c>
      <c r="K13" s="42">
        <f>COUNTIF(Vertices[Betweenness Centrality],"&gt;= "&amp;J13)-COUNTIF(Vertices[Betweenness Centrality],"&gt;="&amp;J14)</f>
        <v>0</v>
      </c>
      <c r="L13" s="41">
        <f t="shared" si="5"/>
        <v>0</v>
      </c>
      <c r="M13" s="42">
        <f>COUNTIF(Vertices[Closeness Centrality],"&gt;= "&amp;L13)-COUNTIF(Vertices[Closeness Centrality],"&gt;="&amp;L14)</f>
        <v>0</v>
      </c>
      <c r="N13" s="41">
        <f t="shared" si="6"/>
        <v>0</v>
      </c>
      <c r="O13" s="42">
        <f>COUNTIF(Vertices[Eigenvector Centrality],"&gt;= "&amp;N13)-COUNTIF(Vertices[Eigenvector Centrality],"&gt;="&amp;N14)</f>
        <v>0</v>
      </c>
      <c r="P13" s="41">
        <f t="shared" si="7"/>
        <v>0</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c r="B14" s="36"/>
      <c r="D14" s="34">
        <f t="shared" si="1"/>
        <v>0</v>
      </c>
      <c r="E14" s="3">
        <f>COUNTIF(Vertices[Degree],"&gt;= "&amp;D14)-COUNTIF(Vertices[Degree],"&gt;="&amp;D15)</f>
        <v>0</v>
      </c>
      <c r="F14" s="39">
        <f t="shared" si="2"/>
        <v>0</v>
      </c>
      <c r="G14" s="40">
        <f>COUNTIF(Vertices[In-Degree],"&gt;= "&amp;F14)-COUNTIF(Vertices[In-Degree],"&gt;="&amp;F15)</f>
        <v>0</v>
      </c>
      <c r="H14" s="39">
        <f t="shared" si="3"/>
        <v>0</v>
      </c>
      <c r="I14" s="40">
        <f>COUNTIF(Vertices[Out-Degree],"&gt;= "&amp;H14)-COUNTIF(Vertices[Out-Degree],"&gt;="&amp;H15)</f>
        <v>0</v>
      </c>
      <c r="J14" s="39">
        <f t="shared" si="4"/>
        <v>0</v>
      </c>
      <c r="K14" s="40">
        <f>COUNTIF(Vertices[Betweenness Centrality],"&gt;= "&amp;J14)-COUNTIF(Vertices[Betweenness Centrality],"&gt;="&amp;J15)</f>
        <v>0</v>
      </c>
      <c r="L14" s="39">
        <f t="shared" si="5"/>
        <v>0</v>
      </c>
      <c r="M14" s="40">
        <f>COUNTIF(Vertices[Closeness Centrality],"&gt;= "&amp;L14)-COUNTIF(Vertices[Closeness Centrality],"&gt;="&amp;L15)</f>
        <v>0</v>
      </c>
      <c r="N14" s="39">
        <f t="shared" si="6"/>
        <v>0</v>
      </c>
      <c r="O14" s="40">
        <f>COUNTIF(Vertices[Eigenvector Centrality],"&gt;= "&amp;N14)-COUNTIF(Vertices[Eigenvector Centrality],"&gt;="&amp;N15)</f>
        <v>0</v>
      </c>
      <c r="P14" s="39">
        <f t="shared" si="7"/>
        <v>0</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c r="B15" s="36"/>
      <c r="D15" s="34">
        <f t="shared" si="1"/>
        <v>0</v>
      </c>
      <c r="E15" s="3">
        <f>COUNTIF(Vertices[Degree],"&gt;= "&amp;D15)-COUNTIF(Vertices[Degree],"&gt;="&amp;D16)</f>
        <v>0</v>
      </c>
      <c r="F15" s="41">
        <f t="shared" si="2"/>
        <v>0</v>
      </c>
      <c r="G15" s="42">
        <f>COUNTIF(Vertices[In-Degree],"&gt;= "&amp;F15)-COUNTIF(Vertices[In-Degree],"&gt;="&amp;F16)</f>
        <v>0</v>
      </c>
      <c r="H15" s="41">
        <f t="shared" si="3"/>
        <v>0</v>
      </c>
      <c r="I15" s="42">
        <f>COUNTIF(Vertices[Out-Degree],"&gt;= "&amp;H15)-COUNTIF(Vertices[Out-Degree],"&gt;="&amp;H16)</f>
        <v>0</v>
      </c>
      <c r="J15" s="41">
        <f t="shared" si="4"/>
        <v>0</v>
      </c>
      <c r="K15" s="42">
        <f>COUNTIF(Vertices[Betweenness Centrality],"&gt;= "&amp;J15)-COUNTIF(Vertices[Betweenness Centrality],"&gt;="&amp;J16)</f>
        <v>0</v>
      </c>
      <c r="L15" s="41">
        <f t="shared" si="5"/>
        <v>0</v>
      </c>
      <c r="M15" s="42">
        <f>COUNTIF(Vertices[Closeness Centrality],"&gt;= "&amp;L15)-COUNTIF(Vertices[Closeness Centrality],"&gt;="&amp;L16)</f>
        <v>0</v>
      </c>
      <c r="N15" s="41">
        <f t="shared" si="6"/>
        <v>0</v>
      </c>
      <c r="O15" s="42">
        <f>COUNTIF(Vertices[Eigenvector Centrality],"&gt;= "&amp;N15)-COUNTIF(Vertices[Eigenvector Centrality],"&gt;="&amp;N16)</f>
        <v>0</v>
      </c>
      <c r="P15" s="41">
        <f t="shared" si="7"/>
        <v>0</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c r="B16" s="36"/>
      <c r="D16" s="34">
        <f t="shared" si="1"/>
        <v>0</v>
      </c>
      <c r="E16" s="3">
        <f>COUNTIF(Vertices[Degree],"&gt;= "&amp;D16)-COUNTIF(Vertices[Degree],"&gt;="&amp;D17)</f>
        <v>0</v>
      </c>
      <c r="F16" s="39">
        <f t="shared" si="2"/>
        <v>0</v>
      </c>
      <c r="G16" s="40">
        <f>COUNTIF(Vertices[In-Degree],"&gt;= "&amp;F16)-COUNTIF(Vertices[In-Degree],"&gt;="&amp;F17)</f>
        <v>0</v>
      </c>
      <c r="H16" s="39">
        <f t="shared" si="3"/>
        <v>0</v>
      </c>
      <c r="I16" s="40">
        <f>COUNTIF(Vertices[Out-Degree],"&gt;= "&amp;H16)-COUNTIF(Vertices[Out-Degree],"&gt;="&amp;H17)</f>
        <v>0</v>
      </c>
      <c r="J16" s="39">
        <f t="shared" si="4"/>
        <v>0</v>
      </c>
      <c r="K16" s="40">
        <f>COUNTIF(Vertices[Betweenness Centrality],"&gt;= "&amp;J16)-COUNTIF(Vertices[Betweenness Centrality],"&gt;="&amp;J17)</f>
        <v>0</v>
      </c>
      <c r="L16" s="39">
        <f t="shared" si="5"/>
        <v>0</v>
      </c>
      <c r="M16" s="40">
        <f>COUNTIF(Vertices[Closeness Centrality],"&gt;= "&amp;L16)-COUNTIF(Vertices[Closeness Centrality],"&gt;="&amp;L17)</f>
        <v>0</v>
      </c>
      <c r="N16" s="39">
        <f t="shared" si="6"/>
        <v>0</v>
      </c>
      <c r="O16" s="40">
        <f>COUNTIF(Vertices[Eigenvector Centrality],"&gt;= "&amp;N16)-COUNTIF(Vertices[Eigenvector Centrality],"&gt;="&amp;N17)</f>
        <v>0</v>
      </c>
      <c r="P16" s="39">
        <f t="shared" si="7"/>
        <v>0</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c r="B17" s="36"/>
      <c r="D17" s="34">
        <f t="shared" si="1"/>
        <v>0</v>
      </c>
      <c r="E17" s="3">
        <f>COUNTIF(Vertices[Degree],"&gt;= "&amp;D17)-COUNTIF(Vertices[Degree],"&gt;="&amp;D18)</f>
        <v>0</v>
      </c>
      <c r="F17" s="41">
        <f t="shared" si="2"/>
        <v>0</v>
      </c>
      <c r="G17" s="42">
        <f>COUNTIF(Vertices[In-Degree],"&gt;= "&amp;F17)-COUNTIF(Vertices[In-Degree],"&gt;="&amp;F18)</f>
        <v>0</v>
      </c>
      <c r="H17" s="41">
        <f t="shared" si="3"/>
        <v>0</v>
      </c>
      <c r="I17" s="42">
        <f>COUNTIF(Vertices[Out-Degree],"&gt;= "&amp;H17)-COUNTIF(Vertices[Out-Degree],"&gt;="&amp;H18)</f>
        <v>0</v>
      </c>
      <c r="J17" s="41">
        <f t="shared" si="4"/>
        <v>0</v>
      </c>
      <c r="K17" s="42">
        <f>COUNTIF(Vertices[Betweenness Centrality],"&gt;= "&amp;J17)-COUNTIF(Vertices[Betweenness Centrality],"&gt;="&amp;J18)</f>
        <v>0</v>
      </c>
      <c r="L17" s="41">
        <f t="shared" si="5"/>
        <v>0</v>
      </c>
      <c r="M17" s="42">
        <f>COUNTIF(Vertices[Closeness Centrality],"&gt;= "&amp;L17)-COUNTIF(Vertices[Closeness Centrality],"&gt;="&amp;L18)</f>
        <v>0</v>
      </c>
      <c r="N17" s="41">
        <f t="shared" si="6"/>
        <v>0</v>
      </c>
      <c r="O17" s="42">
        <f>COUNTIF(Vertices[Eigenvector Centrality],"&gt;= "&amp;N17)-COUNTIF(Vertices[Eigenvector Centrality],"&gt;="&amp;N18)</f>
        <v>0</v>
      </c>
      <c r="P17" s="41">
        <f t="shared" si="7"/>
        <v>0</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c r="B18" s="36"/>
      <c r="D18" s="34">
        <f t="shared" si="1"/>
        <v>0</v>
      </c>
      <c r="E18" s="3">
        <f>COUNTIF(Vertices[Degree],"&gt;= "&amp;D18)-COUNTIF(Vertices[Degree],"&gt;="&amp;D19)</f>
        <v>0</v>
      </c>
      <c r="F18" s="39">
        <f t="shared" si="2"/>
        <v>0</v>
      </c>
      <c r="G18" s="40">
        <f>COUNTIF(Vertices[In-Degree],"&gt;= "&amp;F18)-COUNTIF(Vertices[In-Degree],"&gt;="&amp;F19)</f>
        <v>0</v>
      </c>
      <c r="H18" s="39">
        <f t="shared" si="3"/>
        <v>0</v>
      </c>
      <c r="I18" s="40">
        <f>COUNTIF(Vertices[Out-Degree],"&gt;= "&amp;H18)-COUNTIF(Vertices[Out-Degree],"&gt;="&amp;H19)</f>
        <v>0</v>
      </c>
      <c r="J18" s="39">
        <f t="shared" si="4"/>
        <v>0</v>
      </c>
      <c r="K18" s="40">
        <f>COUNTIF(Vertices[Betweenness Centrality],"&gt;= "&amp;J18)-COUNTIF(Vertices[Betweenness Centrality],"&gt;="&amp;J19)</f>
        <v>0</v>
      </c>
      <c r="L18" s="39">
        <f t="shared" si="5"/>
        <v>0</v>
      </c>
      <c r="M18" s="40">
        <f>COUNTIF(Vertices[Closeness Centrality],"&gt;= "&amp;L18)-COUNTIF(Vertices[Closeness Centrality],"&gt;="&amp;L19)</f>
        <v>0</v>
      </c>
      <c r="N18" s="39">
        <f t="shared" si="6"/>
        <v>0</v>
      </c>
      <c r="O18" s="40">
        <f>COUNTIF(Vertices[Eigenvector Centrality],"&gt;= "&amp;N18)-COUNTIF(Vertices[Eigenvector Centrality],"&gt;="&amp;N19)</f>
        <v>0</v>
      </c>
      <c r="P18" s="39">
        <f t="shared" si="7"/>
        <v>0</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c r="B19" s="36"/>
      <c r="D19" s="34">
        <f t="shared" si="1"/>
        <v>0</v>
      </c>
      <c r="E19" s="3">
        <f>COUNTIF(Vertices[Degree],"&gt;= "&amp;D19)-COUNTIF(Vertices[Degree],"&gt;="&amp;D20)</f>
        <v>0</v>
      </c>
      <c r="F19" s="41">
        <f t="shared" si="2"/>
        <v>0</v>
      </c>
      <c r="G19" s="42">
        <f>COUNTIF(Vertices[In-Degree],"&gt;= "&amp;F19)-COUNTIF(Vertices[In-Degree],"&gt;="&amp;F20)</f>
        <v>0</v>
      </c>
      <c r="H19" s="41">
        <f t="shared" si="3"/>
        <v>0</v>
      </c>
      <c r="I19" s="42">
        <f>COUNTIF(Vertices[Out-Degree],"&gt;= "&amp;H19)-COUNTIF(Vertices[Out-Degree],"&gt;="&amp;H20)</f>
        <v>0</v>
      </c>
      <c r="J19" s="41">
        <f t="shared" si="4"/>
        <v>0</v>
      </c>
      <c r="K19" s="42">
        <f>COUNTIF(Vertices[Betweenness Centrality],"&gt;= "&amp;J19)-COUNTIF(Vertices[Betweenness Centrality],"&gt;="&amp;J20)</f>
        <v>0</v>
      </c>
      <c r="L19" s="41">
        <f t="shared" si="5"/>
        <v>0</v>
      </c>
      <c r="M19" s="42">
        <f>COUNTIF(Vertices[Closeness Centrality],"&gt;= "&amp;L19)-COUNTIF(Vertices[Closeness Centrality],"&gt;="&amp;L20)</f>
        <v>0</v>
      </c>
      <c r="N19" s="41">
        <f t="shared" si="6"/>
        <v>0</v>
      </c>
      <c r="O19" s="42">
        <f>COUNTIF(Vertices[Eigenvector Centrality],"&gt;= "&amp;N19)-COUNTIF(Vertices[Eigenvector Centrality],"&gt;="&amp;N20)</f>
        <v>0</v>
      </c>
      <c r="P19" s="41">
        <f t="shared" si="7"/>
        <v>0</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c r="B20" s="36"/>
      <c r="D20" s="34">
        <f t="shared" si="1"/>
        <v>0</v>
      </c>
      <c r="E20" s="3">
        <f>COUNTIF(Vertices[Degree],"&gt;= "&amp;D20)-COUNTIF(Vertices[Degree],"&gt;="&amp;D21)</f>
        <v>0</v>
      </c>
      <c r="F20" s="39">
        <f t="shared" si="2"/>
        <v>0</v>
      </c>
      <c r="G20" s="40">
        <f>COUNTIF(Vertices[In-Degree],"&gt;= "&amp;F20)-COUNTIF(Vertices[In-Degree],"&gt;="&amp;F21)</f>
        <v>0</v>
      </c>
      <c r="H20" s="39">
        <f t="shared" si="3"/>
        <v>0</v>
      </c>
      <c r="I20" s="40">
        <f>COUNTIF(Vertices[Out-Degree],"&gt;= "&amp;H20)-COUNTIF(Vertices[Out-Degree],"&gt;="&amp;H21)</f>
        <v>0</v>
      </c>
      <c r="J20" s="39">
        <f t="shared" si="4"/>
        <v>0</v>
      </c>
      <c r="K20" s="40">
        <f>COUNTIF(Vertices[Betweenness Centrality],"&gt;= "&amp;J20)-COUNTIF(Vertices[Betweenness Centrality],"&gt;="&amp;J21)</f>
        <v>0</v>
      </c>
      <c r="L20" s="39">
        <f t="shared" si="5"/>
        <v>0</v>
      </c>
      <c r="M20" s="40">
        <f>COUNTIF(Vertices[Closeness Centrality],"&gt;= "&amp;L20)-COUNTIF(Vertices[Closeness Centrality],"&gt;="&amp;L21)</f>
        <v>0</v>
      </c>
      <c r="N20" s="39">
        <f t="shared" si="6"/>
        <v>0</v>
      </c>
      <c r="O20" s="40">
        <f>COUNTIF(Vertices[Eigenvector Centrality],"&gt;= "&amp;N20)-COUNTIF(Vertices[Eigenvector Centrality],"&gt;="&amp;N21)</f>
        <v>0</v>
      </c>
      <c r="P20" s="39">
        <f t="shared" si="7"/>
        <v>0</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c r="B21" s="36"/>
      <c r="D21" s="34">
        <f t="shared" si="1"/>
        <v>0</v>
      </c>
      <c r="E21" s="3">
        <f>COUNTIF(Vertices[Degree],"&gt;= "&amp;D21)-COUNTIF(Vertices[Degree],"&gt;="&amp;D22)</f>
        <v>0</v>
      </c>
      <c r="F21" s="41">
        <f t="shared" si="2"/>
        <v>0</v>
      </c>
      <c r="G21" s="42">
        <f>COUNTIF(Vertices[In-Degree],"&gt;= "&amp;F21)-COUNTIF(Vertices[In-Degree],"&gt;="&amp;F22)</f>
        <v>0</v>
      </c>
      <c r="H21" s="41">
        <f t="shared" si="3"/>
        <v>0</v>
      </c>
      <c r="I21" s="42">
        <f>COUNTIF(Vertices[Out-Degree],"&gt;= "&amp;H21)-COUNTIF(Vertices[Out-Degree],"&gt;="&amp;H22)</f>
        <v>0</v>
      </c>
      <c r="J21" s="41">
        <f t="shared" si="4"/>
        <v>0</v>
      </c>
      <c r="K21" s="42">
        <f>COUNTIF(Vertices[Betweenness Centrality],"&gt;= "&amp;J21)-COUNTIF(Vertices[Betweenness Centrality],"&gt;="&amp;J22)</f>
        <v>0</v>
      </c>
      <c r="L21" s="41">
        <f t="shared" si="5"/>
        <v>0</v>
      </c>
      <c r="M21" s="42">
        <f>COUNTIF(Vertices[Closeness Centrality],"&gt;= "&amp;L21)-COUNTIF(Vertices[Closeness Centrality],"&gt;="&amp;L22)</f>
        <v>0</v>
      </c>
      <c r="N21" s="41">
        <f t="shared" si="6"/>
        <v>0</v>
      </c>
      <c r="O21" s="42">
        <f>COUNTIF(Vertices[Eigenvector Centrality],"&gt;= "&amp;N21)-COUNTIF(Vertices[Eigenvector Centrality],"&gt;="&amp;N22)</f>
        <v>0</v>
      </c>
      <c r="P21" s="41">
        <f t="shared" si="7"/>
        <v>0</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c r="B22" s="36"/>
      <c r="D22" s="34">
        <f t="shared" si="1"/>
        <v>0</v>
      </c>
      <c r="E22" s="3">
        <f>COUNTIF(Vertices[Degree],"&gt;= "&amp;D22)-COUNTIF(Vertices[Degree],"&gt;="&amp;D23)</f>
        <v>0</v>
      </c>
      <c r="F22" s="39">
        <f t="shared" si="2"/>
        <v>0</v>
      </c>
      <c r="G22" s="40">
        <f>COUNTIF(Vertices[In-Degree],"&gt;= "&amp;F22)-COUNTIF(Vertices[In-Degree],"&gt;="&amp;F23)</f>
        <v>0</v>
      </c>
      <c r="H22" s="39">
        <f t="shared" si="3"/>
        <v>0</v>
      </c>
      <c r="I22" s="40">
        <f>COUNTIF(Vertices[Out-Degree],"&gt;= "&amp;H22)-COUNTIF(Vertices[Out-Degree],"&gt;="&amp;H23)</f>
        <v>0</v>
      </c>
      <c r="J22" s="39">
        <f t="shared" si="4"/>
        <v>0</v>
      </c>
      <c r="K22" s="40">
        <f>COUNTIF(Vertices[Betweenness Centrality],"&gt;= "&amp;J22)-COUNTIF(Vertices[Betweenness Centrality],"&gt;="&amp;J23)</f>
        <v>0</v>
      </c>
      <c r="L22" s="39">
        <f t="shared" si="5"/>
        <v>0</v>
      </c>
      <c r="M22" s="40">
        <f>COUNTIF(Vertices[Closeness Centrality],"&gt;= "&amp;L22)-COUNTIF(Vertices[Closeness Centrality],"&gt;="&amp;L23)</f>
        <v>0</v>
      </c>
      <c r="N22" s="39">
        <f t="shared" si="6"/>
        <v>0</v>
      </c>
      <c r="O22" s="40">
        <f>COUNTIF(Vertices[Eigenvector Centrality],"&gt;= "&amp;N22)-COUNTIF(Vertices[Eigenvector Centrality],"&gt;="&amp;N23)</f>
        <v>0</v>
      </c>
      <c r="P22" s="39">
        <f t="shared" si="7"/>
        <v>0</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c r="B23" s="36"/>
      <c r="D23" s="34">
        <f t="shared" si="1"/>
        <v>0</v>
      </c>
      <c r="E23" s="3">
        <f>COUNTIF(Vertices[Degree],"&gt;= "&amp;D23)-COUNTIF(Vertices[Degree],"&gt;="&amp;D24)</f>
        <v>0</v>
      </c>
      <c r="F23" s="41">
        <f t="shared" si="2"/>
        <v>0</v>
      </c>
      <c r="G23" s="42">
        <f>COUNTIF(Vertices[In-Degree],"&gt;= "&amp;F23)-COUNTIF(Vertices[In-Degree],"&gt;="&amp;F24)</f>
        <v>0</v>
      </c>
      <c r="H23" s="41">
        <f t="shared" si="3"/>
        <v>0</v>
      </c>
      <c r="I23" s="42">
        <f>COUNTIF(Vertices[Out-Degree],"&gt;= "&amp;H23)-COUNTIF(Vertices[Out-Degree],"&gt;="&amp;H24)</f>
        <v>0</v>
      </c>
      <c r="J23" s="41">
        <f t="shared" si="4"/>
        <v>0</v>
      </c>
      <c r="K23" s="42">
        <f>COUNTIF(Vertices[Betweenness Centrality],"&gt;= "&amp;J23)-COUNTIF(Vertices[Betweenness Centrality],"&gt;="&amp;J24)</f>
        <v>0</v>
      </c>
      <c r="L23" s="41">
        <f t="shared" si="5"/>
        <v>0</v>
      </c>
      <c r="M23" s="42">
        <f>COUNTIF(Vertices[Closeness Centrality],"&gt;= "&amp;L23)-COUNTIF(Vertices[Closeness Centrality],"&gt;="&amp;L24)</f>
        <v>0</v>
      </c>
      <c r="N23" s="41">
        <f t="shared" si="6"/>
        <v>0</v>
      </c>
      <c r="O23" s="42">
        <f>COUNTIF(Vertices[Eigenvector Centrality],"&gt;= "&amp;N23)-COUNTIF(Vertices[Eigenvector Centrality],"&gt;="&amp;N24)</f>
        <v>0</v>
      </c>
      <c r="P23" s="41">
        <f t="shared" si="7"/>
        <v>0</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c r="B24" s="36"/>
      <c r="D24" s="34">
        <f t="shared" si="1"/>
        <v>0</v>
      </c>
      <c r="E24" s="3">
        <f>COUNTIF(Vertices[Degree],"&gt;= "&amp;D24)-COUNTIF(Vertices[Degree],"&gt;="&amp;D25)</f>
        <v>0</v>
      </c>
      <c r="F24" s="39">
        <f t="shared" si="2"/>
        <v>0</v>
      </c>
      <c r="G24" s="40">
        <f>COUNTIF(Vertices[In-Degree],"&gt;= "&amp;F24)-COUNTIF(Vertices[In-Degree],"&gt;="&amp;F25)</f>
        <v>0</v>
      </c>
      <c r="H24" s="39">
        <f t="shared" si="3"/>
        <v>0</v>
      </c>
      <c r="I24" s="40">
        <f>COUNTIF(Vertices[Out-Degree],"&gt;= "&amp;H24)-COUNTIF(Vertices[Out-Degree],"&gt;="&amp;H25)</f>
        <v>0</v>
      </c>
      <c r="J24" s="39">
        <f t="shared" si="4"/>
        <v>0</v>
      </c>
      <c r="K24" s="40">
        <f>COUNTIF(Vertices[Betweenness Centrality],"&gt;= "&amp;J24)-COUNTIF(Vertices[Betweenness Centrality],"&gt;="&amp;J25)</f>
        <v>0</v>
      </c>
      <c r="L24" s="39">
        <f t="shared" si="5"/>
        <v>0</v>
      </c>
      <c r="M24" s="40">
        <f>COUNTIF(Vertices[Closeness Centrality],"&gt;= "&amp;L24)-COUNTIF(Vertices[Closeness Centrality],"&gt;="&amp;L25)</f>
        <v>0</v>
      </c>
      <c r="N24" s="39">
        <f t="shared" si="6"/>
        <v>0</v>
      </c>
      <c r="O24" s="40">
        <f>COUNTIF(Vertices[Eigenvector Centrality],"&gt;= "&amp;N24)-COUNTIF(Vertices[Eigenvector Centrality],"&gt;="&amp;N25)</f>
        <v>0</v>
      </c>
      <c r="P24" s="39">
        <f t="shared" si="7"/>
        <v>0</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c r="B25" s="36"/>
      <c r="D25" s="34">
        <f t="shared" si="1"/>
        <v>0</v>
      </c>
      <c r="E25" s="3">
        <f>COUNTIF(Vertices[Degree],"&gt;= "&amp;D25)-COUNTIF(Vertices[Degree],"&gt;="&amp;D26)</f>
        <v>0</v>
      </c>
      <c r="F25" s="41">
        <f t="shared" si="2"/>
        <v>0</v>
      </c>
      <c r="G25" s="42">
        <f>COUNTIF(Vertices[In-Degree],"&gt;= "&amp;F25)-COUNTIF(Vertices[In-Degree],"&gt;="&amp;F26)</f>
        <v>0</v>
      </c>
      <c r="H25" s="41">
        <f t="shared" si="3"/>
        <v>0</v>
      </c>
      <c r="I25" s="42">
        <f>COUNTIF(Vertices[Out-Degree],"&gt;= "&amp;H25)-COUNTIF(Vertices[Out-Degree],"&gt;="&amp;H26)</f>
        <v>0</v>
      </c>
      <c r="J25" s="41">
        <f t="shared" si="4"/>
        <v>0</v>
      </c>
      <c r="K25" s="42">
        <f>COUNTIF(Vertices[Betweenness Centrality],"&gt;= "&amp;J25)-COUNTIF(Vertices[Betweenness Centrality],"&gt;="&amp;J26)</f>
        <v>0</v>
      </c>
      <c r="L25" s="41">
        <f t="shared" si="5"/>
        <v>0</v>
      </c>
      <c r="M25" s="42">
        <f>COUNTIF(Vertices[Closeness Centrality],"&gt;= "&amp;L25)-COUNTIF(Vertices[Closeness Centrality],"&gt;="&amp;L26)</f>
        <v>0</v>
      </c>
      <c r="N25" s="41">
        <f t="shared" si="6"/>
        <v>0</v>
      </c>
      <c r="O25" s="42">
        <f>COUNTIF(Vertices[Eigenvector Centrality],"&gt;= "&amp;N25)-COUNTIF(Vertices[Eigenvector Centrality],"&gt;="&amp;N26)</f>
        <v>0</v>
      </c>
      <c r="P25" s="41">
        <f t="shared" si="7"/>
        <v>0</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c r="B26" s="36"/>
      <c r="D26" s="34">
        <f t="shared" si="1"/>
        <v>0</v>
      </c>
      <c r="E26" s="3">
        <f>COUNTIF(Vertices[Degree],"&gt;= "&amp;D26)-COUNTIF(Vertices[Degree],"&gt;="&amp;D27)</f>
        <v>0</v>
      </c>
      <c r="F26" s="39">
        <f t="shared" si="2"/>
        <v>0</v>
      </c>
      <c r="G26" s="40">
        <f>COUNTIF(Vertices[In-Degree],"&gt;= "&amp;F26)-COUNTIF(Vertices[In-Degree],"&gt;="&amp;F27)</f>
        <v>0</v>
      </c>
      <c r="H26" s="39">
        <f t="shared" si="3"/>
        <v>0</v>
      </c>
      <c r="I26" s="40">
        <f>COUNTIF(Vertices[Out-Degree],"&gt;= "&amp;H26)-COUNTIF(Vertices[Out-Degree],"&gt;="&amp;H27)</f>
        <v>0</v>
      </c>
      <c r="J26" s="39">
        <f t="shared" si="4"/>
        <v>0</v>
      </c>
      <c r="K26" s="40">
        <f>COUNTIF(Vertices[Betweenness Centrality],"&gt;= "&amp;J26)-COUNTIF(Vertices[Betweenness Centrality],"&gt;="&amp;J27)</f>
        <v>0</v>
      </c>
      <c r="L26" s="39">
        <f t="shared" si="5"/>
        <v>0</v>
      </c>
      <c r="M26" s="40">
        <f>COUNTIF(Vertices[Closeness Centrality],"&gt;= "&amp;L26)-COUNTIF(Vertices[Closeness Centrality],"&gt;="&amp;L27)</f>
        <v>0</v>
      </c>
      <c r="N26" s="39">
        <f t="shared" si="6"/>
        <v>0</v>
      </c>
      <c r="O26" s="40">
        <f>COUNTIF(Vertices[Eigenvector Centrality],"&gt;= "&amp;N26)-COUNTIF(Vertices[Eigenvector Centrality],"&gt;="&amp;N27)</f>
        <v>0</v>
      </c>
      <c r="P26" s="39">
        <f t="shared" si="7"/>
        <v>0</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79"/>
      <c r="B27" s="79"/>
      <c r="D27" s="34">
        <f t="shared" si="1"/>
        <v>0</v>
      </c>
      <c r="E27" s="3">
        <f>COUNTIF(Vertices[Degree],"&gt;= "&amp;D27)-COUNTIF(Vertices[Degree],"&gt;="&amp;D28)</f>
        <v>0</v>
      </c>
      <c r="F27" s="41">
        <f t="shared" si="2"/>
        <v>0</v>
      </c>
      <c r="G27" s="42">
        <f>COUNTIF(Vertices[In-Degree],"&gt;= "&amp;F27)-COUNTIF(Vertices[In-Degree],"&gt;="&amp;F28)</f>
        <v>0</v>
      </c>
      <c r="H27" s="41">
        <f t="shared" si="3"/>
        <v>0</v>
      </c>
      <c r="I27" s="42">
        <f>COUNTIF(Vertices[Out-Degree],"&gt;= "&amp;H27)-COUNTIF(Vertices[Out-Degree],"&gt;="&amp;H28)</f>
        <v>0</v>
      </c>
      <c r="J27" s="41">
        <f t="shared" si="4"/>
        <v>0</v>
      </c>
      <c r="K27" s="42">
        <f>COUNTIF(Vertices[Betweenness Centrality],"&gt;= "&amp;J27)-COUNTIF(Vertices[Betweenness Centrality],"&gt;="&amp;J28)</f>
        <v>0</v>
      </c>
      <c r="L27" s="41">
        <f t="shared" si="5"/>
        <v>0</v>
      </c>
      <c r="M27" s="42">
        <f>COUNTIF(Vertices[Closeness Centrality],"&gt;= "&amp;L27)-COUNTIF(Vertices[Closeness Centrality],"&gt;="&amp;L28)</f>
        <v>0</v>
      </c>
      <c r="N27" s="41">
        <f t="shared" si="6"/>
        <v>0</v>
      </c>
      <c r="O27" s="42">
        <f>COUNTIF(Vertices[Eigenvector Centrality],"&gt;= "&amp;N27)-COUNTIF(Vertices[Eigenvector Centrality],"&gt;="&amp;N28)</f>
        <v>0</v>
      </c>
      <c r="P27" s="41">
        <f t="shared" si="7"/>
        <v>0</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c r="B28" s="36"/>
      <c r="D28" s="34">
        <f t="shared" si="1"/>
        <v>0</v>
      </c>
      <c r="E28" s="3">
        <f>COUNTIF(Vertices[Degree],"&gt;= "&amp;D28)-COUNTIF(Vertices[Degree],"&gt;="&amp;D29)</f>
        <v>0</v>
      </c>
      <c r="F28" s="39">
        <f t="shared" si="2"/>
        <v>0</v>
      </c>
      <c r="G28" s="40">
        <f>COUNTIF(Vertices[In-Degree],"&gt;= "&amp;F28)-COUNTIF(Vertices[In-Degree],"&gt;="&amp;F29)</f>
        <v>0</v>
      </c>
      <c r="H28" s="39">
        <f t="shared" si="3"/>
        <v>0</v>
      </c>
      <c r="I28" s="40">
        <f>COUNTIF(Vertices[Out-Degree],"&gt;= "&amp;H28)-COUNTIF(Vertices[Out-Degree],"&gt;="&amp;H29)</f>
        <v>0</v>
      </c>
      <c r="J28" s="39">
        <f t="shared" si="4"/>
        <v>0</v>
      </c>
      <c r="K28" s="40">
        <f>COUNTIF(Vertices[Betweenness Centrality],"&gt;= "&amp;J28)-COUNTIF(Vertices[Betweenness Centrality],"&gt;="&amp;J29)</f>
        <v>0</v>
      </c>
      <c r="L28" s="39">
        <f t="shared" si="5"/>
        <v>0</v>
      </c>
      <c r="M28" s="40">
        <f>COUNTIF(Vertices[Closeness Centrality],"&gt;= "&amp;L28)-COUNTIF(Vertices[Closeness Centrality],"&gt;="&amp;L29)</f>
        <v>0</v>
      </c>
      <c r="N28" s="39">
        <f t="shared" si="6"/>
        <v>0</v>
      </c>
      <c r="O28" s="40">
        <f>COUNTIF(Vertices[Eigenvector Centrality],"&gt;= "&amp;N28)-COUNTIF(Vertices[Eigenvector Centrality],"&gt;="&amp;N29)</f>
        <v>0</v>
      </c>
      <c r="P28" s="39">
        <f t="shared" si="7"/>
        <v>0</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c r="B29" s="36"/>
      <c r="D29" s="34">
        <f t="shared" si="1"/>
        <v>0</v>
      </c>
      <c r="E29" s="3">
        <f>COUNTIF(Vertices[Degree],"&gt;= "&amp;D29)-COUNTIF(Vertices[Degree],"&gt;="&amp;D30)</f>
        <v>0</v>
      </c>
      <c r="F29" s="41">
        <f t="shared" si="2"/>
        <v>0</v>
      </c>
      <c r="G29" s="42">
        <f>COUNTIF(Vertices[In-Degree],"&gt;= "&amp;F29)-COUNTIF(Vertices[In-Degree],"&gt;="&amp;F30)</f>
        <v>0</v>
      </c>
      <c r="H29" s="41">
        <f t="shared" si="3"/>
        <v>0</v>
      </c>
      <c r="I29" s="42">
        <f>COUNTIF(Vertices[Out-Degree],"&gt;= "&amp;H29)-COUNTIF(Vertices[Out-Degree],"&gt;="&amp;H30)</f>
        <v>0</v>
      </c>
      <c r="J29" s="41">
        <f t="shared" si="4"/>
        <v>0</v>
      </c>
      <c r="K29" s="42">
        <f>COUNTIF(Vertices[Betweenness Centrality],"&gt;= "&amp;J29)-COUNTIF(Vertices[Betweenness Centrality],"&gt;="&amp;J30)</f>
        <v>0</v>
      </c>
      <c r="L29" s="41">
        <f t="shared" si="5"/>
        <v>0</v>
      </c>
      <c r="M29" s="42">
        <f>COUNTIF(Vertices[Closeness Centrality],"&gt;= "&amp;L29)-COUNTIF(Vertices[Closeness Centrality],"&gt;="&amp;L30)</f>
        <v>0</v>
      </c>
      <c r="N29" s="41">
        <f t="shared" si="6"/>
        <v>0</v>
      </c>
      <c r="O29" s="42">
        <f>COUNTIF(Vertices[Eigenvector Centrality],"&gt;= "&amp;N29)-COUNTIF(Vertices[Eigenvector Centrality],"&gt;="&amp;N30)</f>
        <v>0</v>
      </c>
      <c r="P29" s="41">
        <f t="shared" si="7"/>
        <v>0</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c r="B30" s="36"/>
      <c r="D30" s="34">
        <f t="shared" si="1"/>
        <v>0</v>
      </c>
      <c r="E30" s="3">
        <f>COUNTIF(Vertices[Degree],"&gt;= "&amp;D30)-COUNTIF(Vertices[Degree],"&gt;="&amp;D31)</f>
        <v>0</v>
      </c>
      <c r="F30" s="39">
        <f t="shared" si="2"/>
        <v>0</v>
      </c>
      <c r="G30" s="40">
        <f>COUNTIF(Vertices[In-Degree],"&gt;= "&amp;F30)-COUNTIF(Vertices[In-Degree],"&gt;="&amp;F31)</f>
        <v>0</v>
      </c>
      <c r="H30" s="39">
        <f t="shared" si="3"/>
        <v>0</v>
      </c>
      <c r="I30" s="40">
        <f>COUNTIF(Vertices[Out-Degree],"&gt;= "&amp;H30)-COUNTIF(Vertices[Out-Degree],"&gt;="&amp;H31)</f>
        <v>0</v>
      </c>
      <c r="J30" s="39">
        <f t="shared" si="4"/>
        <v>0</v>
      </c>
      <c r="K30" s="40">
        <f>COUNTIF(Vertices[Betweenness Centrality],"&gt;= "&amp;J30)-COUNTIF(Vertices[Betweenness Centrality],"&gt;="&amp;J31)</f>
        <v>0</v>
      </c>
      <c r="L30" s="39">
        <f t="shared" si="5"/>
        <v>0</v>
      </c>
      <c r="M30" s="40">
        <f>COUNTIF(Vertices[Closeness Centrality],"&gt;= "&amp;L30)-COUNTIF(Vertices[Closeness Centrality],"&gt;="&amp;L31)</f>
        <v>0</v>
      </c>
      <c r="N30" s="39">
        <f t="shared" si="6"/>
        <v>0</v>
      </c>
      <c r="O30" s="40">
        <f>COUNTIF(Vertices[Eigenvector Centrality],"&gt;= "&amp;N30)-COUNTIF(Vertices[Eigenvector Centrality],"&gt;="&amp;N31)</f>
        <v>0</v>
      </c>
      <c r="P30" s="39">
        <f t="shared" si="7"/>
        <v>0</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c r="B31" s="36"/>
      <c r="D31" s="34">
        <f t="shared" si="1"/>
        <v>0</v>
      </c>
      <c r="E31" s="3">
        <f>COUNTIF(Vertices[Degree],"&gt;= "&amp;D31)-COUNTIF(Vertices[Degree],"&gt;="&amp;D32)</f>
        <v>0</v>
      </c>
      <c r="F31" s="41">
        <f t="shared" si="2"/>
        <v>0</v>
      </c>
      <c r="G31" s="42">
        <f>COUNTIF(Vertices[In-Degree],"&gt;= "&amp;F31)-COUNTIF(Vertices[In-Degree],"&gt;="&amp;F32)</f>
        <v>0</v>
      </c>
      <c r="H31" s="41">
        <f t="shared" si="3"/>
        <v>0</v>
      </c>
      <c r="I31" s="42">
        <f>COUNTIF(Vertices[Out-Degree],"&gt;= "&amp;H31)-COUNTIF(Vertices[Out-Degree],"&gt;="&amp;H32)</f>
        <v>0</v>
      </c>
      <c r="J31" s="41">
        <f t="shared" si="4"/>
        <v>0</v>
      </c>
      <c r="K31" s="42">
        <f>COUNTIF(Vertices[Betweenness Centrality],"&gt;= "&amp;J31)-COUNTIF(Vertices[Betweenness Centrality],"&gt;="&amp;J32)</f>
        <v>0</v>
      </c>
      <c r="L31" s="41">
        <f t="shared" si="5"/>
        <v>0</v>
      </c>
      <c r="M31" s="42">
        <f>COUNTIF(Vertices[Closeness Centrality],"&gt;= "&amp;L31)-COUNTIF(Vertices[Closeness Centrality],"&gt;="&amp;L32)</f>
        <v>0</v>
      </c>
      <c r="N31" s="41">
        <f t="shared" si="6"/>
        <v>0</v>
      </c>
      <c r="O31" s="42">
        <f>COUNTIF(Vertices[Eigenvector Centrality],"&gt;= "&amp;N31)-COUNTIF(Vertices[Eigenvector Centrality],"&gt;="&amp;N32)</f>
        <v>0</v>
      </c>
      <c r="P31" s="41">
        <f t="shared" si="7"/>
        <v>0</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c r="B32" s="36"/>
      <c r="D32" s="34">
        <f t="shared" si="1"/>
        <v>0</v>
      </c>
      <c r="E32" s="3">
        <f>COUNTIF(Vertices[Degree],"&gt;= "&amp;D32)-COUNTIF(Vertices[Degree],"&gt;="&amp;D33)</f>
        <v>0</v>
      </c>
      <c r="F32" s="39">
        <f t="shared" si="2"/>
        <v>0</v>
      </c>
      <c r="G32" s="40">
        <f>COUNTIF(Vertices[In-Degree],"&gt;= "&amp;F32)-COUNTIF(Vertices[In-Degree],"&gt;="&amp;F33)</f>
        <v>0</v>
      </c>
      <c r="H32" s="39">
        <f t="shared" si="3"/>
        <v>0</v>
      </c>
      <c r="I32" s="40">
        <f>COUNTIF(Vertices[Out-Degree],"&gt;= "&amp;H32)-COUNTIF(Vertices[Out-Degree],"&gt;="&amp;H33)</f>
        <v>0</v>
      </c>
      <c r="J32" s="39">
        <f t="shared" si="4"/>
        <v>0</v>
      </c>
      <c r="K32" s="40">
        <f>COUNTIF(Vertices[Betweenness Centrality],"&gt;= "&amp;J32)-COUNTIF(Vertices[Betweenness Centrality],"&gt;="&amp;J33)</f>
        <v>0</v>
      </c>
      <c r="L32" s="39">
        <f t="shared" si="5"/>
        <v>0</v>
      </c>
      <c r="M32" s="40">
        <f>COUNTIF(Vertices[Closeness Centrality],"&gt;= "&amp;L32)-COUNTIF(Vertices[Closeness Centrality],"&gt;="&amp;L33)</f>
        <v>0</v>
      </c>
      <c r="N32" s="39">
        <f t="shared" si="6"/>
        <v>0</v>
      </c>
      <c r="O32" s="40">
        <f>COUNTIF(Vertices[Eigenvector Centrality],"&gt;= "&amp;N32)-COUNTIF(Vertices[Eigenvector Centrality],"&gt;="&amp;N33)</f>
        <v>0</v>
      </c>
      <c r="P32" s="39">
        <f t="shared" si="7"/>
        <v>0</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79"/>
      <c r="B33" s="79"/>
      <c r="D33" s="34">
        <f t="shared" si="1"/>
        <v>0</v>
      </c>
      <c r="E33" s="3">
        <f>COUNTIF(Vertices[Degree],"&gt;= "&amp;D33)-COUNTIF(Vertices[Degree],"&gt;="&amp;D34)</f>
        <v>0</v>
      </c>
      <c r="F33" s="41">
        <f t="shared" si="2"/>
        <v>0</v>
      </c>
      <c r="G33" s="42">
        <f>COUNTIF(Vertices[In-Degree],"&gt;= "&amp;F33)-COUNTIF(Vertices[In-Degree],"&gt;="&amp;F34)</f>
        <v>0</v>
      </c>
      <c r="H33" s="41">
        <f t="shared" si="3"/>
        <v>0</v>
      </c>
      <c r="I33" s="42">
        <f>COUNTIF(Vertices[Out-Degree],"&gt;= "&amp;H33)-COUNTIF(Vertices[Out-Degree],"&gt;="&amp;H34)</f>
        <v>0</v>
      </c>
      <c r="J33" s="41">
        <f t="shared" si="4"/>
        <v>0</v>
      </c>
      <c r="K33" s="42">
        <f>COUNTIF(Vertices[Betweenness Centrality],"&gt;= "&amp;J33)-COUNTIF(Vertices[Betweenness Centrality],"&gt;="&amp;J34)</f>
        <v>0</v>
      </c>
      <c r="L33" s="41">
        <f t="shared" si="5"/>
        <v>0</v>
      </c>
      <c r="M33" s="42">
        <f>COUNTIF(Vertices[Closeness Centrality],"&gt;= "&amp;L33)-COUNTIF(Vertices[Closeness Centrality],"&gt;="&amp;L34)</f>
        <v>0</v>
      </c>
      <c r="N33" s="41">
        <f t="shared" si="6"/>
        <v>0</v>
      </c>
      <c r="O33" s="42">
        <f>COUNTIF(Vertices[Eigenvector Centrality],"&gt;= "&amp;N33)-COUNTIF(Vertices[Eigenvector Centrality],"&gt;="&amp;N34)</f>
        <v>0</v>
      </c>
      <c r="P33" s="41">
        <f t="shared" si="7"/>
        <v>0</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c r="B34" s="36"/>
      <c r="D34" s="34">
        <f t="shared" si="1"/>
        <v>0</v>
      </c>
      <c r="E34" s="3">
        <f>COUNTIF(Vertices[Degree],"&gt;= "&amp;D34)-COUNTIF(Vertices[Degree],"&gt;="&amp;D35)</f>
        <v>0</v>
      </c>
      <c r="F34" s="39">
        <f t="shared" si="2"/>
        <v>0</v>
      </c>
      <c r="G34" s="40">
        <f>COUNTIF(Vertices[In-Degree],"&gt;= "&amp;F34)-COUNTIF(Vertices[In-Degree],"&gt;="&amp;F35)</f>
        <v>0</v>
      </c>
      <c r="H34" s="39">
        <f t="shared" si="3"/>
        <v>0</v>
      </c>
      <c r="I34" s="40">
        <f>COUNTIF(Vertices[Out-Degree],"&gt;= "&amp;H34)-COUNTIF(Vertices[Out-Degree],"&gt;="&amp;H35)</f>
        <v>0</v>
      </c>
      <c r="J34" s="39">
        <f t="shared" si="4"/>
        <v>0</v>
      </c>
      <c r="K34" s="40">
        <f>COUNTIF(Vertices[Betweenness Centrality],"&gt;= "&amp;J34)-COUNTIF(Vertices[Betweenness Centrality],"&gt;="&amp;J35)</f>
        <v>0</v>
      </c>
      <c r="L34" s="39">
        <f t="shared" si="5"/>
        <v>0</v>
      </c>
      <c r="M34" s="40">
        <f>COUNTIF(Vertices[Closeness Centrality],"&gt;= "&amp;L34)-COUNTIF(Vertices[Closeness Centrality],"&gt;="&amp;L35)</f>
        <v>0</v>
      </c>
      <c r="N34" s="39">
        <f t="shared" si="6"/>
        <v>0</v>
      </c>
      <c r="O34" s="40">
        <f>COUNTIF(Vertices[Eigenvector Centrality],"&gt;= "&amp;N34)-COUNTIF(Vertices[Eigenvector Centrality],"&gt;="&amp;N35)</f>
        <v>0</v>
      </c>
      <c r="P34" s="39">
        <f t="shared" si="7"/>
        <v>0</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c r="B35" s="36"/>
      <c r="D35" s="34">
        <f t="shared" si="1"/>
        <v>0</v>
      </c>
      <c r="E35" s="3">
        <f>COUNTIF(Vertices[Degree],"&gt;= "&amp;D35)-COUNTIF(Vertices[Degree],"&gt;="&amp;D36)</f>
        <v>0</v>
      </c>
      <c r="F35" s="41">
        <f t="shared" si="2"/>
        <v>0</v>
      </c>
      <c r="G35" s="42">
        <f>COUNTIF(Vertices[In-Degree],"&gt;= "&amp;F35)-COUNTIF(Vertices[In-Degree],"&gt;="&amp;F36)</f>
        <v>0</v>
      </c>
      <c r="H35" s="41">
        <f t="shared" si="3"/>
        <v>0</v>
      </c>
      <c r="I35" s="42">
        <f>COUNTIF(Vertices[Out-Degree],"&gt;= "&amp;H35)-COUNTIF(Vertices[Out-Degree],"&gt;="&amp;H36)</f>
        <v>0</v>
      </c>
      <c r="J35" s="41">
        <f t="shared" si="4"/>
        <v>0</v>
      </c>
      <c r="K35" s="42">
        <f>COUNTIF(Vertices[Betweenness Centrality],"&gt;= "&amp;J35)-COUNTIF(Vertices[Betweenness Centrality],"&gt;="&amp;J36)</f>
        <v>0</v>
      </c>
      <c r="L35" s="41">
        <f t="shared" si="5"/>
        <v>0</v>
      </c>
      <c r="M35" s="42">
        <f>COUNTIF(Vertices[Closeness Centrality],"&gt;= "&amp;L35)-COUNTIF(Vertices[Closeness Centrality],"&gt;="&amp;L36)</f>
        <v>0</v>
      </c>
      <c r="N35" s="41">
        <f t="shared" si="6"/>
        <v>0</v>
      </c>
      <c r="O35" s="42">
        <f>COUNTIF(Vertices[Eigenvector Centrality],"&gt;= "&amp;N35)-COUNTIF(Vertices[Eigenvector Centrality],"&gt;="&amp;N36)</f>
        <v>0</v>
      </c>
      <c r="P35" s="41">
        <f t="shared" si="7"/>
        <v>0</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c r="B36" s="36"/>
      <c r="D36" s="34">
        <f>MAX(Vertices[Degree])</f>
        <v>0</v>
      </c>
      <c r="E36" s="3">
        <f>COUNTIF(Vertices[Degree],"&gt;= "&amp;D36)-COUNTIF(Vertices[Degree],"&gt;="&amp;#REF!)</f>
        <v>0</v>
      </c>
      <c r="F36" s="43">
        <f>MAX(Vertices[In-Degree])</f>
        <v>0</v>
      </c>
      <c r="G36" s="44">
        <f>COUNTIF(Vertices[In-Degree],"&gt;= "&amp;F36)-COUNTIF(Vertices[In-Degree],"&gt;="&amp;#REF!)</f>
        <v>0</v>
      </c>
      <c r="H36" s="43">
        <f>MAX(Vertices[Out-Degree])</f>
        <v>0</v>
      </c>
      <c r="I36" s="44">
        <f>COUNTIF(Vertices[Out-Degree],"&gt;= "&amp;H36)-COUNTIF(Vertices[Out-Degree],"&gt;="&amp;#REF!)</f>
        <v>0</v>
      </c>
      <c r="J36" s="43">
        <f>MAX(Vertices[Betweenness Centrality])</f>
        <v>0</v>
      </c>
      <c r="K36" s="44">
        <f>COUNTIF(Vertices[Betweenness Centrality],"&gt;= "&amp;J36)-COUNTIF(Vertices[Betweenness Centrality],"&gt;="&amp;#REF!)</f>
        <v>0</v>
      </c>
      <c r="L36" s="43">
        <f>MAX(Vertices[Closeness Centrality])</f>
        <v>0</v>
      </c>
      <c r="M36" s="44">
        <f>COUNTIF(Vertices[Closeness Centrality],"&gt;= "&amp;L36)-COUNTIF(Vertices[Closeness Centrality],"&gt;="&amp;#REF!)</f>
        <v>0</v>
      </c>
      <c r="N36" s="43">
        <f>MAX(Vertices[Eigenvector Centrality])</f>
        <v>0</v>
      </c>
      <c r="O36" s="44">
        <f>COUNTIF(Vertices[Eigenvector Centrality],"&gt;= "&amp;N36)-COUNTIF(Vertices[Eigenvector Centrality],"&gt;="&amp;#REF!)</f>
        <v>0</v>
      </c>
      <c r="P36" s="43">
        <f>MAX(Vertices[PageRank])</f>
        <v>0</v>
      </c>
      <c r="Q36" s="44">
        <f>COUNTIF(Vertices[PageRank],"&gt;= "&amp;P36)-COUNTIF(Vertices[PageRank],"&gt;="&amp;#REF!)</f>
        <v>0</v>
      </c>
      <c r="R36" s="43">
        <f>MAX(Vertices[Clustering Coefficient])</f>
        <v>0</v>
      </c>
      <c r="S36" s="47">
        <f>COUNTIF(Vertices[Clustering Coefficient],"&gt;= "&amp;R36)-COUNTIF(Vertices[Clustering Coefficient],"&gt;="&amp;#REF!)</f>
        <v>0</v>
      </c>
      <c r="T36" s="43" t="e">
        <f ca="1">MAX(INDIRECT(DynamicFilterSourceColumnRange))</f>
        <v>#REF!</v>
      </c>
      <c r="U36" s="44" t="e">
        <f ca="1">COUNTIF(INDIRECT(DynamicFilterSourceColumnRange),"&gt;= "&amp;T36)-COUNTIF(INDIRECT(DynamicFilterSourceColumnRange),"&gt;="&amp;#REF!)</f>
        <v>#REF!</v>
      </c>
    </row>
    <row r="37" spans="1:2" ht="15">
      <c r="A37" s="79"/>
      <c r="B37" s="79"/>
    </row>
    <row r="38" spans="1:2" ht="15">
      <c r="A38" s="79"/>
      <c r="B38" s="79"/>
    </row>
    <row r="39" spans="1:2" ht="15">
      <c r="A39" s="79"/>
      <c r="B39" s="79"/>
    </row>
    <row r="40" spans="1:2" ht="15">
      <c r="A40" s="79"/>
      <c r="B40" s="79"/>
    </row>
    <row r="41" spans="1:2" ht="15">
      <c r="A41" s="79"/>
      <c r="B41" s="79"/>
    </row>
    <row r="42" spans="1:2" ht="15">
      <c r="A42" s="36"/>
      <c r="B42" s="36"/>
    </row>
    <row r="43" spans="1:2" ht="15">
      <c r="A43" s="36"/>
      <c r="B43" s="36"/>
    </row>
    <row r="44" spans="1:2" ht="15">
      <c r="A44" s="36"/>
      <c r="B44" s="36"/>
    </row>
    <row r="45" spans="1:2" ht="15">
      <c r="A45" s="36"/>
      <c r="B45" s="36"/>
    </row>
    <row r="46" spans="1:2" ht="15">
      <c r="A46" s="36"/>
      <c r="B46" s="36"/>
    </row>
    <row r="47" spans="1:2" ht="15">
      <c r="A47" s="36"/>
      <c r="B47" s="36"/>
    </row>
    <row r="48" spans="1:2" ht="15">
      <c r="A48" s="36"/>
      <c r="B48" s="36"/>
    </row>
    <row r="49" spans="1:2" ht="15">
      <c r="A49" s="36"/>
      <c r="B49" s="36"/>
    </row>
    <row r="50" spans="1:2" ht="15">
      <c r="A50" s="79"/>
      <c r="B50" s="79"/>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t="str">
        <f>IF(COUNT(Vertices[In-Degree])&gt;0,F2,NoMetricMessage)</f>
        <v>Not Available</v>
      </c>
    </row>
    <row r="82" spans="1:2" ht="15">
      <c r="A82" s="35" t="s">
        <v>89</v>
      </c>
      <c r="B82" s="48" t="str">
        <f>IF(COUNT(Vertices[In-Degree])&gt;0,F36,NoMetricMessage)</f>
        <v>Not Available</v>
      </c>
    </row>
    <row r="83" spans="1:2" ht="15">
      <c r="A83" s="35" t="s">
        <v>90</v>
      </c>
      <c r="B83" s="49" t="str">
        <f>_xlfn.IFERROR(AVERAGE(Vertices[In-Degree]),NoMetricMessage)</f>
        <v>Not Available</v>
      </c>
    </row>
    <row r="84" spans="1:2" ht="15">
      <c r="A84" s="35" t="s">
        <v>91</v>
      </c>
      <c r="B84" s="49" t="str">
        <f>_xlfn.IFERROR(MEDIAN(Vertices[In-Degree]),NoMetricMessage)</f>
        <v>Not Available</v>
      </c>
    </row>
    <row r="95" spans="1:2" ht="15">
      <c r="A95" s="35" t="s">
        <v>94</v>
      </c>
      <c r="B95" s="48" t="str">
        <f>IF(COUNT(Vertices[Out-Degree])&gt;0,H2,NoMetricMessage)</f>
        <v>Not Available</v>
      </c>
    </row>
    <row r="96" spans="1:2" ht="15">
      <c r="A96" s="35" t="s">
        <v>95</v>
      </c>
      <c r="B96" s="48" t="str">
        <f>IF(COUNT(Vertices[Out-Degree])&gt;0,H36,NoMetricMessage)</f>
        <v>Not Available</v>
      </c>
    </row>
    <row r="97" spans="1:2" ht="15">
      <c r="A97" s="35" t="s">
        <v>96</v>
      </c>
      <c r="B97" s="49" t="str">
        <f>_xlfn.IFERROR(AVERAGE(Vertices[Out-Degree]),NoMetricMessage)</f>
        <v>Not Available</v>
      </c>
    </row>
    <row r="98" spans="1:2" ht="15">
      <c r="A98" s="35" t="s">
        <v>97</v>
      </c>
      <c r="B98" s="49" t="str">
        <f>_xlfn.IFERROR(MEDIAN(Vertices[Out-Degree]),NoMetricMessage)</f>
        <v>Not Available</v>
      </c>
    </row>
    <row r="109" spans="1:2" ht="15">
      <c r="A109" s="35" t="s">
        <v>100</v>
      </c>
      <c r="B109" s="49" t="str">
        <f>IF(COUNT(Vertices[Betweenness Centrality])&gt;0,J2,NoMetricMessage)</f>
        <v>Not Available</v>
      </c>
    </row>
    <row r="110" spans="1:2" ht="15">
      <c r="A110" s="35" t="s">
        <v>101</v>
      </c>
      <c r="B110" s="49" t="str">
        <f>IF(COUNT(Vertices[Betweenness Centrality])&gt;0,J36,NoMetricMessage)</f>
        <v>Not Available</v>
      </c>
    </row>
    <row r="111" spans="1:2" ht="15">
      <c r="A111" s="35" t="s">
        <v>102</v>
      </c>
      <c r="B111" s="49" t="str">
        <f>_xlfn.IFERROR(AVERAGE(Vertices[Betweenness Centrality]),NoMetricMessage)</f>
        <v>Not Available</v>
      </c>
    </row>
    <row r="112" spans="1:2" ht="15">
      <c r="A112" s="35" t="s">
        <v>103</v>
      </c>
      <c r="B112" s="49" t="str">
        <f>_xlfn.IFERROR(MEDIAN(Vertices[Betweenness Centrality]),NoMetricMessage)</f>
        <v>Not Available</v>
      </c>
    </row>
    <row r="123" spans="1:2" ht="15">
      <c r="A123" s="35" t="s">
        <v>106</v>
      </c>
      <c r="B123" s="49" t="str">
        <f>IF(COUNT(Vertices[Closeness Centrality])&gt;0,L2,NoMetricMessage)</f>
        <v>Not Available</v>
      </c>
    </row>
    <row r="124" spans="1:2" ht="15">
      <c r="A124" s="35" t="s">
        <v>107</v>
      </c>
      <c r="B124" s="49" t="str">
        <f>IF(COUNT(Vertices[Closeness Centrality])&gt;0,L36,NoMetricMessage)</f>
        <v>Not Available</v>
      </c>
    </row>
    <row r="125" spans="1:2" ht="15">
      <c r="A125" s="35" t="s">
        <v>108</v>
      </c>
      <c r="B125" s="49" t="str">
        <f>_xlfn.IFERROR(AVERAGE(Vertices[Closeness Centrality]),NoMetricMessage)</f>
        <v>Not Available</v>
      </c>
    </row>
    <row r="126" spans="1:2" ht="15">
      <c r="A126" s="35" t="s">
        <v>109</v>
      </c>
      <c r="B126" s="49" t="str">
        <f>_xlfn.IFERROR(MEDIAN(Vertices[Closeness Centrality]),NoMetricMessage)</f>
        <v>Not Available</v>
      </c>
    </row>
    <row r="137" spans="1:2" ht="15">
      <c r="A137" s="35" t="s">
        <v>112</v>
      </c>
      <c r="B137" s="49" t="str">
        <f>IF(COUNT(Vertices[Eigenvector Centrality])&gt;0,N2,NoMetricMessage)</f>
        <v>Not Available</v>
      </c>
    </row>
    <row r="138" spans="1:2" ht="15">
      <c r="A138" s="35" t="s">
        <v>113</v>
      </c>
      <c r="B138" s="49" t="str">
        <f>IF(COUNT(Vertices[Eigenvector Centrality])&gt;0,N36,NoMetricMessage)</f>
        <v>Not Available</v>
      </c>
    </row>
    <row r="139" spans="1:2" ht="15">
      <c r="A139" s="35" t="s">
        <v>114</v>
      </c>
      <c r="B139" s="49" t="str">
        <f>_xlfn.IFERROR(AVERAGE(Vertices[Eigenvector Centrality]),NoMetricMessage)</f>
        <v>Not Available</v>
      </c>
    </row>
    <row r="140" spans="1:2" ht="15">
      <c r="A140" s="35" t="s">
        <v>115</v>
      </c>
      <c r="B140" s="49" t="str">
        <f>_xlfn.IFERROR(MEDIAN(Vertices[Eigenvector Centrality]),NoMetricMessage)</f>
        <v>Not Available</v>
      </c>
    </row>
    <row r="151" spans="1:2" ht="15">
      <c r="A151" s="35" t="s">
        <v>140</v>
      </c>
      <c r="B151" s="49" t="str">
        <f>IF(COUNT(Vertices[PageRank])&gt;0,P2,NoMetricMessage)</f>
        <v>Not Available</v>
      </c>
    </row>
    <row r="152" spans="1:2" ht="15">
      <c r="A152" s="35" t="s">
        <v>141</v>
      </c>
      <c r="B152" s="49" t="str">
        <f>IF(COUNT(Vertices[PageRank])&gt;0,P36,NoMetricMessage)</f>
        <v>Not Available</v>
      </c>
    </row>
    <row r="153" spans="1:2" ht="15">
      <c r="A153" s="35" t="s">
        <v>142</v>
      </c>
      <c r="B153" s="49" t="str">
        <f>_xlfn.IFERROR(AVERAGE(Vertices[PageRank]),NoMetricMessage)</f>
        <v>Not Available</v>
      </c>
    </row>
    <row r="154" spans="1:2" ht="15">
      <c r="A154" s="35" t="s">
        <v>143</v>
      </c>
      <c r="B154" s="49" t="str">
        <f>_xlfn.IFERROR(MEDIAN(Vertices[PageRank]),NoMetricMessage)</f>
        <v>Not Available</v>
      </c>
    </row>
    <row r="165" spans="1:2" ht="15">
      <c r="A165" s="35" t="s">
        <v>118</v>
      </c>
      <c r="B165" s="49" t="str">
        <f>IF(COUNT(Vertices[Clustering Coefficient])&gt;0,R2,NoMetricMessage)</f>
        <v>Not Available</v>
      </c>
    </row>
    <row r="166" spans="1:2" ht="15">
      <c r="A166" s="35" t="s">
        <v>119</v>
      </c>
      <c r="B166" s="49" t="str">
        <f>IF(COUNT(Vertices[Clustering Coefficient])&gt;0,R36,NoMetricMessage)</f>
        <v>Not Available</v>
      </c>
    </row>
    <row r="167" spans="1:2" ht="15">
      <c r="A167" s="35" t="s">
        <v>120</v>
      </c>
      <c r="B167" s="49" t="str">
        <f>_xlfn.IFERROR(AVERAGE(Vertices[Clustering Coefficient]),NoMetricMessage)</f>
        <v>Not Available</v>
      </c>
    </row>
    <row r="168" spans="1:2" ht="15">
      <c r="A168" s="35" t="s">
        <v>121</v>
      </c>
      <c r="B168" s="49"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8" t="s">
        <v>39</v>
      </c>
      <c r="D1" s="19"/>
      <c r="E1" s="19"/>
      <c r="F1" s="19"/>
      <c r="G1" s="18"/>
      <c r="H1" s="16" t="s">
        <v>43</v>
      </c>
      <c r="I1" s="66"/>
      <c r="J1" s="66"/>
      <c r="K1" s="35" t="s">
        <v>42</v>
      </c>
      <c r="L1" s="20" t="s">
        <v>40</v>
      </c>
      <c r="M1" s="20"/>
      <c r="N1" s="17"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327</v>
      </c>
      <c r="BD2" s="13" t="s">
        <v>333</v>
      </c>
      <c r="BE2" s="13" t="s">
        <v>334</v>
      </c>
    </row>
    <row r="3" spans="1:57" ht="15" customHeight="1">
      <c r="A3" s="83" t="s">
        <v>215</v>
      </c>
      <c r="B3" s="83" t="s">
        <v>219</v>
      </c>
      <c r="C3" s="54"/>
      <c r="D3" s="55"/>
      <c r="E3" s="67"/>
      <c r="F3" s="56"/>
      <c r="G3" s="54"/>
      <c r="H3" s="58"/>
      <c r="I3" s="57"/>
      <c r="J3" s="57"/>
      <c r="K3" s="36" t="s">
        <v>65</v>
      </c>
      <c r="L3" s="63">
        <v>3</v>
      </c>
      <c r="M3" s="63"/>
      <c r="N3" s="64"/>
      <c r="O3" s="84" t="s">
        <v>220</v>
      </c>
      <c r="P3" s="86">
        <v>44278.35753472222</v>
      </c>
      <c r="Q3" s="84" t="s">
        <v>223</v>
      </c>
      <c r="R3" s="84"/>
      <c r="S3" s="84"/>
      <c r="T3" s="89" t="s">
        <v>228</v>
      </c>
      <c r="U3" s="84"/>
      <c r="V3" s="91" t="str">
        <f>HYPERLINK("http://pbs.twimg.com/profile_images/378800000723068334/cc01fcf0e56bc6122a77ef0b9f9e250b_normal.jpeg")</f>
        <v>http://pbs.twimg.com/profile_images/378800000723068334/cc01fcf0e56bc6122a77ef0b9f9e250b_normal.jpeg</v>
      </c>
      <c r="W3" s="86">
        <v>44278.35753472222</v>
      </c>
      <c r="X3" s="92">
        <v>44278</v>
      </c>
      <c r="Y3" s="89" t="s">
        <v>231</v>
      </c>
      <c r="Z3" s="91" t="str">
        <f>HYPERLINK("https://twitter.com/#!/margaretagroth/status/1374278456863768579")</f>
        <v>https://twitter.com/#!/margaretagroth/status/1374278456863768579</v>
      </c>
      <c r="AA3" s="84"/>
      <c r="AB3" s="84"/>
      <c r="AC3" s="89" t="s">
        <v>234</v>
      </c>
      <c r="AD3" s="84"/>
      <c r="AE3" s="84" t="b">
        <v>0</v>
      </c>
      <c r="AF3" s="84">
        <v>13</v>
      </c>
      <c r="AG3" s="89" t="s">
        <v>235</v>
      </c>
      <c r="AH3" s="84" t="b">
        <v>0</v>
      </c>
      <c r="AI3" s="84" t="s">
        <v>236</v>
      </c>
      <c r="AJ3" s="84"/>
      <c r="AK3" s="89" t="s">
        <v>235</v>
      </c>
      <c r="AL3" s="84" t="b">
        <v>0</v>
      </c>
      <c r="AM3" s="84">
        <v>0</v>
      </c>
      <c r="AN3" s="89" t="s">
        <v>235</v>
      </c>
      <c r="AO3" s="89" t="s">
        <v>238</v>
      </c>
      <c r="AP3" s="84" t="b">
        <v>0</v>
      </c>
      <c r="AQ3" s="89" t="s">
        <v>234</v>
      </c>
      <c r="AR3" s="84" t="s">
        <v>176</v>
      </c>
      <c r="AS3" s="84">
        <v>0</v>
      </c>
      <c r="AT3" s="84">
        <v>0</v>
      </c>
      <c r="AU3" s="84"/>
      <c r="AV3" s="84"/>
      <c r="AW3" s="84"/>
      <c r="AX3" s="84"/>
      <c r="AY3" s="84"/>
      <c r="AZ3" s="84"/>
      <c r="BA3" s="84"/>
      <c r="BB3" s="84"/>
      <c r="BC3">
        <v>1</v>
      </c>
      <c r="BD3" s="84" t="str">
        <f>REPLACE(INDEX(GroupVertices[Group],MATCH(Edges11[[#This Row],[Vertex 1]],GroupVertices[Vertex],0)),1,1,"")</f>
        <v>2</v>
      </c>
      <c r="BE3" s="84" t="str">
        <f>REPLACE(INDEX(GroupVertices[Group],MATCH(Edges11[[#This Row],[Vertex 2]],GroupVertices[Vertex],0)),1,1,"")</f>
        <v>2</v>
      </c>
    </row>
    <row r="4" spans="1:57" ht="15" customHeight="1">
      <c r="A4" s="83" t="s">
        <v>214</v>
      </c>
      <c r="B4" s="83" t="s">
        <v>216</v>
      </c>
      <c r="C4" s="54"/>
      <c r="D4" s="55"/>
      <c r="E4" s="67"/>
      <c r="F4" s="56"/>
      <c r="G4" s="54"/>
      <c r="H4" s="58"/>
      <c r="I4" s="57"/>
      <c r="J4" s="57"/>
      <c r="K4" s="36" t="s">
        <v>65</v>
      </c>
      <c r="L4" s="82">
        <v>4</v>
      </c>
      <c r="M4" s="82"/>
      <c r="N4" s="64"/>
      <c r="O4" s="85" t="s">
        <v>220</v>
      </c>
      <c r="P4" s="87">
        <v>44285.064421296294</v>
      </c>
      <c r="Q4" s="85" t="s">
        <v>221</v>
      </c>
      <c r="R4" s="88" t="str">
        <f>HYPERLINK("https://reneweconomy.com.au/cep-to-build-150mw-big-battery-at-former-holden-plant-in-south-australia/")</f>
        <v>https://reneweconomy.com.au/cep-to-build-150mw-big-battery-at-former-holden-plant-in-south-australia/</v>
      </c>
      <c r="S4" s="85" t="s">
        <v>224</v>
      </c>
      <c r="T4" s="90" t="s">
        <v>226</v>
      </c>
      <c r="U4" s="85"/>
      <c r="V4" s="88" t="str">
        <f>HYPERLINK("http://pbs.twimg.com/profile_images/1329948461433700352/tc5-iMrq_normal.jpg")</f>
        <v>http://pbs.twimg.com/profile_images/1329948461433700352/tc5-iMrq_normal.jpg</v>
      </c>
      <c r="W4" s="87">
        <v>44285.064421296294</v>
      </c>
      <c r="X4" s="93">
        <v>44285</v>
      </c>
      <c r="Y4" s="90" t="s">
        <v>229</v>
      </c>
      <c r="Z4" s="88" t="str">
        <f>HYPERLINK("https://twitter.com/#!/electriccaraust/status/1376708949118918657")</f>
        <v>https://twitter.com/#!/electriccaraust/status/1376708949118918657</v>
      </c>
      <c r="AA4" s="85"/>
      <c r="AB4" s="85"/>
      <c r="AC4" s="90" t="s">
        <v>232</v>
      </c>
      <c r="AD4" s="85"/>
      <c r="AE4" s="85" t="b">
        <v>0</v>
      </c>
      <c r="AF4" s="85">
        <v>0</v>
      </c>
      <c r="AG4" s="90" t="s">
        <v>235</v>
      </c>
      <c r="AH4" s="85" t="b">
        <v>0</v>
      </c>
      <c r="AI4" s="85" t="s">
        <v>236</v>
      </c>
      <c r="AJ4" s="85"/>
      <c r="AK4" s="90" t="s">
        <v>235</v>
      </c>
      <c r="AL4" s="85" t="b">
        <v>0</v>
      </c>
      <c r="AM4" s="85">
        <v>0</v>
      </c>
      <c r="AN4" s="90" t="s">
        <v>235</v>
      </c>
      <c r="AO4" s="90" t="s">
        <v>237</v>
      </c>
      <c r="AP4" s="85" t="b">
        <v>0</v>
      </c>
      <c r="AQ4" s="90" t="s">
        <v>232</v>
      </c>
      <c r="AR4" s="85" t="s">
        <v>176</v>
      </c>
      <c r="AS4" s="85">
        <v>0</v>
      </c>
      <c r="AT4" s="85">
        <v>0</v>
      </c>
      <c r="AU4" s="85"/>
      <c r="AV4" s="85"/>
      <c r="AW4" s="85"/>
      <c r="AX4" s="85"/>
      <c r="AY4" s="85"/>
      <c r="AZ4" s="85"/>
      <c r="BA4" s="85"/>
      <c r="BB4" s="85"/>
      <c r="BC4">
        <v>1</v>
      </c>
      <c r="BD4" s="84" t="str">
        <f>REPLACE(INDEX(GroupVertices[Group],MATCH(Edges11[[#This Row],[Vertex 1]],GroupVertices[Vertex],0)),1,1,"")</f>
        <v>1</v>
      </c>
      <c r="BE4" s="84" t="str">
        <f>REPLACE(INDEX(GroupVertices[Group],MATCH(Edges11[[#This Row],[Vertex 2]],GroupVertices[Vertex],0)),1,1,"")</f>
        <v>1</v>
      </c>
    </row>
    <row r="5" spans="1:57" ht="15">
      <c r="A5" s="83" t="s">
        <v>214</v>
      </c>
      <c r="B5" s="83" t="s">
        <v>217</v>
      </c>
      <c r="C5" s="54"/>
      <c r="D5" s="55"/>
      <c r="E5" s="67"/>
      <c r="F5" s="56"/>
      <c r="G5" s="54"/>
      <c r="H5" s="58"/>
      <c r="I5" s="57"/>
      <c r="J5" s="57"/>
      <c r="K5" s="36" t="s">
        <v>65</v>
      </c>
      <c r="L5" s="82">
        <v>5</v>
      </c>
      <c r="M5" s="82"/>
      <c r="N5" s="64"/>
      <c r="O5" s="85" t="s">
        <v>220</v>
      </c>
      <c r="P5" s="87">
        <v>44285.95208333333</v>
      </c>
      <c r="Q5" s="85" t="s">
        <v>222</v>
      </c>
      <c r="R5" s="88" t="str">
        <f>HYPERLINK("https://www.bbc.com/news/amp/uk-scotland-56530424?__twitter_impression=true")</f>
        <v>https://www.bbc.com/news/amp/uk-scotland-56530424?__twitter_impression=true</v>
      </c>
      <c r="S5" s="85" t="s">
        <v>225</v>
      </c>
      <c r="T5" s="90" t="s">
        <v>227</v>
      </c>
      <c r="U5" s="85"/>
      <c r="V5" s="88" t="str">
        <f>HYPERLINK("http://pbs.twimg.com/profile_images/1329948461433700352/tc5-iMrq_normal.jpg")</f>
        <v>http://pbs.twimg.com/profile_images/1329948461433700352/tc5-iMrq_normal.jpg</v>
      </c>
      <c r="W5" s="87">
        <v>44285.95208333333</v>
      </c>
      <c r="X5" s="93">
        <v>44285</v>
      </c>
      <c r="Y5" s="90" t="s">
        <v>230</v>
      </c>
      <c r="Z5" s="88" t="str">
        <f>HYPERLINK("https://twitter.com/#!/electriccaraust/status/1377030629460742144")</f>
        <v>https://twitter.com/#!/electriccaraust/status/1377030629460742144</v>
      </c>
      <c r="AA5" s="85"/>
      <c r="AB5" s="85"/>
      <c r="AC5" s="90" t="s">
        <v>233</v>
      </c>
      <c r="AD5" s="85"/>
      <c r="AE5" s="85" t="b">
        <v>0</v>
      </c>
      <c r="AF5" s="85">
        <v>1</v>
      </c>
      <c r="AG5" s="90" t="s">
        <v>235</v>
      </c>
      <c r="AH5" s="85" t="b">
        <v>0</v>
      </c>
      <c r="AI5" s="85" t="s">
        <v>236</v>
      </c>
      <c r="AJ5" s="85"/>
      <c r="AK5" s="90" t="s">
        <v>235</v>
      </c>
      <c r="AL5" s="85" t="b">
        <v>0</v>
      </c>
      <c r="AM5" s="85">
        <v>0</v>
      </c>
      <c r="AN5" s="90" t="s">
        <v>235</v>
      </c>
      <c r="AO5" s="90" t="s">
        <v>237</v>
      </c>
      <c r="AP5" s="85" t="b">
        <v>0</v>
      </c>
      <c r="AQ5" s="90" t="s">
        <v>233</v>
      </c>
      <c r="AR5" s="85" t="s">
        <v>176</v>
      </c>
      <c r="AS5" s="85">
        <v>0</v>
      </c>
      <c r="AT5" s="85">
        <v>0</v>
      </c>
      <c r="AU5" s="85"/>
      <c r="AV5" s="85"/>
      <c r="AW5" s="85"/>
      <c r="AX5" s="85"/>
      <c r="AY5" s="85"/>
      <c r="AZ5" s="85"/>
      <c r="BA5" s="85"/>
      <c r="BB5" s="85"/>
      <c r="BC5">
        <v>1</v>
      </c>
      <c r="BD5" s="84" t="str">
        <f>REPLACE(INDEX(GroupVertices[Group],MATCH(Edges11[[#This Row],[Vertex 1]],GroupVertices[Vertex],0)),1,1,"")</f>
        <v>1</v>
      </c>
      <c r="BE5" s="84" t="str">
        <f>REPLACE(INDEX(GroupVertices[Group],MATCH(Edges11[[#This Row],[Vertex 2]],GroupVertices[Vertex],0)),1,1,"")</f>
        <v>1</v>
      </c>
    </row>
    <row r="6" spans="1:57" ht="15">
      <c r="A6" s="83" t="s">
        <v>214</v>
      </c>
      <c r="B6" s="83" t="s">
        <v>218</v>
      </c>
      <c r="C6" s="54"/>
      <c r="D6" s="55"/>
      <c r="E6" s="67"/>
      <c r="F6" s="56"/>
      <c r="G6" s="54"/>
      <c r="H6" s="58"/>
      <c r="I6" s="57"/>
      <c r="J6" s="57"/>
      <c r="K6" s="36" t="s">
        <v>65</v>
      </c>
      <c r="L6" s="82">
        <v>6</v>
      </c>
      <c r="M6" s="82"/>
      <c r="N6" s="64"/>
      <c r="O6" s="85" t="s">
        <v>220</v>
      </c>
      <c r="P6" s="87">
        <v>44285.95208333333</v>
      </c>
      <c r="Q6" s="85" t="s">
        <v>222</v>
      </c>
      <c r="R6" s="88" t="str">
        <f>HYPERLINK("https://www.bbc.com/news/amp/uk-scotland-56530424?__twitter_impression=true")</f>
        <v>https://www.bbc.com/news/amp/uk-scotland-56530424?__twitter_impression=true</v>
      </c>
      <c r="S6" s="85" t="s">
        <v>225</v>
      </c>
      <c r="T6" s="90" t="s">
        <v>227</v>
      </c>
      <c r="U6" s="85"/>
      <c r="V6" s="88" t="str">
        <f>HYPERLINK("http://pbs.twimg.com/profile_images/1329948461433700352/tc5-iMrq_normal.jpg")</f>
        <v>http://pbs.twimg.com/profile_images/1329948461433700352/tc5-iMrq_normal.jpg</v>
      </c>
      <c r="W6" s="87">
        <v>44285.95208333333</v>
      </c>
      <c r="X6" s="93">
        <v>44285</v>
      </c>
      <c r="Y6" s="90" t="s">
        <v>230</v>
      </c>
      <c r="Z6" s="88" t="str">
        <f>HYPERLINK("https://twitter.com/#!/electriccaraust/status/1377030629460742144")</f>
        <v>https://twitter.com/#!/electriccaraust/status/1377030629460742144</v>
      </c>
      <c r="AA6" s="85"/>
      <c r="AB6" s="85"/>
      <c r="AC6" s="90" t="s">
        <v>233</v>
      </c>
      <c r="AD6" s="85"/>
      <c r="AE6" s="85" t="b">
        <v>0</v>
      </c>
      <c r="AF6" s="85">
        <v>1</v>
      </c>
      <c r="AG6" s="90" t="s">
        <v>235</v>
      </c>
      <c r="AH6" s="85" t="b">
        <v>0</v>
      </c>
      <c r="AI6" s="85" t="s">
        <v>236</v>
      </c>
      <c r="AJ6" s="85"/>
      <c r="AK6" s="90" t="s">
        <v>235</v>
      </c>
      <c r="AL6" s="85" t="b">
        <v>0</v>
      </c>
      <c r="AM6" s="85">
        <v>0</v>
      </c>
      <c r="AN6" s="90" t="s">
        <v>235</v>
      </c>
      <c r="AO6" s="90" t="s">
        <v>237</v>
      </c>
      <c r="AP6" s="85" t="b">
        <v>0</v>
      </c>
      <c r="AQ6" s="90" t="s">
        <v>233</v>
      </c>
      <c r="AR6" s="85" t="s">
        <v>176</v>
      </c>
      <c r="AS6" s="85">
        <v>0</v>
      </c>
      <c r="AT6" s="85">
        <v>0</v>
      </c>
      <c r="AU6" s="85"/>
      <c r="AV6" s="85"/>
      <c r="AW6" s="85"/>
      <c r="AX6" s="85"/>
      <c r="AY6" s="85"/>
      <c r="AZ6" s="85"/>
      <c r="BA6" s="85"/>
      <c r="BB6" s="85"/>
      <c r="BC6">
        <v>1</v>
      </c>
      <c r="BD6" s="84" t="str">
        <f>REPLACE(INDEX(GroupVertices[Group],MATCH(Edges11[[#This Row],[Vertex 1]],GroupVertices[Vertex],0)),1,1,"")</f>
        <v>1</v>
      </c>
      <c r="BE6" s="84" t="str">
        <f>REPLACE(INDEX(GroupVertices[Group],MATCH(Edges11[[#This Row],[Vertex 2]],GroupVertices[Vertex],0)),1,1,"")</f>
        <v>1</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
    <dataValidation allowBlank="1" showInputMessage="1" showErrorMessage="1" promptTitle="Vertex 2 Name" prompt="Enter the name of the edge's second vertex." sqref="B3:B6"/>
    <dataValidation allowBlank="1" showInputMessage="1" showErrorMessage="1" promptTitle="Vertex 1 Name" prompt="Enter the name of the edge's first vertex." sqref="A3:A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
    <dataValidation allowBlank="1" showInputMessage="1" promptTitle="Edge Width" prompt="Enter an optional edge width between 1 and 10." errorTitle="Invalid Edge Width" error="The optional edge width must be a whole number between 1 and 10." sqref="D3:D6"/>
    <dataValidation allowBlank="1" showInputMessage="1" promptTitle="Edge Color" prompt="To select an optional edge color, right-click and select Select Color on the right-click menu." sqref="C3:C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
    <dataValidation allowBlank="1" showErrorMessage="1" sqref="N2:N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290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291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292</v>
      </c>
      <c r="K7" s="13" t="s">
        <v>293</v>
      </c>
    </row>
    <row r="8" spans="1:11" ht="409.5">
      <c r="A8"/>
      <c r="B8">
        <v>2</v>
      </c>
      <c r="C8">
        <v>2</v>
      </c>
      <c r="D8" t="s">
        <v>61</v>
      </c>
      <c r="E8" t="s">
        <v>61</v>
      </c>
      <c r="H8" t="s">
        <v>73</v>
      </c>
      <c r="J8" t="s">
        <v>294</v>
      </c>
      <c r="K8" s="13" t="s">
        <v>295</v>
      </c>
    </row>
    <row r="9" spans="1:11" ht="409.5">
      <c r="A9"/>
      <c r="B9">
        <v>3</v>
      </c>
      <c r="C9">
        <v>4</v>
      </c>
      <c r="D9" t="s">
        <v>62</v>
      </c>
      <c r="E9" t="s">
        <v>62</v>
      </c>
      <c r="H9" t="s">
        <v>74</v>
      </c>
      <c r="J9" t="s">
        <v>296</v>
      </c>
      <c r="K9" s="13" t="s">
        <v>297</v>
      </c>
    </row>
    <row r="10" spans="1:11" ht="409.5">
      <c r="A10"/>
      <c r="B10">
        <v>4</v>
      </c>
      <c r="D10" t="s">
        <v>63</v>
      </c>
      <c r="E10" t="s">
        <v>63</v>
      </c>
      <c r="H10" t="s">
        <v>75</v>
      </c>
      <c r="J10" t="s">
        <v>298</v>
      </c>
      <c r="K10" s="13" t="s">
        <v>299</v>
      </c>
    </row>
    <row r="11" spans="1:11" ht="15">
      <c r="A11"/>
      <c r="B11">
        <v>5</v>
      </c>
      <c r="D11" t="s">
        <v>46</v>
      </c>
      <c r="E11">
        <v>1</v>
      </c>
      <c r="H11" t="s">
        <v>76</v>
      </c>
      <c r="J11" t="s">
        <v>300</v>
      </c>
      <c r="K11" t="s">
        <v>301</v>
      </c>
    </row>
    <row r="12" spans="1:11" ht="15">
      <c r="A12"/>
      <c r="B12"/>
      <c r="D12" t="s">
        <v>64</v>
      </c>
      <c r="E12">
        <v>2</v>
      </c>
      <c r="H12">
        <v>0</v>
      </c>
      <c r="J12" t="s">
        <v>302</v>
      </c>
      <c r="K12" t="s">
        <v>303</v>
      </c>
    </row>
    <row r="13" spans="1:11" ht="15">
      <c r="A13"/>
      <c r="B13"/>
      <c r="D13">
        <v>1</v>
      </c>
      <c r="E13">
        <v>3</v>
      </c>
      <c r="H13">
        <v>1</v>
      </c>
      <c r="J13" t="s">
        <v>304</v>
      </c>
      <c r="K13" t="s">
        <v>305</v>
      </c>
    </row>
    <row r="14" spans="4:11" ht="15">
      <c r="D14">
        <v>2</v>
      </c>
      <c r="E14">
        <v>4</v>
      </c>
      <c r="H14">
        <v>2</v>
      </c>
      <c r="J14" t="s">
        <v>306</v>
      </c>
      <c r="K14" t="s">
        <v>307</v>
      </c>
    </row>
    <row r="15" spans="4:11" ht="15">
      <c r="D15">
        <v>3</v>
      </c>
      <c r="E15">
        <v>5</v>
      </c>
      <c r="H15">
        <v>3</v>
      </c>
      <c r="J15" t="s">
        <v>308</v>
      </c>
      <c r="K15" t="s">
        <v>309</v>
      </c>
    </row>
    <row r="16" spans="4:11" ht="15">
      <c r="D16">
        <v>4</v>
      </c>
      <c r="E16">
        <v>6</v>
      </c>
      <c r="H16">
        <v>4</v>
      </c>
      <c r="J16" t="s">
        <v>310</v>
      </c>
      <c r="K16" t="s">
        <v>311</v>
      </c>
    </row>
    <row r="17" spans="4:11" ht="15">
      <c r="D17">
        <v>5</v>
      </c>
      <c r="E17">
        <v>7</v>
      </c>
      <c r="H17">
        <v>5</v>
      </c>
      <c r="J17" t="s">
        <v>312</v>
      </c>
      <c r="K17" t="s">
        <v>313</v>
      </c>
    </row>
    <row r="18" spans="4:11" ht="15">
      <c r="D18">
        <v>6</v>
      </c>
      <c r="E18">
        <v>8</v>
      </c>
      <c r="H18">
        <v>6</v>
      </c>
      <c r="J18" t="s">
        <v>314</v>
      </c>
      <c r="K18" t="s">
        <v>315</v>
      </c>
    </row>
    <row r="19" spans="4:11" ht="15">
      <c r="D19">
        <v>7</v>
      </c>
      <c r="E19">
        <v>9</v>
      </c>
      <c r="H19">
        <v>7</v>
      </c>
      <c r="J19" t="s">
        <v>316</v>
      </c>
      <c r="K19" t="s">
        <v>317</v>
      </c>
    </row>
    <row r="20" spans="4:11" ht="15">
      <c r="D20">
        <v>8</v>
      </c>
      <c r="H20">
        <v>8</v>
      </c>
      <c r="J20" t="s">
        <v>318</v>
      </c>
      <c r="K20" t="s">
        <v>319</v>
      </c>
    </row>
    <row r="21" spans="4:11" ht="409.5">
      <c r="D21">
        <v>9</v>
      </c>
      <c r="H21">
        <v>9</v>
      </c>
      <c r="J21" t="s">
        <v>320</v>
      </c>
      <c r="K21" s="13" t="s">
        <v>321</v>
      </c>
    </row>
    <row r="22" spans="4:11" ht="409.5">
      <c r="D22">
        <v>10</v>
      </c>
      <c r="J22" t="s">
        <v>322</v>
      </c>
      <c r="K22" s="13" t="s">
        <v>323</v>
      </c>
    </row>
    <row r="23" spans="4:11" ht="409.5">
      <c r="D23">
        <v>11</v>
      </c>
      <c r="J23" t="s">
        <v>324</v>
      </c>
      <c r="K23" s="13" t="s">
        <v>344</v>
      </c>
    </row>
    <row r="24" spans="10:11" ht="409.5">
      <c r="J24" t="s">
        <v>325</v>
      </c>
      <c r="K24" s="13" t="s">
        <v>343</v>
      </c>
    </row>
    <row r="25" spans="10:11" ht="15">
      <c r="J25" t="s">
        <v>326</v>
      </c>
      <c r="K25" t="b">
        <v>0</v>
      </c>
    </row>
    <row r="26" spans="10:11" ht="15">
      <c r="J26" t="s">
        <v>341</v>
      </c>
      <c r="K26" t="s">
        <v>342</v>
      </c>
    </row>
  </sheetData>
  <printOptions/>
  <pageMargins left="0.7" right="0.7" top="0.75" bottom="0.75" header="0.3" footer="0.3"/>
  <pageSetup horizontalDpi="600" verticalDpi="600" orientation="portrait" r:id="rId4"/>
  <drawing r:id="rId3"/>
  <tableParts>
    <tablePart r:id="rId2"/>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9"/>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2" t="s">
        <v>338</v>
      </c>
      <c r="B25" t="s">
        <v>337</v>
      </c>
    </row>
    <row r="26" spans="1:2" ht="15">
      <c r="A26" s="123">
        <v>44278.35753472222</v>
      </c>
      <c r="B26" s="3">
        <v>1</v>
      </c>
    </row>
    <row r="27" spans="1:2" ht="15">
      <c r="A27" s="123">
        <v>44285.064421296294</v>
      </c>
      <c r="B27" s="3">
        <v>1</v>
      </c>
    </row>
    <row r="28" spans="1:2" ht="15">
      <c r="A28" s="123">
        <v>44285.95208333333</v>
      </c>
      <c r="B28" s="3">
        <v>2</v>
      </c>
    </row>
    <row r="29" spans="1:2" ht="15">
      <c r="A29" s="123" t="s">
        <v>339</v>
      </c>
      <c r="B29" s="3">
        <v>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4BC2D2E-8921-44B4-8FC8-AC5527EBD2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2021-04-08T14:47:45Z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