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<sst xmlns="http://schemas.openxmlformats.org/spreadsheetml/2006/main" count="5718" uniqueCount="1237">
  <si>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</si>
  <si>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</si>
  <si>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</si>
  <si>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</si>
  <si>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</si>
  <si>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</si>
  <si>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</si>
  <si>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</si>
  <si>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</si>
  <si>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</si>
  <si>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</si>
  <si>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</si>
  <si>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</si>
  <si>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</si>
  <si>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</si>
  <si>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</si>
  <si>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</si>
  <si>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</si>
  <si>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</si>
  <si>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</si>
  <si>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</si>
  <si>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</si>
  <si>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</si>
  <si>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</si>
  <si>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</si>
  <si>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</si>
  <si>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</si>
  <si>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</si>
  <si>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</si>
  <si>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</si>
  <si>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</si>
  <si>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</si>
  <si>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</si>
  <si>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</si>
  <si>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</si>
  <si>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</si>
  <si>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</si>
  <si>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</si>
  <si>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</si>
  <si>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</si>
  <si>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</si>
  <si>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</si>
  <si>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</si>
  <si>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</si>
  <si>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</si>
  <si>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</si>
  <si>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</si>
  <si>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</si>
  <si>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</si>
  <si>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</si>
  <si>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</si>
  <si>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</si>
  <si>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</si>
  <si>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</si>
  <si>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</si>
  <si>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</si>
  <si>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</si>
  <si>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</si>
  <si>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</si>
  <si>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</si>
  <si>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</si>
  <si>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</si>
  <si>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</si>
  <si>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</si>
  <si>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</si>
  <si>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</si>
  <si>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</si>
  <si>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</si>
  <si>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</si>
  <si>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</si>
  <si>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</si>
  <si>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</si>
  <si>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</si>
  <si>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</si>
  <si>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</si>
  <si>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</si>
  <si>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</si>
  <si>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</si>
  <si>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</si>
  <si>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</si>
  <si>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</si>
  <si>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</si>
  <si>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</si>
  <si>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</si>
  <si>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</si>
  <si>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</si>
  <si>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</si>
  <si>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</si>
  <si>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</si>
  <si>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</si>
  <si>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</si>
  <si>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</si>
  <si>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</si>
  <si>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</si>
  <si>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</si>
  <si>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</si>
  <si>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</si>
  <si>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</si>
  <si>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</si>
  <si>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</si>
  <si>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</si>
  <si>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</si>
  <si>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</si>
  <si>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</si>
  <si>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</si>
  <si>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</si>
  <si>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</si>
  <si>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</si>
  <si>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</si>
  <si>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</si>
  <si>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</si>
  <si>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</si>
  <si>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</si>
  <si>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</si>
  <si>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</si>
  <si>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</si>
  <si>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</si>
  <si>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</si>
  <si>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</si>
  <si>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</si>
  <si>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</si>
  <si>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</si>
  <si>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</si>
  <si>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</si>
  <si>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</si>
  <si>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</si>
  <si>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</si>
  <si>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</si>
  <si>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</si>
  <si>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</si>
  <si>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</si>
  <si>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</si>
  <si>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</si>
  <si>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</si>
  <si>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</si>
  <si>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</si>
  <si>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</si>
  <si>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</si>
  <si>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</si>
  <si>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</si>
  <si>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</si>
  <si>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</si>
  <si>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</si>
  <si>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</si>
  <si>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</si>
  <si>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</si>
  <si>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</si>
  <si>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</si>
  <si>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</si>
  <si>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</si>
  <si>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</si>
  <si>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</si>
  <si>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</si>
  <si>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</si>
  <si>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</si>
  <si>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</si>
  <si>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</si>
  <si>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</si>
  <si>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</si>
  <si>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</si>
  <si>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</si>
  <si>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</si>
  <si>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</si>
  <si>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</si>
  <si>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</si>
  <si>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</si>
  <si>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</si>
  <si>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</si>
  <si>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</si>
  <si>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</si>
  <si>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</si>
  <si>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</si>
  <si>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</si>
  <si>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</si>
  <si>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</si>
  <si>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</si>
  <si>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</si>
  <si>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</si>
  <si>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</si>
  <si>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</si>
  <si>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</si>
  <si>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</si>
  <si>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</si>
  <si>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</si>
  <si>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</si>
  <si>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</si>
  <si>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</si>
  <si>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</si>
  <si>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</si>
  <si>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</si>
  <si>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</si>
  <si>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</si>
  <si>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</si>
  <si>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</si>
  <si>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</si>
  <si>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</si>
  <si>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</si>
  <si>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</si>
  <si>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</si>
  <si>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</si>
  <si>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</si>
  <si>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</si>
  <si>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</si>
  <si>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</si>
  <si>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</si>
  <si>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</si>
  <si>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</si>
  <si>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</si>
  <si>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</si>
  <si>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</si>
  <si>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</si>
  <si>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</si>
  <si>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</si>
  <si>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</si>
  <si>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</si>
  <si>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</si>
  <si>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</si>
  <si>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</si>
  <si>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</si>
  <si>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</si>
  <si>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</si>
  <si>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</si>
  <si>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</si>
  <si>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</si>
  <si>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</si>
  <si>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</si>
  <si>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</si>
  <si>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</si>
  <si>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</si>
  <si>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</si>
  <si>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</si>
  <si>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</si>
  <si>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</si>
  <si>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</si>
  <si>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</si>
  <si>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</si>
  <si>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</si>
  <si>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</si>
  <si>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</si>
  <si>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</si>
  <si>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</si>
  <si>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</si>
  <si>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</si>
  <si>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</si>
  <si>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</si>
  <si>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</si>
  <si>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</si>
  <si>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</si>
  <si>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</si>
  <si>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</si>
  <si>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</si>
  <si>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aaliya_uk</t>
  </si>
  <si>
    <t>juliomayol</t>
  </si>
  <si>
    <t>gabagool_gash</t>
  </si>
  <si>
    <t>mwmjenard</t>
  </si>
  <si>
    <t>friendsofscimed</t>
  </si>
  <si>
    <t>thespoonless</t>
  </si>
  <si>
    <t>walangprof</t>
  </si>
  <si>
    <t>magwes</t>
  </si>
  <si>
    <t>wimceelen</t>
  </si>
  <si>
    <t>jenniferathomp</t>
  </si>
  <si>
    <t>ibavli</t>
  </si>
  <si>
    <t>ggsoca</t>
  </si>
  <si>
    <t>s_treth</t>
  </si>
  <si>
    <t>uct_bmhsl</t>
  </si>
  <si>
    <t>tlsophtha</t>
  </si>
  <si>
    <t>kslagstad</t>
  </si>
  <si>
    <t>dedebonnycastle</t>
  </si>
  <si>
    <t>xthugginitx</t>
  </si>
  <si>
    <t>christelbinnie</t>
  </si>
  <si>
    <t>jturnesv</t>
  </si>
  <si>
    <t>axxiom</t>
  </si>
  <si>
    <t>sminaev2015</t>
  </si>
  <si>
    <t>abuela_viajera</t>
  </si>
  <si>
    <t>aginnt</t>
  </si>
  <si>
    <t>nikkireimer</t>
  </si>
  <si>
    <t>gabrielazavalaw</t>
  </si>
  <si>
    <t>macaninch</t>
  </si>
  <si>
    <t>gbosslet</t>
  </si>
  <si>
    <t>domcro</t>
  </si>
  <si>
    <t>gonggasgirl</t>
  </si>
  <si>
    <t>kavitha_nades</t>
  </si>
  <si>
    <t>raj_psyc</t>
  </si>
  <si>
    <t>erdonnachie</t>
  </si>
  <si>
    <t>profsarahcowley</t>
  </si>
  <si>
    <t>michaeldavidj</t>
  </si>
  <si>
    <t>jamesonvoss</t>
  </si>
  <si>
    <t>b0tsci</t>
  </si>
  <si>
    <t>caulfieldtim</t>
  </si>
  <si>
    <t>apsmunro</t>
  </si>
  <si>
    <t>gmacscotland</t>
  </si>
  <si>
    <t>jschmukler</t>
  </si>
  <si>
    <t>lasorsalautaro</t>
  </si>
  <si>
    <t>abbiewightwick</t>
  </si>
  <si>
    <t>fundmarksol</t>
  </si>
  <si>
    <t>joaquinbazzano</t>
  </si>
  <si>
    <t>sgdambrauskas</t>
  </si>
  <si>
    <t>victordayan1</t>
  </si>
  <si>
    <t>agu_scicomm</t>
  </si>
  <si>
    <t>chabis_ch</t>
  </si>
  <si>
    <t>bmj_latest</t>
  </si>
  <si>
    <t>drako_law</t>
  </si>
  <si>
    <t>drol007</t>
  </si>
  <si>
    <t>kamranabbasi</t>
  </si>
  <si>
    <t>fgodlee</t>
  </si>
  <si>
    <t>youarelobbylud</t>
  </si>
  <si>
    <t>notoquennada</t>
  </si>
  <si>
    <t>decimononnica</t>
  </si>
  <si>
    <t>aier</t>
  </si>
  <si>
    <t>shannonbrownlee</t>
  </si>
  <si>
    <t>jeannelenzer1</t>
  </si>
  <si>
    <t>gidmk</t>
  </si>
  <si>
    <t>gorskon</t>
  </si>
  <si>
    <t>shmoopythescie1</t>
  </si>
  <si>
    <t>MentionsInRetweet</t>
  </si>
  <si>
    <t>Retweet</t>
  </si>
  <si>
    <t>Mentions</t>
  </si>
  <si>
    <t>Replies to</t>
  </si>
  <si>
    <t>"Increasing use of traditional &amp;amp; social media by academics has brought many benefits. However, these platforms foster extreme viewpoints by design." 
Prof Raj Bhopal &amp;amp; @apsmunro in @bmj_latest
A few thoughts to follow on using Twitter more effectively
https://t.co/UEygpu1LHu
1/n</t>
  </si>
  <si>
    <t>Scholarly communications harmed by #covid19 https://t.co/FD7KSvv4Gx @apsmunro 
THIS: "Science communication, including appropriate use of social media, should be part of postgraduate training. Learning from the humanities may also help to foster a more holistic perspective..."</t>
  </si>
  <si>
    <t>"Academic discourse must focus on responding to reasoned argument, along with transparency around potential conflicts of interest, rather than the motives or character of individuals."
Raj Bhopal and @apsmunro on why society needs civil academic discourse https://t.co/rW9YBRsqD6</t>
  </si>
  <si>
    <t>@YouAreLobbyLud @apsmunro @bmj_latest @fgodlee @KamranAbbasi No retraction, but a sorta apology from @apsmunro &amp;amp; BhopalR in the BMJ Rapid Response
https://t.co/V74AnaTV9r</t>
  </si>
  <si>
    <t>Mañana 8 am estaremos en @NoToquenNada hablando de ciencia, medicina y otras yerbas durante la pandemia. 
Un placer compartir ronda con @JoaquinBazzano y @VictorDayan1 
2 artículos de @bmj_latest como disparadores:
https://t.co/fKJZOtQp1C
https://t.co/DbSFgtpMx0</t>
  </si>
  <si>
    <t>Measured, nuanced, unemotional views do not go “viral.” 
But collegiate, thoughtful, and mutually respectful dialogue that fully acknowledges uncertainty is essential for academic freedom and public trust in scientists, say Raj Bhopal and @apsmunro
https://t.co/FR3hTMnTI0</t>
  </si>
  <si>
    <t>"Society deserves academic discourse that is civil, cool, unbiased, and objective" @bmj_latest #forskpol
https://t.co/wbVfEdyaQT</t>
  </si>
  <si>
    <t>https://t.co/591tRauRNT https://t.co/jWbUaWp1o3</t>
  </si>
  <si>
    <t>Scholarly communications harmed by covid-19 | The BMJ https://t.co/LBWLbfM8sd</t>
  </si>
  <si>
    <t>@decimononnica por exponer sus (fundadas en evidencia) opiniones se vio atacada personalmente y amenazada su continuidad académica. Me hizo acordar a este editorial reciente de @apsmunro (héroe) en el BMJ 
https://t.co/e0M4DdzCQJ https://t.co/d53QtAI9EP</t>
  </si>
  <si>
    <t>Scholarly communications harmed by covid-19 | The BMJ https://t.co/cZrNUSrn7b</t>
  </si>
  <si>
    <t>@shmoopythescie1 @gorskon @GidMK @JeanneLenzer1 @ShannonBrownlee @aier I was thinking more of those who, just a few days ago, were tweeting about things like this. Were they just pointing the finger at others? Ironically, the incident demonstrates that Twitter is just a symptom of a deeper underlying problem.
https://t.co/4yYjIzB7YF</t>
  </si>
  <si>
    <t>"Debate is a key driver of advances in healthcare, and we must all recognise that being wrong is an invaluable part of the scientific process" Wise words here about the often intemperate responses on SM. 
Scholarly communications harmed by covid-19 https://t.co/A4knbXyzMd</t>
  </si>
  <si>
    <t>Scholarly communications harmed by covid-19 https://t.co/kSJJeavLuk #SciComm #COVID #SciWri #SciSharSci https://t.co/WLd8RgeoWB</t>
  </si>
  <si>
    <t>Scholarly communications harmed by covid-19 https://t.co/dLXW7IdyJU #SciComm #COVID #SciWri #SciSharSci https://t.co/rIHN2iWqkQ</t>
  </si>
  <si>
    <t>@LasorsaLautaro @decimononnica @apsmunro https://t.co/e0M4DdzCQJ</t>
  </si>
  <si>
    <t>Plea for dignity and respect in science in divided times from ⁦⁦@bmj_latest⁩  https://t.co/n0AhCvSDeq</t>
  </si>
  <si>
    <t>Scholarly communications harmed by covid-19 https://t.co/tqUTLju2gc #SciComm #COVID #SciWri #SciSharSci https://t.co/CHEss6L7b1</t>
  </si>
  <si>
    <t>https://blogs.bmj.com/bmj/2021/03/22/an-open-plea-for-dignity-and-respect-in-science/ https://www.bmj.com/content/372/bmj.n742</t>
  </si>
  <si>
    <t>bmj.com</t>
  </si>
  <si>
    <t>bmj.com bmj.com</t>
  </si>
  <si>
    <t>covid19</t>
  </si>
  <si>
    <t>forskpol</t>
  </si>
  <si>
    <t>scicomm covid sciwri scisharsci</t>
  </si>
  <si>
    <t>09:02:51</t>
  </si>
  <si>
    <t>08:41:35</t>
  </si>
  <si>
    <t>12:46:22</t>
  </si>
  <si>
    <t>06:39:14</t>
  </si>
  <si>
    <t>21:54:30</t>
  </si>
  <si>
    <t>16:40:11</t>
  </si>
  <si>
    <t>23:56:06</t>
  </si>
  <si>
    <t>19:05:10</t>
  </si>
  <si>
    <t>19:17:22</t>
  </si>
  <si>
    <t>20:16:57</t>
  </si>
  <si>
    <t>20:54:21</t>
  </si>
  <si>
    <t>22:46:24</t>
  </si>
  <si>
    <t>07:50:46</t>
  </si>
  <si>
    <t>18:00:53</t>
  </si>
  <si>
    <t>17:11:15</t>
  </si>
  <si>
    <t>09:19:37</t>
  </si>
  <si>
    <t>16:56:24</t>
  </si>
  <si>
    <t>22:57:07</t>
  </si>
  <si>
    <t>17:17:21</t>
  </si>
  <si>
    <t>18:19:03</t>
  </si>
  <si>
    <t>00:47:26</t>
  </si>
  <si>
    <t>09:14:37</t>
  </si>
  <si>
    <t>16:14:52</t>
  </si>
  <si>
    <t>18:49:02</t>
  </si>
  <si>
    <t>16:57:42</t>
  </si>
  <si>
    <t>17:39:30</t>
  </si>
  <si>
    <t>09:54:00</t>
  </si>
  <si>
    <t>12:59:39</t>
  </si>
  <si>
    <t>18:34:08</t>
  </si>
  <si>
    <t>09:30:38</t>
  </si>
  <si>
    <t>18:39:35</t>
  </si>
  <si>
    <t>09:12:21</t>
  </si>
  <si>
    <t>05:40:05</t>
  </si>
  <si>
    <t>19:57:12</t>
  </si>
  <si>
    <t>17:08:27</t>
  </si>
  <si>
    <t>17:30:29</t>
  </si>
  <si>
    <t>23:15:08</t>
  </si>
  <si>
    <t>01:30:08</t>
  </si>
  <si>
    <t>16:30:56</t>
  </si>
  <si>
    <t>12:41:13</t>
  </si>
  <si>
    <t>18:02:33</t>
  </si>
  <si>
    <t>18:27:32</t>
  </si>
  <si>
    <t>16:11:20</t>
  </si>
  <si>
    <t>17:48:51</t>
  </si>
  <si>
    <t>03:08:29</t>
  </si>
  <si>
    <t>06:54:52</t>
  </si>
  <si>
    <t>22:37:27</t>
  </si>
  <si>
    <t>15:02:22</t>
  </si>
  <si>
    <t>14:58:41</t>
  </si>
  <si>
    <t>16:02:31</t>
  </si>
  <si>
    <t>23:15:03</t>
  </si>
  <si>
    <t>01:30:02</t>
  </si>
  <si>
    <t>07:12:03</t>
  </si>
  <si>
    <t>07:52:19</t>
  </si>
  <si>
    <t>12:50:07</t>
  </si>
  <si>
    <t>17:01:27</t>
  </si>
  <si>
    <t>06:01:01</t>
  </si>
  <si>
    <t>08:49:21</t>
  </si>
  <si>
    <t>1378996544628723715</t>
  </si>
  <si>
    <t>1378991193011392512</t>
  </si>
  <si>
    <t>1378328017093660678</t>
  </si>
  <si>
    <t>1376061299965128709</t>
  </si>
  <si>
    <t>1378103574945693699</t>
  </si>
  <si>
    <t>1378024472222048257</t>
  </si>
  <si>
    <t>1376684622927392771</t>
  </si>
  <si>
    <t>1375886630465179648</t>
  </si>
  <si>
    <t>1375889700305694721</t>
  </si>
  <si>
    <t>1375904695072419840</t>
  </si>
  <si>
    <t>1375914107119935490</t>
  </si>
  <si>
    <t>1378841409726332931</t>
  </si>
  <si>
    <t>1376804078592884741</t>
  </si>
  <si>
    <t>1375870454565646338</t>
  </si>
  <si>
    <t>1375857965564112903</t>
  </si>
  <si>
    <t>1379000764476100610</t>
  </si>
  <si>
    <t>1378028555070697473</t>
  </si>
  <si>
    <t>1375945005534113794</t>
  </si>
  <si>
    <t>1378033826736267265</t>
  </si>
  <si>
    <t>1378774128661004291</t>
  </si>
  <si>
    <t>1375972767653363717</t>
  </si>
  <si>
    <t>1378999505538985984</t>
  </si>
  <si>
    <t>1376568551897763840</t>
  </si>
  <si>
    <t>1375882570404089856</t>
  </si>
  <si>
    <t>1378028882612260871</t>
  </si>
  <si>
    <t>1375865072749314048</t>
  </si>
  <si>
    <t>1376110315977506818</t>
  </si>
  <si>
    <t>1378331363917578241</t>
  </si>
  <si>
    <t>1375878824072781825</t>
  </si>
  <si>
    <t>1378278759615229955</t>
  </si>
  <si>
    <t>1378779297423429632</t>
  </si>
  <si>
    <t>1378998935402987524</t>
  </si>
  <si>
    <t>1377133577851170817</t>
  </si>
  <si>
    <t>1378074052619870218</t>
  </si>
  <si>
    <t>1375857257733218308</t>
  </si>
  <si>
    <t>1375862806323560459</t>
  </si>
  <si>
    <t>1376674314771173379</t>
  </si>
  <si>
    <t>1377795449659273218</t>
  </si>
  <si>
    <t>1378022146039943171</t>
  </si>
  <si>
    <t>1378326723826188291</t>
  </si>
  <si>
    <t>1378769975767400448</t>
  </si>
  <si>
    <t>1378776265457557506</t>
  </si>
  <si>
    <t>1376567660490674176</t>
  </si>
  <si>
    <t>1376592202722390021</t>
  </si>
  <si>
    <t>1376733037958946816</t>
  </si>
  <si>
    <t>1374978070604566529</t>
  </si>
  <si>
    <t>1375940053034283011</t>
  </si>
  <si>
    <t>1378724633680171010</t>
  </si>
  <si>
    <t>1378723706298638339</t>
  </si>
  <si>
    <t>1378739768981356547</t>
  </si>
  <si>
    <t>1378848618912882688</t>
  </si>
  <si>
    <t>1377795426473160710</t>
  </si>
  <si>
    <t>1376674291941523459</t>
  </si>
  <si>
    <t>1377881497294757888</t>
  </si>
  <si>
    <t>1378978795416338432</t>
  </si>
  <si>
    <t>1374705085440270336</t>
  </si>
  <si>
    <t>1375855499208491014</t>
  </si>
  <si>
    <t>1375326905944117248</t>
  </si>
  <si>
    <t>1377905984136429568</t>
  </si>
  <si>
    <t>1376593058632933377</t>
  </si>
  <si>
    <t>1377078599602278400</t>
  </si>
  <si>
    <t>1376591878141976581</t>
  </si>
  <si>
    <t/>
  </si>
  <si>
    <t>1238949674989416449</t>
  </si>
  <si>
    <t>1243353333282279424</t>
  </si>
  <si>
    <t>248263350</t>
  </si>
  <si>
    <t>1087158188670140416</t>
  </si>
  <si>
    <t>en</t>
  </si>
  <si>
    <t>und</t>
  </si>
  <si>
    <t>es</t>
  </si>
  <si>
    <t>Twitter for iPhone</t>
  </si>
  <si>
    <t>Twitter Web App</t>
  </si>
  <si>
    <t>Twitter for Android</t>
  </si>
  <si>
    <t xml:space="preserve">Falcon Social Media Management </t>
  </si>
  <si>
    <t>Hootsuite Inc.</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</si>
  <si>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</si>
  <si>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</si>
  <si>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</si>
  <si>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</si>
  <si>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</si>
  <si>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</si>
  <si>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</si>
  <si>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</si>
  <si>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</si>
  <si>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</si>
  <si>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</si>
  <si>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</si>
  <si>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</si>
  <si>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</si>
  <si>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</si>
  <si>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</si>
  <si>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</si>
  <si>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</si>
  <si>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</si>
  <si>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</si>
  <si>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</si>
  <si>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</si>
  <si>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</si>
  <si>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BMJ</t>
  </si>
  <si>
    <t>Alasdair Munro</t>
  </si>
  <si>
    <t>Dr Graham Mackenzie_xD83C__xDDEA__xD83C__xDDFA_</t>
  </si>
  <si>
    <t>Julio Mayol</t>
  </si>
  <si>
    <t>gabagool_gash_girl</t>
  </si>
  <si>
    <t>Timothy Caulfield</t>
  </si>
  <si>
    <t>_xD83D__xDE00_</t>
  </si>
  <si>
    <t>FriendsOfSciMed</t>
  </si>
  <si>
    <t>The Spoonless Kitchen</t>
  </si>
  <si>
    <t>Paul Langton</t>
  </si>
  <si>
    <t>Kamran Abbasi</t>
  </si>
  <si>
    <t>fiona godlee</t>
  </si>
  <si>
    <t>David Berger #KeepAustraliaZeroCovid</t>
  </si>
  <si>
    <t>Magnus Westerstrand</t>
  </si>
  <si>
    <t>Wim Ceelen</t>
  </si>
  <si>
    <t>Jennifer Thompson</t>
  </si>
  <si>
    <t>Itai Bavli</t>
  </si>
  <si>
    <t>Gerardo Soca</t>
  </si>
  <si>
    <t>Victor Dayan</t>
  </si>
  <si>
    <t>Joaquín Bazzano</t>
  </si>
  <si>
    <t>_xD83E__xDD1A__xD83C__xDFFB_ NoToquenNada</t>
  </si>
  <si>
    <t>Sebastián González-Dambrauskas, MD _xD83D__xDC68_‍⚕️_xD83C__xDFE5__xD83C__xDF0E_</t>
  </si>
  <si>
    <t>Sam Trethewey</t>
  </si>
  <si>
    <t>Bongani Mayosi Health Sciences Library (BMHSL)</t>
  </si>
  <si>
    <t>Torben L. Sørensen</t>
  </si>
  <si>
    <t>Ketil Slagstad</t>
  </si>
  <si>
    <t>Deirdre Bonnycastle</t>
  </si>
  <si>
    <t>small pharma</t>
  </si>
  <si>
    <t>Christel Binnie (she / her)</t>
  </si>
  <si>
    <t>Juan Turnes</t>
  </si>
  <si>
    <t>Kaye Beach</t>
  </si>
  <si>
    <t>Sergey Minaev</t>
  </si>
  <si>
    <t>#ONCE Abuela de viaje</t>
  </si>
  <si>
    <t>Juan Schmukler</t>
  </si>
  <si>
    <t>Deci _xD83E__xDD0D_</t>
  </si>
  <si>
    <t>Aaron Ginn</t>
  </si>
  <si>
    <t>A Potato Formerly Known As Nikki Reimer</t>
  </si>
  <si>
    <t>Gabriela Zavala</t>
  </si>
  <si>
    <t>Elaine Macaninch RD</t>
  </si>
  <si>
    <t>Gabriel Bosslet</t>
  </si>
  <si>
    <t>Dom Crocombe</t>
  </si>
  <si>
    <t>Tanya Selak</t>
  </si>
  <si>
    <t>Kavitha_Nades _xD83D__xDC99_</t>
  </si>
  <si>
    <t>Rajesh Mohan_xD83C__xDF08_--PPE for FRONTLINE--</t>
  </si>
  <si>
    <t>E Donnachie _xD83C__xDDEC__xD83C__xDDE7__xD83C__xDDE9__xD83C__xDDEA_</t>
  </si>
  <si>
    <t>American Institute for Economic Research</t>
  </si>
  <si>
    <t>Shannon Brownlee</t>
  </si>
  <si>
    <t>Jeanne Lenzer</t>
  </si>
  <si>
    <t>Health Nerd</t>
  </si>
  <si>
    <t>David Gorski, MD, PhD</t>
  </si>
  <si>
    <t>the sailing science shill ⛵️</t>
  </si>
  <si>
    <t>Sarah Cowley</t>
  </si>
  <si>
    <t>Michael</t>
  </si>
  <si>
    <t>Jameson Voss MD MPH</t>
  </si>
  <si>
    <t>SciCommArt</t>
  </si>
  <si>
    <t>Sharing Science</t>
  </si>
  <si>
    <t>Lautaro Lasorsa</t>
  </si>
  <si>
    <t>Abbie Wightwick</t>
  </si>
  <si>
    <t>Catherine LF Chin</t>
  </si>
  <si>
    <t>Peter Guhl (@bones0@chaos.social)</t>
  </si>
  <si>
    <t>Onysoikimalypans</t>
  </si>
  <si>
    <t>Ollie Minton</t>
  </si>
  <si>
    <t>Aaliya _xD83D__xDC99_</t>
  </si>
  <si>
    <t>16949344</t>
  </si>
  <si>
    <t>1392483492</t>
  </si>
  <si>
    <t>1206145507</t>
  </si>
  <si>
    <t>28655732</t>
  </si>
  <si>
    <t>1068327683455635457</t>
  </si>
  <si>
    <t>407395156</t>
  </si>
  <si>
    <t>1154283898358001664</t>
  </si>
  <si>
    <t>1421951876</t>
  </si>
  <si>
    <t>1001537091497529349</t>
  </si>
  <si>
    <t>3159891534</t>
  </si>
  <si>
    <t>21150961</t>
  </si>
  <si>
    <t>16947009</t>
  </si>
  <si>
    <t>87765761</t>
  </si>
  <si>
    <t>1291005157111726080</t>
  </si>
  <si>
    <t>967102272973897728</t>
  </si>
  <si>
    <t>30304483</t>
  </si>
  <si>
    <t>1265145373</t>
  </si>
  <si>
    <t>844655640421318657</t>
  </si>
  <si>
    <t>311655376</t>
  </si>
  <si>
    <t>117142346</t>
  </si>
  <si>
    <t>804126724049014784</t>
  </si>
  <si>
    <t>865152539418873856</t>
  </si>
  <si>
    <t>740001548</t>
  </si>
  <si>
    <t>360095992</t>
  </si>
  <si>
    <t>701531567114555392</t>
  </si>
  <si>
    <t>4831809603</t>
  </si>
  <si>
    <t>525074650</t>
  </si>
  <si>
    <t>112873068</t>
  </si>
  <si>
    <t>273581909</t>
  </si>
  <si>
    <t>14828635</t>
  </si>
  <si>
    <t>3395637394</t>
  </si>
  <si>
    <t>37255347</t>
  </si>
  <si>
    <t>1278852594606235654</t>
  </si>
  <si>
    <t>184789840</t>
  </si>
  <si>
    <t>22877951</t>
  </si>
  <si>
    <t>2279761149</t>
  </si>
  <si>
    <t>156179754</t>
  </si>
  <si>
    <t>84645066</t>
  </si>
  <si>
    <t>20240451</t>
  </si>
  <si>
    <t>1552074888</t>
  </si>
  <si>
    <t>1271892873999527943</t>
  </si>
  <si>
    <t>842278113727922177</t>
  </si>
  <si>
    <t>756577921607794688</t>
  </si>
  <si>
    <t>37975072</t>
  </si>
  <si>
    <t>96366316</t>
  </si>
  <si>
    <t>2391647941</t>
  </si>
  <si>
    <t>4175759465</t>
  </si>
  <si>
    <t>85227160</t>
  </si>
  <si>
    <t>891413648</t>
  </si>
  <si>
    <t>19346120</t>
  </si>
  <si>
    <t>525984544</t>
  </si>
  <si>
    <t>1331611799053955073</t>
  </si>
  <si>
    <t>823586959868264449</t>
  </si>
  <si>
    <t>580776329</t>
  </si>
  <si>
    <t>24520567</t>
  </si>
  <si>
    <t>796300684769562624</t>
  </si>
  <si>
    <t>322466270</t>
  </si>
  <si>
    <t>333495548</t>
  </si>
  <si>
    <t>3078395160</t>
  </si>
  <si>
    <t>The BMJ is patient centred, evidence based, and independent. Help us improve the health of our world with the best science, journalism, education, and comment</t>
  </si>
  <si>
    <t>Paediatric Registrar | Clinical Research Fellow Paediatric Infectious diseases @southamptonCRF | @DFTBubbles #COVID19 evidence review lead | Husband and dad</t>
  </si>
  <si>
    <t>_xD83C__xDDEA__xD83C__xDDFA_GP trainee after hospital posts &amp; #PublicHealth | Social media analysis to study health issues (_xD83D__xDC53_blog for details &amp; papers)| Musician_xD83C__xDFB7__xD83C__xDFB6_| Dad*3| Married</t>
  </si>
  <si>
    <t>Prof. Surgery, CMO, Hospital Clinico, Universidad Complutense Madrid. BJSS Secretary. @SurgJournal Digital Media editor. @SEIQuirurgica president</t>
  </si>
  <si>
    <t>Fempress Extraordinaire _xD83D__xDC69__xD83C__xDFFF_‍_xD83C__xDFA4__xD83C__xDFCB_️‍♀️
MD/PhD _xD83C__xDFE5_ _xD83D__xDC69__xD83C__xDFFF_‍⚕️, 
Remote Viewer _xD83C__xDFAE__xD83D__xDC53__xD83D__xDFE9__xD83D__xDEAA_ 
#bitcoin #openschools</t>
  </si>
  <si>
    <t>Professor of health law &amp; science policy, speaker, TV host &amp; author. Instagram: @CaulfieldTim #GoScience! #ScienceUpFirst!</t>
  </si>
  <si>
    <t>Nauubusan na talaga ako ng pasensya a</t>
  </si>
  <si>
    <t>Friends of Science in Medicine. Promote scientific evidence of clinical effectiveness underpinning delivery of health care in Australia. Following ≠ endorsement</t>
  </si>
  <si>
    <t>Cooking the pandemic! Disinformation allergy. Cover: Emma Hassencahl-Perley's White Flag incorporates shreds of the Indian Act sewn onto a Canadian Flag.</t>
  </si>
  <si>
    <t>Medical Science nerd &amp; Academic. From Global Health to Molecular Biol - with Hearts always the centre. HRW fan. Yamatji</t>
  </si>
  <si>
    <t>Medical editor, cricket writer, international homebird, cat herder. BMJ | JRSM | Dawn | PakSpin. My new book, ‘Englistan’, is available from Amazon.</t>
  </si>
  <si>
    <t>Editor in chief, The BMJ</t>
  </si>
  <si>
    <t>_xD83C__xDDEC__xD83C__xDDE7__xD83C__xDDE9__xD83C__xDDEA_ GP emergency doctor in _xD83C__xDDE6__xD83C__xDDFA_. Medicine is a social science and politics is nothing else but medicine on a large scale. Rudolf Virchow.</t>
  </si>
  <si>
    <t>Environmental Utilitarian, I hope!
PhD applied geology... Random tweets about, mine waste, water but mostly climate.</t>
  </si>
  <si>
    <t>Surgical Oncologist @uzgent | Faculty @UGent | #EvidenceBasedSurgery teacher | Proud father | #MountainLife aficionado</t>
  </si>
  <si>
    <t>Scientist &amp; Assistant Professor. Exploring mechanistic links b/w in utero exposures and cardio-metabolic health. Opinions are my own.</t>
  </si>
  <si>
    <t>Visiting Fellow @Harvard History of Science | Centre for Applied ethics @UBC | Racism &amp; health | Drug regulation | COI | Harms of public health interventions</t>
  </si>
  <si>
    <t>Cirujano cardiaco staff: Instituto Nacional de Cirugía Cardiaca. INCC. Ex. docente C.C. Hospital de Clínicas. UdelaR. Editor jefe anterior de la RUC.</t>
  </si>
  <si>
    <t>Prof.Adj Cirugia Cardiaca. PhD. Harvard Scholar in Surgical Leadership. ExPresidente de la SUC. Investigador nivel 2 ANII. Estudiante de MPH en LSHTM.</t>
  </si>
  <si>
    <t>Uruguayo, médico, especialista en Administración de Servicios de Salud, Magister en Salud Pública del @LSHTM. Member of @GBUAuy.</t>
  </si>
  <si>
    <t>Joel Rosenberg, @sweleiva y @darwinyoparami ⏰ Lunes a sábados de 8:00 a 12:00h _xD83D__xDCF2__xD83D__xDD0A_ Por @DelSolUy en @magnoliouy</t>
  </si>
  <si>
    <t>_xD83C__xDDFA__xD83C__xDDFE_ Matilde's Dad/ Skeptic &amp; independent #PedsICU pediatrician #zentensivist / Chair @LA_Rednetwork /  @PedCritCareMed _xD83D__xDCD6_ #SoMe Ambassador _xD83D__xDCF2_ Tweets: own view</t>
  </si>
  <si>
    <t>Clinical Research Physician in UK primary care. Interested in strategies to combat medical misinformation online. Avid fun-runner, festival goer &amp; happy camper.</t>
  </si>
  <si>
    <t>The UCT Bongani Mayosis Health Sciences Library is situated at the Health Sciences Campus and serves all the divisions and departments of the HS Faculty.</t>
  </si>
  <si>
    <t>Professor of Ophthalmology Zealand University Hospital, University of Copenhagen #AMD #ophthalmology #retina #aging #immunology #medicalschool #medicine #MedEd</t>
  </si>
  <si>
    <t>MD, PhD student, History of Medicine, University of Oslo / Institut für Geschichte der Medizin, Charité Universitätsmedizin Berlin. (he/him)</t>
  </si>
  <si>
    <t>Retired post secondary teacher trying hard to adjust to retirement. Please note, I closed my professional account, so please don't follow me unless friend.</t>
  </si>
  <si>
    <t>doctorate of dope</t>
  </si>
  <si>
    <t>Passionate about #science, #communication, #development, #technology, #education, #yoga, &amp; #guineapigs. German by birth, Canadian by choice. Tweets are my own.</t>
  </si>
  <si>
    <t>MD, PhD, Chief of Gastroenterology &amp; Hepatology in @Pontegastro / Secretary @AEEHLiver / Social Media Editor @LiverInt / #LiverTwitter
RT/Fav ≠ endorsement</t>
  </si>
  <si>
    <t>Whatever suits your narrative best.</t>
  </si>
  <si>
    <t>Professor of pediatric surgery #sminaev #SurgTweeting #pediatric #surgery #healthtech #digitalhealth #ILookLikeASurgeon #Health</t>
  </si>
  <si>
    <t>Nunca no quiero estar de viaje.
Bibliotecas y archivos, pasión de multitudes (?)
Aguante el Acceso Abierto!</t>
  </si>
  <si>
    <t>TRANSPIRING THE T-SHIRT</t>
  </si>
  <si>
    <t>Historiadora. Investigadora adjunta (CONICET) y docente de Pensamiento argentino y latinoamericano (UBA). Armé unas clases en YouTube. Escribí No esenciales.</t>
  </si>
  <si>
    <t>Cofounder of @joinlincoln and others. alum: growth @everlane @stumbleupon and @MittRomney 2012. Saved by grace for καινὸν οὐρανός γῆν. #skeptic #crossfit #keto</t>
  </si>
  <si>
    <t>Writer of non-fiction &amp; poetry | #HEWEB | Chris Reimer Legacy Fund | Neurodivergent, chronically fabulous | She/they/not a lady. Slow Reads @reimerreads</t>
  </si>
  <si>
    <t>Med student @MEDICINA_UPCH. Padawan in training. Hopefully a lifelong learner.  "We are here to add what we can to life, not to get what we can from life."- W.O</t>
  </si>
  <si>
    <t>_xD83C__xDF53_#NutritionEducation #MedEd
_xD83D__xDC6D__xD83C__xDFFC_#TwinMum  
_xD83C__xDFE5_#Dietitian 
@ERimNN @culinarymeduk @NNEdPro @bsmsmedschool  https://t.co/6Nrgyzu3rk</t>
  </si>
  <si>
    <t>Father of four, husband to @Bossletmd, Pulmonary and Critical Care fellowship director, Assistant Dean of Faculty Development @iumedschool  I run to stay sane.</t>
  </si>
  <si>
    <t>Medical doctor. Interested in nutrition, metabolism &amp; global health. #Gastro #Hepatology #NCDs #FOAMEd</t>
  </si>
  <si>
    <t>Anaesthetist. Used to be interesting. Now only talks about robotic vacuums and slow cookers while waiting for NZ border to open.</t>
  </si>
  <si>
    <t>Rheumatologist at BTHFT, interested in osteoporosis and medical education. Mum of 4, social runner and life optimist. Views expressed are my own.</t>
  </si>
  <si>
    <t>Psychiatrist @MaudsleyNHS Chair #Rehabilitation &amp; Social Psychiatry Faculty @rcpsych Equality lead #BLM #RehabPsych #BioPsychoSocial #Coproduction #MindBody</t>
  </si>
  <si>
    <t>Statistician</t>
  </si>
  <si>
    <t>Integrity, research, and principle in the study of markets since 1933. @BastiatSociety @SoundMoneyProj</t>
  </si>
  <si>
    <t>SVP Lown Institute, author of Overtreated, member of @RightCareNow, advocate for radically transforming our unjust, wasteful healthcare system, and potter.</t>
  </si>
  <si>
    <t>Investigative journalist/author: The Danger Within Us. Bylines: Washington Post, NY Times, Smithsonian, Atlantic, The BMJ and former MIT Knight J-Fellow.</t>
  </si>
  <si>
    <t>Epidemiologist. Writer (Guardian, Observer etc). "Well known research trouble-maker". PhDing at @UoW Host of @senscipod Email gidmk.healthnerd@gmail.com he/him</t>
  </si>
  <si>
    <t>Surgeon/scientist promoting science in medicine and exposing quackery. Editor of Science-Based Medicine. My opinions do NOT represent those of my employers.</t>
  </si>
  <si>
    <t>Biological sciences major former Undergraduate researcher Aspiring future physician-scientist, Science Nerd, Humanist he/him/his. BLM &amp; please wear a mask _xD83D__xDE37_</t>
  </si>
  <si>
    <t>Academic health visitor now retired after 20 years at King’s College London, in practice before that. DBE 2013. Trustee for Institute of Health Visiting. Pro-EU</t>
  </si>
  <si>
    <t>Preventive Medicine physician; #Covid19, precision medicine, biotech, health security, extinction risk; all opinions my own</t>
  </si>
  <si>
    <t>Hi, visitor! I am a friendly bot. 
I re/tweet (infrequently) #sciart #scipol #scidip and #scicomm.</t>
  </si>
  <si>
    <t>Account of the Sharing Science Program @theAGU. RT &amp; links ≠endorsement.</t>
  </si>
  <si>
    <t>Este Twitter fue creado con la sola intención de que me etiqueten en discusiones donde les interese mi opinión.
ig: @lautarolasorsa</t>
  </si>
  <si>
    <t>Education Editor at WalesOnline and Western Mail.Mother of three young adults</t>
  </si>
  <si>
    <t>accomplished fundraiser &amp; marcomms professional &amp; sales agent for @ukfundraising &amp; founder of @orncgreenwich choir &amp; tudor/naval art history storyteller</t>
  </si>
  <si>
    <t>Youtuber: https://t.co/Xh0Rbmam29 BSc business informatics FHO (St. Gallen). 20 years working in IT. Mastodon: bones0@chaos.social Retweets #Science stuff</t>
  </si>
  <si>
    <t>Kümmernder Vater von vier Töchtern. Verfechter des Rechtsstaats und der Gleichberechtigung von Mann und Frau. Kein Aluhut, keine Faschos. Privat unterwegs.</t>
  </si>
  <si>
    <t>Outnumbered 3:1 by ladies _xD83C__xDFE0_ at work _xD83D__xDC68__xD83C__xDFFC_‍⚕️ clinical lead for palliative medicine &amp; cancer management team @uhsussex, research #survonc #pallonc #fatigue #hpm</t>
  </si>
  <si>
    <t>Trailblazer NHS GP @fairhealthuk &amp; @DOTW_UK GP • @MidRCGP Board &amp; #BAME Rep • @NHSCommunityCH Team • Speaker • Writer • Livetweets • DM for Work</t>
  </si>
  <si>
    <t>London Beijing Delhi New York</t>
  </si>
  <si>
    <t>United Kingdom</t>
  </si>
  <si>
    <t>Edinburgh, Scotland</t>
  </si>
  <si>
    <t>Madrid - #Global</t>
  </si>
  <si>
    <t>Yonia</t>
  </si>
  <si>
    <t>Edmonton Canada</t>
  </si>
  <si>
    <t>Otw to be infected</t>
  </si>
  <si>
    <t>Australia</t>
  </si>
  <si>
    <t>skeets are dying to know</t>
  </si>
  <si>
    <t>Cambridge, England</t>
  </si>
  <si>
    <t>UK</t>
  </si>
  <si>
    <t>Planet of Smashed Paradigms</t>
  </si>
  <si>
    <t>Gävle, Sweden</t>
  </si>
  <si>
    <t>Montevideo, Uruguay</t>
  </si>
  <si>
    <t>Montevideo</t>
  </si>
  <si>
    <t>København, Danmark</t>
  </si>
  <si>
    <t>Saskatoon, Saskatchewan</t>
  </si>
  <si>
    <t>bay area</t>
  </si>
  <si>
    <t>Canada</t>
  </si>
  <si>
    <t>Pontevedra, Spain</t>
  </si>
  <si>
    <t>Central Oklahoma</t>
  </si>
  <si>
    <t>Argentina</t>
  </si>
  <si>
    <t>Chicago, IL</t>
  </si>
  <si>
    <t>Treaty 7 Territory (Calgary)</t>
  </si>
  <si>
    <t>Lima, Peru</t>
  </si>
  <si>
    <t>Brighton, England</t>
  </si>
  <si>
    <t>Indianapolis, IN</t>
  </si>
  <si>
    <t xml:space="preserve">Australia </t>
  </si>
  <si>
    <t>München, Bayern</t>
  </si>
  <si>
    <t>Great Barrington, MA</t>
  </si>
  <si>
    <t>Washington, DC</t>
  </si>
  <si>
    <t>New York, USA</t>
  </si>
  <si>
    <t>Sydney, New South Wales</t>
  </si>
  <si>
    <t>Michigan, USA</t>
  </si>
  <si>
    <t>Bournemouth UK</t>
  </si>
  <si>
    <t>Vallejo, CA</t>
  </si>
  <si>
    <t>Cardiff, Wales</t>
  </si>
  <si>
    <t>Canuck in blighty...</t>
  </si>
  <si>
    <t>Switzerland</t>
  </si>
  <si>
    <t>Right on  Brighton _xD83D__xDCAF__xD83E__xDD84__xD83C__xDF0A__xD83C__xDF08_</t>
  </si>
  <si>
    <t xml:space="preserve">Birmingham, England  </t>
  </si>
  <si>
    <t>Open Twitter Page for This Person</t>
  </si>
  <si>
    <t>bmj_latest
"Academic discourse must focus
on responding to reasoned argument,
along with transparency around
potential conflicts of interest,
rather than the motives or character
of individuals." Raj Bhopal and
@apsmunro on why society needs
civil academic discourse https://t.co/rW9YBRsqD6</t>
  </si>
  <si>
    <t>apsmunro
"Increasing use of traditional
&amp;amp; social media by academics
has brought many benefits. However,
these platforms foster extreme
viewpoints by design." Prof Raj
Bhopal &amp;amp; @apsmunro in @bmj_latest
A few thoughts to follow on using
Twitter more effectively https://t.co/UEygpu1LHu
1/n</t>
  </si>
  <si>
    <t>gmacscotland
"Increasing use of traditional
&amp;amp; social media by academics
has brought many benefits. However,
these platforms foster extreme
viewpoints by design." Prof Raj
Bhopal &amp;amp; @apsmunro in @bmj_latest
A few thoughts to follow on using
Twitter more effectively https://t.co/UEygpu1LHu
1/n</t>
  </si>
  <si>
    <t>juliomayol
"Increasing use of traditional
&amp;amp; social media by academics
has brought many benefits. However,
these platforms foster extreme
viewpoints by design." Prof Raj
Bhopal &amp;amp; @apsmunro in @bmj_latest
A few thoughts to follow on using
Twitter more effectively https://t.co/UEygpu1LHu
1/n</t>
  </si>
  <si>
    <t>gabagool_gash
Scholarly communications harmed
by #covid19 https://t.co/FD7KSvv4Gx
@apsmunro THIS: "Science communication,
including appropriate use of social
media, should be part of postgraduate
training. Learning from the humanities
may also help to foster a more
holistic perspective..."</t>
  </si>
  <si>
    <t>caulfieldtim
Scholarly communications harmed
by #covid19 https://t.co/FD7KSvv4Gx
@apsmunro THIS: "Science communication,
including appropriate use of social
media, should be part of postgraduate
training. Learning from the humanities
may also help to foster a more
holistic perspective..."</t>
  </si>
  <si>
    <t>mwmjenard
"Academic discourse must focus
on responding to reasoned argument,
along with transparency around
potential conflicts of interest,
rather than the motives or character
of individuals." Raj Bhopal and
@apsmunro on why society needs
civil academic discourse https://t.co/rW9YBRsqD6</t>
  </si>
  <si>
    <t>friendsofscimed
Scholarly communications harmed
by #covid19 https://t.co/FD7KSvv4Gx
@apsmunro THIS: "Science communication,
including appropriate use of social
media, should be part of postgraduate
training. Learning from the humanities
may also help to foster a more
holistic perspective..."</t>
  </si>
  <si>
    <t>thespoonless
https://t.co/iXizlk9xcU</t>
  </si>
  <si>
    <t>walangprof
@YouAreLobbyLud @apsmunro @bmj_latest
@fgodlee @KamranAbbasi No retraction,
but a sorta apology from @apsmunro
&amp;amp; BhopalR in the BMJ Rapid
Response https://t.co/V74AnaTV9r</t>
  </si>
  <si>
    <t xml:space="preserve">kamranabbasi
</t>
  </si>
  <si>
    <t xml:space="preserve">fgodlee
</t>
  </si>
  <si>
    <t xml:space="preserve">youarelobbylud
</t>
  </si>
  <si>
    <t>magwes
"Academic discourse must focus
on responding to reasoned argument,
along with transparency around
potential conflicts of interest,
rather than the motives or character
of individuals." Raj Bhopal and
@apsmunro on why society needs
civil academic discourse https://t.co/rW9YBRsqD6</t>
  </si>
  <si>
    <t>wimceelen
"Academic discourse must focus
on responding to reasoned argument,
along with transparency around
potential conflicts of interest,
rather than the motives or character
of individuals." Raj Bhopal and
@apsmunro on why society needs
civil academic discourse https://t.co/rW9YBRsqD6</t>
  </si>
  <si>
    <t>jenniferathomp
"Academic discourse must focus
on responding to reasoned argument,
along with transparency around
potential conflicts of interest,
rather than the motives or character
of individuals." Raj Bhopal and
@apsmunro on why society needs
civil academic discourse https://t.co/rW9YBRsqD6</t>
  </si>
  <si>
    <t>ibavli
"Academic discourse must focus
on responding to reasoned argument,
along with transparency around
potential conflicts of interest,
rather than the motives or character
of individuals." Raj Bhopal and
@apsmunro on why society needs
civil academic discourse https://t.co/rW9YBRsqD6</t>
  </si>
  <si>
    <t>ggsoca
Mañana 8 am estaremos en @NoToquenNada
hablando de ciencia, medicina y
otras yerbas durante la pandemia.
Un placer compartir ronda con @JoaquinBazzano
y @VictorDayan1 2 artículos de
@bmj_latest como disparadores:
https://t.co/fKJZOtQp1C https://t.co/DbSFgtpMx0</t>
  </si>
  <si>
    <t>victordayan1
Mañana 8 am estaremos en @NoToquenNada
hablando de ciencia, medicina y
otras yerbas durante la pandemia.
Un placer compartir ronda con @JoaquinBazzano
y @VictorDayan1 2 artículos de
@bmj_latest como disparadores:
https://t.co/fKJZOtQp1C https://t.co/DbSFgtpMx0</t>
  </si>
  <si>
    <t>joaquinbazzano
Mañana 8 am estaremos en @NoToquenNada
hablando de ciencia, medicina y
otras yerbas durante la pandemia.
Un placer compartir ronda con @JoaquinBazzano
y @VictorDayan1 2 artículos de
@bmj_latest como disparadores:
https://t.co/fKJZOtQp1C https://t.co/DbSFgtpMx0</t>
  </si>
  <si>
    <t xml:space="preserve">notoquennada
</t>
  </si>
  <si>
    <t>sgdambrauskas
Mañana 8 am estaremos en @NoToquenNada
hablando de ciencia, medicina y
otras yerbas durante la pandemia.
Un placer compartir ronda con @JoaquinBazzano
y @VictorDayan1 2 artículos de
@bmj_latest como disparadores:
https://t.co/fKJZOtQp1C https://t.co/DbSFgtpMx0</t>
  </si>
  <si>
    <t>s_treth
Measured, nuanced, unemotional
views do not go “viral.” But collegiate,
thoughtful, and mutually respectful
dialogue that fully acknowledges
uncertainty is essential for academic
freedom and public trust in scientists,
say Raj Bhopal and @apsmunro https://t.co/FR3hTMnTI0</t>
  </si>
  <si>
    <t>uct_bmhsl
"Academic discourse must focus
on responding to reasoned argument,
along with transparency around
potential conflicts of interest,
rather than the motives or character
of individuals." Raj Bhopal and
@apsmunro on why society needs
civil academic discourse https://t.co/rW9YBRsqD6</t>
  </si>
  <si>
    <t>tlsophtha
"Society deserves academic discourse
that is civil, cool, unbiased,
and objective" @bmj_latest #forskpol
https://t.co/wbVfEdyaQT</t>
  </si>
  <si>
    <t>kslagstad
https://t.co/591tRauRNT https://t.co/jWbUaWp1o3</t>
  </si>
  <si>
    <t>dedebonnycastle
Scholarly communications harmed
by #covid19 https://t.co/FD7KSvv4Gx
@apsmunro THIS: "Science communication,
including appropriate use of social
media, should be part of postgraduate
training. Learning from the humanities
may also help to foster a more
holistic perspective..."</t>
  </si>
  <si>
    <t>xthugginitx
"Academic discourse must focus
on responding to reasoned argument,
along with transparency around
potential conflicts of interest,
rather than the motives or character
of individuals." Raj Bhopal and
@apsmunro on why society needs
civil academic discourse https://t.co/rW9YBRsqD6</t>
  </si>
  <si>
    <t>christelbinnie
Scholarly communications harmed
by #covid19 https://t.co/FD7KSvv4Gx
@apsmunro THIS: "Science communication,
including appropriate use of social
media, should be part of postgraduate
training. Learning from the humanities
may also help to foster a more
holistic perspective..."</t>
  </si>
  <si>
    <t>jturnesv
"Increasing use of traditional
&amp;amp; social media by academics
has brought many benefits. However,
these platforms foster extreme
viewpoints by design." Prof Raj
Bhopal &amp;amp; @apsmunro in @bmj_latest
A few thoughts to follow on using
Twitter more effectively https://t.co/UEygpu1LHu
1/n</t>
  </si>
  <si>
    <t>axxiom
Scholarly communications harmed
by covid-19 | The BMJ https://t.co/LBWLbfM8sd</t>
  </si>
  <si>
    <t>sminaev2015
"Increasing use of traditional
&amp;amp; social media by academics
has brought many benefits. However,
these platforms foster extreme
viewpoints by design." Prof Raj
Bhopal &amp;amp; @apsmunro in @bmj_latest
A few thoughts to follow on using
Twitter more effectively https://t.co/UEygpu1LHu
1/n</t>
  </si>
  <si>
    <t>abuela_viajera
@decimononnica por exponer sus
(fundadas en evidencia) opiniones
se vio atacada personalmente y
amenazada su continuidad académica.
Me hizo acordar a este editorial
reciente de @apsmunro (héroe) en
el BMJ https://t.co/e0M4DdzCQJ
https://t.co/d53QtAI9EP</t>
  </si>
  <si>
    <t>jschmukler
@LasorsaLautaro @decimononnica
@apsmunro https://t.co/e0M4DdzCQJ</t>
  </si>
  <si>
    <t xml:space="preserve">decimononnica
</t>
  </si>
  <si>
    <t>aginnt
"Academic discourse must focus
on responding to reasoned argument,
along with transparency around
potential conflicts of interest,
rather than the motives or character
of individuals." Raj Bhopal and
@apsmunro on why society needs
civil academic discourse https://t.co/rW9YBRsqD6</t>
  </si>
  <si>
    <t>nikkireimer
Scholarly communications harmed
by #covid19 https://t.co/FD7KSvv4Gx
@apsmunro THIS: "Science communication,
including appropriate use of social
media, should be part of postgraduate
training. Learning from the humanities
may also help to foster a more
holistic perspective..."</t>
  </si>
  <si>
    <t>gabrielazavalaw
"Academic discourse must focus
on responding to reasoned argument,
along with transparency around
potential conflicts of interest,
rather than the motives or character
of individuals." Raj Bhopal and
@apsmunro on why society needs
civil academic discourse https://t.co/rW9YBRsqD6</t>
  </si>
  <si>
    <t>macaninch
"Academic discourse must focus
on responding to reasoned argument,
along with transparency around
potential conflicts of interest,
rather than the motives or character
of individuals." Raj Bhopal and
@apsmunro on why society needs
civil academic discourse https://t.co/rW9YBRsqD6</t>
  </si>
  <si>
    <t>gbosslet
Scholarly communications harmed
by #covid19 https://t.co/FD7KSvv4Gx
@apsmunro THIS: "Science communication,
including appropriate use of social
media, should be part of postgraduate
training. Learning from the humanities
may also help to foster a more
holistic perspective..."</t>
  </si>
  <si>
    <t>domcro
"Academic discourse must focus
on responding to reasoned argument,
along with transparency around
potential conflicts of interest,
rather than the motives or character
of individuals." Raj Bhopal and
@apsmunro on why society needs
civil academic discourse https://t.co/rW9YBRsqD6</t>
  </si>
  <si>
    <t>gonggasgirl
Scholarly communications harmed
by covid-19 | The BMJ https://t.co/cZrNUSrn7b</t>
  </si>
  <si>
    <t>kavitha_nades
"Increasing use of traditional
&amp;amp; social media by academics
has brought many benefits. However,
these platforms foster extreme
viewpoints by design." Prof Raj
Bhopal &amp;amp; @apsmunro in @bmj_latest
A few thoughts to follow on using
Twitter more effectively https://t.co/UEygpu1LHu
1/n</t>
  </si>
  <si>
    <t>raj_psyc
"Increasing use of traditional
&amp;amp; social media by academics
has brought many benefits. However,
these platforms foster extreme
viewpoints by design." Prof Raj
Bhopal &amp;amp; @apsmunro in @bmj_latest
A few thoughts to follow on using
Twitter more effectively https://t.co/UEygpu1LHu
1/n</t>
  </si>
  <si>
    <t>erdonnachie
@shmoopythescie1 @gorskon @GidMK
@JeanneLenzer1 @ShannonBrownlee
@aier I was thinking more of those
who, just a few days ago, were
tweeting about things like this.
Were they just pointing the finger
at others? Ironically, the incident
demonstrates that Twitter is just
a symptom of a deeper underlying
problem. https://t.co/4yYjIzB7YF</t>
  </si>
  <si>
    <t xml:space="preserve">aier
</t>
  </si>
  <si>
    <t xml:space="preserve">shannonbrownlee
</t>
  </si>
  <si>
    <t xml:space="preserve">jeannelenzer1
</t>
  </si>
  <si>
    <t xml:space="preserve">gidmk
</t>
  </si>
  <si>
    <t xml:space="preserve">gorskon
</t>
  </si>
  <si>
    <t xml:space="preserve">shmoopythescie1
</t>
  </si>
  <si>
    <t>profsarahcowley
"Debate is a key driver of advances
in healthcare, and we must all
recognise that being wrong is an
invaluable part of the scientific
process" Wise words here about
the often intemperate responses
on SM. Scholarly communications
harmed by covid-19 https://t.co/A4knbXyzMd</t>
  </si>
  <si>
    <t>michaeldavidj
"Academic discourse must focus
on responding to reasoned argument,
along with transparency around
potential conflicts of interest,
rather than the motives or character
of individuals." Raj Bhopal and
@apsmunro on why society needs
civil academic discourse https://t.co/rW9YBRsqD6</t>
  </si>
  <si>
    <t>jamesonvoss
"Academic discourse must focus
on responding to reasoned argument,
along with transparency around
potential conflicts of interest,
rather than the motives or character
of individuals." Raj Bhopal and
@apsmunro on why society needs
civil academic discourse https://t.co/rW9YBRsqD6</t>
  </si>
  <si>
    <t>b0tsci
Scholarly communications harmed
by covid-19 https://t.co/dLXW7IdyJU
#SciComm #COVID #SciWri #SciSharSci
https://t.co/rIHN2iWqkQ</t>
  </si>
  <si>
    <t>agu_scicomm
Scholarly communications harmed
by covid-19 https://t.co/kSJJeavLuk
#SciComm #COVID #SciWri #SciSharSci
https://t.co/WLd8RgeoWB</t>
  </si>
  <si>
    <t>lasorsalautaro
@LasorsaLautaro @decimononnica
@apsmunro https://t.co/e0M4DdzCQJ</t>
  </si>
  <si>
    <t>abbiewightwick
Plea for dignity and respect in
science in divided times from ⁦⁦@bmj_latest⁩
https://t.co/n0AhCvSDeq</t>
  </si>
  <si>
    <t>fundmarksol
Plea for dignity and respect in
science in divided times from ⁦⁦@bmj_latest⁩
https://t.co/n0AhCvSDeq</t>
  </si>
  <si>
    <t>chabis_ch
Scholarly communications harmed
by covid-19 https://t.co/tqUTLju2gc
#SciComm #COVID #SciWri #SciSharSci
https://t.co/CHEss6L7b1</t>
  </si>
  <si>
    <t>drako_law
Measured, nuanced, unemotional
views do not go “viral.” But collegiate,
thoughtful, and mutually respectful
dialogue that fully acknowledges
uncertainty is essential for academic
freedom and public trust in scientists,
say Raj Bhopal and @apsmunro https://t.co/FR3hTMnTI0</t>
  </si>
  <si>
    <t>drol007
https://t.co/msQPYh6vYX</t>
  </si>
  <si>
    <t>aaliya_uk
"Increasing use of traditional
&amp;amp; social media by academics
has brought many benefits. However,
these platforms foster extreme
viewpoints by design." Prof Raj
Bhopal &amp;amp; @apsmunro in @bmj_latest
A few thoughts to follow on using
Twitter more effectively https://t.co/UEygpu1LHu
1/n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</si>
  <si>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</si>
  <si>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</si>
  <si>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</si>
  <si>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</si>
  <si>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</si>
  <si>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</si>
  <si>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</si>
  <si>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</si>
  <si>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</si>
  <si>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</si>
  <si>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</si>
  <si>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</si>
  <si>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</si>
  <si>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</si>
  <si>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</si>
  <si>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</si>
  <si>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</si>
  <si>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</si>
  <si>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</si>
  <si>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</si>
  <si>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</si>
  <si>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</si>
  <si>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https://www.bmj.com/content/372/bmj.n742</t>
  </si>
  <si>
    <t>https://www.bmj.com/content/372/bmj.n742?utm_source=twitter&amp;utm_medium=social&amp;utm_term=hootsuite&amp;utm_content=sme&amp;utm_campaign=usage</t>
  </si>
  <si>
    <t>https://blogs.bmj.com/bmj/2021/03/22/an-open-plea-for-dignity-and-respect-in-science/</t>
  </si>
  <si>
    <t>https://www.bmj.com/lookup/doi/10.1136/bmj.n742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</si>
  <si>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</si>
  <si>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</si>
  <si>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</si>
  <si>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</si>
  <si>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</si>
  <si>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</si>
  <si>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</si>
  <si>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</si>
  <si>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</si>
  <si>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</si>
  <si>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</si>
  <si>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</si>
  <si>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</si>
  <si>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</si>
  <si>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</si>
  <si>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</si>
  <si>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</si>
  <si>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</si>
  <si>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https://www.bmj.com/content/372/bmj.n742?utm_source=twitter&amp;utm_medium=social&amp;utm_term=hootsuite&amp;utm_content=sme&amp;utm_campaign=usage https://www.bmj.com/content/372/bmj.n742</t>
  </si>
  <si>
    <t>https://www.bmj.com/content/372/bmj.n742 https://www.bmj.com/content/372/bmj.n742?utm_source=twitter&amp;utm_medium=social&amp;utm_term=hootsuite&amp;utm_content=sme&amp;utm_campaign=usage</t>
  </si>
  <si>
    <t>https://www.bmj.com/content/372/bmj.n742 https://www.bmj.com/lookup/doi/10.1136/bmj.n742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</si>
  <si>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</si>
  <si>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</si>
  <si>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</si>
  <si>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</si>
  <si>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</si>
  <si>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</si>
  <si>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</si>
  <si>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</si>
  <si>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</si>
  <si>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</si>
  <si>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</si>
  <si>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scicomm</t>
  </si>
  <si>
    <t>covid</t>
  </si>
  <si>
    <t>sciwri</t>
  </si>
  <si>
    <t>scisharsci</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</si>
  <si>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</si>
  <si>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</si>
  <si>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</si>
  <si>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</si>
  <si>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</si>
  <si>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</si>
  <si>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</si>
  <si>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</si>
  <si>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</si>
  <si>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</si>
  <si>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academic</t>
  </si>
  <si>
    <t>discourse</t>
  </si>
  <si>
    <t>raj</t>
  </si>
  <si>
    <t>bhopal</t>
  </si>
  <si>
    <t>scholarly</t>
  </si>
  <si>
    <t>communications</t>
  </si>
  <si>
    <t>harmed</t>
  </si>
  <si>
    <t>more</t>
  </si>
  <si>
    <t>Top Words in Tweet in G1</t>
  </si>
  <si>
    <t>use</t>
  </si>
  <si>
    <t>social</t>
  </si>
  <si>
    <t>media</t>
  </si>
  <si>
    <t>foster</t>
  </si>
  <si>
    <t>Top Words in Tweet in G2</t>
  </si>
  <si>
    <t>increasing</t>
  </si>
  <si>
    <t>traditional</t>
  </si>
  <si>
    <t>Top Words in Tweet in G3</t>
  </si>
  <si>
    <t>Top Words in Tweet in G4</t>
  </si>
  <si>
    <t>19</t>
  </si>
  <si>
    <t>bmj</t>
  </si>
  <si>
    <t>Top Words in Tweet in G5</t>
  </si>
  <si>
    <t>mañana</t>
  </si>
  <si>
    <t>8</t>
  </si>
  <si>
    <t>estaremos</t>
  </si>
  <si>
    <t>hablando</t>
  </si>
  <si>
    <t>ciencia</t>
  </si>
  <si>
    <t>medicina</t>
  </si>
  <si>
    <t>otras</t>
  </si>
  <si>
    <t>yerbas</t>
  </si>
  <si>
    <t>durante</t>
  </si>
  <si>
    <t>Top Words in Tweet in G6</t>
  </si>
  <si>
    <t>exponer</t>
  </si>
  <si>
    <t>sus</t>
  </si>
  <si>
    <t>fundadas</t>
  </si>
  <si>
    <t>evidencia</t>
  </si>
  <si>
    <t>opiniones</t>
  </si>
  <si>
    <t>vio</t>
  </si>
  <si>
    <t>atacada</t>
  </si>
  <si>
    <t>Top Words in Tweet in G7</t>
  </si>
  <si>
    <t>Top Words in Tweet in G8</t>
  </si>
  <si>
    <t>#scicomm</t>
  </si>
  <si>
    <t>#covid</t>
  </si>
  <si>
    <t>#sciwri</t>
  </si>
  <si>
    <t>#scisharsci</t>
  </si>
  <si>
    <t>Top Words in Tweet</t>
  </si>
  <si>
    <t>academic apsmunro discourse raj bhopal use social media foster more</t>
  </si>
  <si>
    <t>raj bhopal apsmunro academic discourse bmj_latest increasing use traditional social</t>
  </si>
  <si>
    <t>scholarly communications harmed covid 19 bmj</t>
  </si>
  <si>
    <t>mañana 8 estaremos notoquennada hablando ciencia medicina otras yerbas durante</t>
  </si>
  <si>
    <t>decimononnica apsmunro lasorsalautaro exponer sus fundadas evidencia opiniones vio atacada</t>
  </si>
  <si>
    <t>scholarly communications harmed covid 19 #scicomm #covid #sciwri #scisharsci</t>
  </si>
  <si>
    <t>Top Word Pairs in Tweet in Entire Graph</t>
  </si>
  <si>
    <t>academic,discourse</t>
  </si>
  <si>
    <t>raj,bhopal</t>
  </si>
  <si>
    <t>bhopal,apsmunro</t>
  </si>
  <si>
    <t>scholarly,communications</t>
  </si>
  <si>
    <t>communications,harmed</t>
  </si>
  <si>
    <t>social,media</t>
  </si>
  <si>
    <t>discourse,focus</t>
  </si>
  <si>
    <t>focus,responding</t>
  </si>
  <si>
    <t>responding,reasoned</t>
  </si>
  <si>
    <t>reasoned,argument</t>
  </si>
  <si>
    <t>Top Word Pairs in Tweet in G1</t>
  </si>
  <si>
    <t>argument,along</t>
  </si>
  <si>
    <t>along,transparency</t>
  </si>
  <si>
    <t>Top Word Pairs in Tweet in G2</t>
  </si>
  <si>
    <t>increasing,use</t>
  </si>
  <si>
    <t>use,traditional</t>
  </si>
  <si>
    <t>traditional,social</t>
  </si>
  <si>
    <t>media,academics</t>
  </si>
  <si>
    <t>academics,brought</t>
  </si>
  <si>
    <t>brought,many</t>
  </si>
  <si>
    <t>Top Word Pairs in Tweet in G3</t>
  </si>
  <si>
    <t>Top Word Pairs in Tweet in G4</t>
  </si>
  <si>
    <t>harmed,covid</t>
  </si>
  <si>
    <t>covid,19</t>
  </si>
  <si>
    <t>19,bmj</t>
  </si>
  <si>
    <t>Top Word Pairs in Tweet in G5</t>
  </si>
  <si>
    <t>mañana,8</t>
  </si>
  <si>
    <t>8,estaremos</t>
  </si>
  <si>
    <t>estaremos,notoquennada</t>
  </si>
  <si>
    <t>notoquennada,hablando</t>
  </si>
  <si>
    <t>hablando,ciencia</t>
  </si>
  <si>
    <t>ciencia,medicina</t>
  </si>
  <si>
    <t>medicina,otras</t>
  </si>
  <si>
    <t>otras,yerbas</t>
  </si>
  <si>
    <t>yerbas,durante</t>
  </si>
  <si>
    <t>durante,pandemia</t>
  </si>
  <si>
    <t>Top Word Pairs in Tweet in G6</t>
  </si>
  <si>
    <t>lasorsalautaro,decimononnica</t>
  </si>
  <si>
    <t>decimononnica,apsmunro</t>
  </si>
  <si>
    <t>decimononnica,exponer</t>
  </si>
  <si>
    <t>exponer,sus</t>
  </si>
  <si>
    <t>sus,fundadas</t>
  </si>
  <si>
    <t>fundadas,evidencia</t>
  </si>
  <si>
    <t>evidencia,opiniones</t>
  </si>
  <si>
    <t>opiniones,vio</t>
  </si>
  <si>
    <t>vio,atacada</t>
  </si>
  <si>
    <t>atacada,personalmente</t>
  </si>
  <si>
    <t>Top Word Pairs in Tweet in G7</t>
  </si>
  <si>
    <t>Top Word Pairs in Tweet in G8</t>
  </si>
  <si>
    <t>19,#scicomm</t>
  </si>
  <si>
    <t>#scicomm,#covid</t>
  </si>
  <si>
    <t>#covid,#sciwri</t>
  </si>
  <si>
    <t>#sciwri,#scisharsci</t>
  </si>
  <si>
    <t>Top Word Pairs in Tweet</t>
  </si>
  <si>
    <t>academic,discourse  raj,bhopal  bhopal,apsmunro  social,media  discourse,focus  focus,responding  responding,reasoned  reasoned,argument  argument,along  along,transparency</t>
  </si>
  <si>
    <t>raj,bhopal  bhopal,apsmunro  academic,discourse  increasing,use  use,traditional  traditional,social  social,media  media,academics  academics,brought  brought,many</t>
  </si>
  <si>
    <t>scholarly,communications  communications,harmed  harmed,covid  covid,19  19,bmj</t>
  </si>
  <si>
    <t>mañana,8  8,estaremos  estaremos,notoquennada  notoquennada,hablando  hablando,ciencia  ciencia,medicina  medicina,otras  otras,yerbas  yerbas,durante  durante,pandemia</t>
  </si>
  <si>
    <t>lasorsalautaro,decimononnica  decimononnica,apsmunro  decimononnica,exponer  exponer,sus  sus,fundadas  fundadas,evidencia  evidencia,opiniones  opiniones,vio  vio,atacada  atacada,personalmente</t>
  </si>
  <si>
    <t>scholarly,communications  communications,harmed  harmed,covid  covid,19  19,#scicomm  #scicomm,#covid  #covid,#sciwri  #sciwri,#scisharsci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</si>
  <si>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</si>
  <si>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</si>
  <si>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</si>
  <si>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</si>
  <si>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</si>
  <si>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</si>
  <si>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</si>
  <si>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</si>
  <si>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</si>
  <si>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</si>
  <si>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</si>
  <si>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</si>
  <si>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</si>
  <si>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</si>
  <si>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</si>
  <si>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</si>
  <si>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</si>
  <si>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</si>
  <si>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</si>
  <si>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lasorsalautaro decimononnica</t>
  </si>
  <si>
    <t>Top Mentioned in Tweet</t>
  </si>
  <si>
    <t>apsmunro bmj_latest</t>
  </si>
  <si>
    <t>gorskon gidmk jeannelenzer1 shannonbrownlee aier</t>
  </si>
  <si>
    <t>notoquennada joaquinbazzano victordayan1 bmj_latest</t>
  </si>
  <si>
    <t>apsmunro decimononnica</t>
  </si>
  <si>
    <t>apsmunro bmj_latest fgodlee kamranabbasi</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</si>
  <si>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</si>
  <si>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</si>
  <si>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</si>
  <si>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</si>
  <si>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</si>
  <si>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</si>
  <si>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</si>
  <si>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</si>
  <si>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</si>
  <si>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</si>
  <si>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mwmjenard caulfieldtim nikkireimer friendsofscimed uct_bmhsl aginnt gbosslet apsmunro jamesonvoss christelbinnie</t>
  </si>
  <si>
    <t>juliomayol sminaev2015 raj_psyc bmj_latest gmacscotland magwes fundmarksol abbiewightwick jturnesv xthugginitx</t>
  </si>
  <si>
    <t>gorskon gidmk aier shannonbrownlee jeannelenzer1 shmoopythescie1 erdonnachie</t>
  </si>
  <si>
    <t>drol007 profsarahcowley axxiom thespoonless gonggasgirl kslagstad</t>
  </si>
  <si>
    <t>notoquennada sgdambrauskas victordayan1 joaquinbazzano ggsoca</t>
  </si>
  <si>
    <t>decimononnica abuela_viajera lasorsalautaro jschmukler</t>
  </si>
  <si>
    <t>kamranabbasi youarelobbylud fgodlee walangprof</t>
  </si>
  <si>
    <t>chabis_ch b0tsci agu_scicomm</t>
  </si>
  <si>
    <t>Top URLs in Tweet by Count</t>
  </si>
  <si>
    <t>Top URLs in Tweet by Salience</t>
  </si>
  <si>
    <t>Top Domains in Tweet by Count</t>
  </si>
  <si>
    <t>Top Domains in Tweet by Salience</t>
  </si>
  <si>
    <t>Top Hashtags in Tweet by Count</t>
  </si>
  <si>
    <t>Top Hashtags in Tweet by Salience</t>
  </si>
  <si>
    <t>Top Words in Tweet by Count</t>
  </si>
  <si>
    <t>increasing use traditional social media academics brought many benefits platforms</t>
  </si>
  <si>
    <t>academic discourse raj bhopal apsmunro focus responding reasoned argument along</t>
  </si>
  <si>
    <t>apsmunro use social media foster more scholarly communications harmed #covid19</t>
  </si>
  <si>
    <t>scholarly communications harmed #covid19 apsmunro science communication including appropriate use</t>
  </si>
  <si>
    <t>academic discourse focus responding reasoned argument along transparency around potential</t>
  </si>
  <si>
    <t>apsmunro youarelobbylud bmj_latest fgodlee kamranabbasi retraction sorta apology bhopalr bmj</t>
  </si>
  <si>
    <t>de y mañana 8 estaremos en notoquennada hablando ciencia medicina</t>
  </si>
  <si>
    <t>measured nuanced unemotional views go viral collegiate thoughtful mutually respectful</t>
  </si>
  <si>
    <t>society deserves academic discourse civil cool unbiased objective bmj_latest #forskpol</t>
  </si>
  <si>
    <t>en decimononnica por exponer sus fundadas evidencia opiniones se vio</t>
  </si>
  <si>
    <t>decimononnica apsmunro en lasorsalautaro por exponer sus fundadas evidencia opiniones</t>
  </si>
  <si>
    <t>shmoopythescie1 gorskon gidmk jeannelenzer1 shannonbrownlee aier thinking more those few</t>
  </si>
  <si>
    <t>debate key driver advances healthcare recognise being wrong invaluable part</t>
  </si>
  <si>
    <t>lasorsalautaro decimononnica apsmunro</t>
  </si>
  <si>
    <t>plea dignity respect science divided times bmj_latest</t>
  </si>
  <si>
    <t>Top Words in Tweet by Salience</t>
  </si>
  <si>
    <t>discourse focus responding reasoned argument along transparency around potential conflicts</t>
  </si>
  <si>
    <t>scholarly communications harmed #covid19 science communication including appropriate part postgraduate</t>
  </si>
  <si>
    <t>en lasorsalautaro por exponer sus fundadas evidencia opiniones se vio</t>
  </si>
  <si>
    <t>Top Word Pairs in Tweet by Count</t>
  </si>
  <si>
    <t>increasing,use  use,traditional  traditional,social  social,media  media,academics  academics,brought  brought,many  many,benefits  benefits,platforms  platforms,foster</t>
  </si>
  <si>
    <t>academic,discourse  raj,bhopal  bhopal,apsmunro  discourse,focus  focus,responding  responding,reasoned  reasoned,argument  argument,along  along,transparency  transparency,around</t>
  </si>
  <si>
    <t>social,media  scholarly,communications  communications,harmed  harmed,#covid19  #covid19,apsmunro  apsmunro,science  science,communication  communication,including  including,appropriate  appropriate,use</t>
  </si>
  <si>
    <t>scholarly,communications  communications,harmed  harmed,#covid19  #covid19,apsmunro  apsmunro,science  science,communication  communication,including  including,appropriate  appropriate,use  use,social</t>
  </si>
  <si>
    <t>academic,discourse  discourse,focus  focus,responding  responding,reasoned  reasoned,argument  argument,along  along,transparency  transparency,around  around,potential  potential,conflicts</t>
  </si>
  <si>
    <t>youarelobbylud,apsmunro  apsmunro,bmj_latest  bmj_latest,fgodlee  fgodlee,kamranabbasi  kamranabbasi,retraction  retraction,sorta  sorta,apology  apology,apsmunro  apsmunro,bhopalr  bhopalr,bmj</t>
  </si>
  <si>
    <t>mañana,8  8,estaremos  estaremos,en  en,notoquennada  notoquennada,hablando  hablando,de  de,ciencia  ciencia,medicina  medicina,y  y,otras</t>
  </si>
  <si>
    <t>measured,nuanced  nuanced,unemotional  unemotional,views  views,go  go,viral  viral,collegiate  collegiate,thoughtful  thoughtful,mutually  mutually,respectful  respectful,dialogue</t>
  </si>
  <si>
    <t>society,deserves  deserves,academic  academic,discourse  discourse,civil  civil,cool  cool,unbiased  unbiased,objective  objective,bmj_latest  bmj_latest,#forskpol</t>
  </si>
  <si>
    <t>decimononnica,por  por,exponer  exponer,sus  sus,fundadas  fundadas,en  en,evidencia  evidencia,opiniones  opiniones,se  se,vio  vio,atacada</t>
  </si>
  <si>
    <t>lasorsalautaro,decimononnica  decimononnica,apsmunro  decimononnica,por  por,exponer  exponer,sus  sus,fundadas  fundadas,en  en,evidencia  evidencia,opiniones  opiniones,se</t>
  </si>
  <si>
    <t>shmoopythescie1,gorskon  gorskon,gidmk  gidmk,jeannelenzer1  jeannelenzer1,shannonbrownlee  shannonbrownlee,aier  aier,thinking  thinking,more  more,those  those,few  few,days</t>
  </si>
  <si>
    <t>debate,key  key,driver  driver,advances  advances,healthcare  healthcare,recognise  recognise,being  being,wrong  wrong,invaluable  invaluable,part  part,scientific</t>
  </si>
  <si>
    <t>lasorsalautaro,decimononnica  decimononnica,apsmunro</t>
  </si>
  <si>
    <t>plea,dignity  dignity,respect  respect,science  science,divided  divided,times  times,bmj_latest</t>
  </si>
  <si>
    <t>Top Word Pairs in Tweet by Salience</t>
  </si>
  <si>
    <t>Word</t>
  </si>
  <si>
    <t>Sentiment List#1</t>
  </si>
  <si>
    <t>Sentiment List#2</t>
  </si>
  <si>
    <t>Sentiment List#3</t>
  </si>
  <si>
    <t>Words in Sentiment List#1</t>
  </si>
  <si>
    <t>Words in Sentiment List#2</t>
  </si>
  <si>
    <t>Words in Sentiment List#3</t>
  </si>
  <si>
    <t>Non-categorized Words</t>
  </si>
  <si>
    <t>Total Words</t>
  </si>
  <si>
    <t>society</t>
  </si>
  <si>
    <t>civil</t>
  </si>
  <si>
    <t>focus</t>
  </si>
  <si>
    <t>responding</t>
  </si>
  <si>
    <t>reasoned</t>
  </si>
  <si>
    <t>argument</t>
  </si>
  <si>
    <t>along</t>
  </si>
  <si>
    <t>transparency</t>
  </si>
  <si>
    <t>around</t>
  </si>
  <si>
    <t>potential</t>
  </si>
  <si>
    <t>conflicts</t>
  </si>
  <si>
    <t>interest</t>
  </si>
  <si>
    <t>motives</t>
  </si>
  <si>
    <t>character</t>
  </si>
  <si>
    <t>individuals</t>
  </si>
  <si>
    <t>needs</t>
  </si>
  <si>
    <t>science</t>
  </si>
  <si>
    <t>part</t>
  </si>
  <si>
    <t>few</t>
  </si>
  <si>
    <t>twitter</t>
  </si>
  <si>
    <t>academics</t>
  </si>
  <si>
    <t>brought</t>
  </si>
  <si>
    <t>many</t>
  </si>
  <si>
    <t>benefits</t>
  </si>
  <si>
    <t>platforms</t>
  </si>
  <si>
    <t>extreme</t>
  </si>
  <si>
    <t>viewpoints</t>
  </si>
  <si>
    <t>design</t>
  </si>
  <si>
    <t>prof</t>
  </si>
  <si>
    <t>thoughts</t>
  </si>
  <si>
    <t>follow</t>
  </si>
  <si>
    <t>using</t>
  </si>
  <si>
    <t>effectively</t>
  </si>
  <si>
    <t>1</t>
  </si>
  <si>
    <t>n</t>
  </si>
  <si>
    <t>#covid19</t>
  </si>
  <si>
    <t>communication</t>
  </si>
  <si>
    <t>including</t>
  </si>
  <si>
    <t>appropriate</t>
  </si>
  <si>
    <t>postgraduate</t>
  </si>
  <si>
    <t>training</t>
  </si>
  <si>
    <t>learning</t>
  </si>
  <si>
    <t>humanities</t>
  </si>
  <si>
    <t>help</t>
  </si>
  <si>
    <t>holistic</t>
  </si>
  <si>
    <t>perspective</t>
  </si>
  <si>
    <t>pandemia</t>
  </si>
  <si>
    <t>placer</t>
  </si>
  <si>
    <t>compartir</t>
  </si>
  <si>
    <t>ronda</t>
  </si>
  <si>
    <t>2</t>
  </si>
  <si>
    <t>artículos</t>
  </si>
  <si>
    <t>disparadores</t>
  </si>
  <si>
    <t>measured</t>
  </si>
  <si>
    <t>nuanced</t>
  </si>
  <si>
    <t>unemotional</t>
  </si>
  <si>
    <t>views</t>
  </si>
  <si>
    <t>go</t>
  </si>
  <si>
    <t>viral</t>
  </si>
  <si>
    <t>collegiate</t>
  </si>
  <si>
    <t>thoughtful</t>
  </si>
  <si>
    <t>mutually</t>
  </si>
  <si>
    <t>respectful</t>
  </si>
  <si>
    <t>dialogue</t>
  </si>
  <si>
    <t>fully</t>
  </si>
  <si>
    <t>acknowledges</t>
  </si>
  <si>
    <t>uncertainty</t>
  </si>
  <si>
    <t>essential</t>
  </si>
  <si>
    <t>freedom</t>
  </si>
  <si>
    <t>public</t>
  </si>
  <si>
    <t>trust</t>
  </si>
  <si>
    <t>scientists</t>
  </si>
  <si>
    <t>plea</t>
  </si>
  <si>
    <t>dignity</t>
  </si>
  <si>
    <t>respect</t>
  </si>
  <si>
    <t>divided</t>
  </si>
  <si>
    <t>times</t>
  </si>
  <si>
    <t>personalmente</t>
  </si>
  <si>
    <t>amenazada</t>
  </si>
  <si>
    <t>continuidad</t>
  </si>
  <si>
    <t>académica</t>
  </si>
  <si>
    <t>hizo</t>
  </si>
  <si>
    <t>acordar</t>
  </si>
  <si>
    <t>editorial</t>
  </si>
  <si>
    <t>reciente</t>
  </si>
  <si>
    <t>héroe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</si>
  <si>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</si>
  <si>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</si>
  <si>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</si>
  <si>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</si>
  <si>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</si>
  <si>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</si>
  <si>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</si>
  <si>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</si>
  <si>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</si>
  <si>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</si>
  <si>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</si>
  <si>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</si>
  <si>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</si>
  <si>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</si>
  <si>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</si>
  <si>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</si>
  <si>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</si>
  <si>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</si>
  <si>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</si>
  <si>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</si>
  <si>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</si>
  <si>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</si>
  <si>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</si>
  <si>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</si>
  <si>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</si>
  <si>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</si>
  <si>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</si>
  <si>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</si>
  <si>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</si>
  <si>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</si>
  <si>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</si>
  <si>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</si>
  <si>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</si>
  <si>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</si>
  <si>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</si>
  <si>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</si>
  <si>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</si>
  <si>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</si>
  <si>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</si>
  <si>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</si>
  <si>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</si>
  <si>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</si>
  <si>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</si>
  <si>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</si>
  <si>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</si>
  <si>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</si>
  <si>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</si>
  <si>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</si>
  <si>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</si>
  <si>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</si>
  <si>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</si>
  <si>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</si>
  <si>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</si>
  <si>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</si>
  <si>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</si>
  <si>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</si>
  <si>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</si>
  <si>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</si>
  <si>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</si>
  <si>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</si>
  <si>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</si>
  <si>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</si>
  <si>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</si>
  <si>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</si>
  <si>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131, 62, 0</t>
  </si>
  <si>
    <t>Red</t>
  </si>
  <si>
    <t>G1: academic apsmunro discourse raj bhopal use social media foster more</t>
  </si>
  <si>
    <t>G2: raj bhopal apsmunro academic discourse bmj_latest increasing use traditional social</t>
  </si>
  <si>
    <t>G4: scholarly communications harmed covid 19 bmj</t>
  </si>
  <si>
    <t>G5: mañana 8 estaremos notoquennada hablando ciencia medicina otras yerbas durante</t>
  </si>
  <si>
    <t>G6: decimononnica apsmunro lasorsalautaro exponer sus fundadas evidencia opiniones vio atacada</t>
  </si>
  <si>
    <t>G7: apsmunro</t>
  </si>
  <si>
    <t>G8: scholarly communications harmed covid 19 #scicomm #covid #sciwri #scisharsci</t>
  </si>
  <si>
    <t>Edge Weight▓1▓3▓0▓True▓Green▓Red▓▓Edge Weight▓1▓1▓0▓3▓10▓False▓Edge Weight▓1▓3▓0▓32▓6▓False▓▓0▓0▓0▓True▓Black▓Black▓▓Followers▓10▓66281▓0▓162▓1000▓False▓Followers▓10▓448772▓0▓100▓70▓False▓▓0▓0▓0▓0▓0▓False▓▓0▓0▓0▓0▓0▓False</t>
  </si>
  <si>
    <t>Subgraph</t>
  </si>
  <si>
    <t>GraphSource░TwitterIDList▓GraphTerm░Tweet ID List - Bhopal and Munro article▓ImportDescription░The graph represents a network of 63 Twitter users whose recent tweets were included in a list (Tweet ID List - Bhopal and Munro article) of 58 tweet IDs,  or who were replied to or mentioned in those tweets.  57 out of 58 tweets were collected.  The network was obtained from Twitter on Monday, 05 April 2021 at 09:23 UTC.
The tweets in the network were tweeted over the 8-day, 16-hour, 18-minute period from Saturday, 27 March 2021 at 17:01 UTC to Monday, 05 April 2021 at 09:19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"mentions".▓ImportSuggestedTitle░NodeXL Twitter Tweet ID List - Bhopal and Munro article Monday, 05 April 2021 at 09:23 UTC▓ImportSuggestedFileNameNoExtension░2021-04-05 09-23-06 NodeXL Tweet ID List - Bhopal and Munro article▓GroupingDescription░The graph's vertices were grouped by cluster using the Clauset-Newman-Moore cluster algorithm.▓LayoutAlgorithm░The graph was laid out using the Harel-Koren Fast Multiscale layout algorithm.▓GraphDirectedness░The graph is directed.</t>
  </si>
  <si>
    <t>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</si>
  <si>
    <t>TwitterIDList</t>
  </si>
  <si>
    <t>Tweet ID List - Bhopal and Munro article</t>
  </si>
  <si>
    <t>The graph represents a network of 63 Twitter users whose recent tweets were included in a list (Tweet ID List - Bhopal and Munro article) of 58 tweet IDs,  or who were replied to or mentioned in those tweets.  57 out of 58 tweets were collected.  The network was obtained from Twitter on Monday, 05 April 2021 at 09:23 UTC.
The tweets in the network were tweeted over the 8-day, 16-hour, 18-minute period from Saturday, 27 March 2021 at 17:01 UTC to Monday, 05 April 2021 at 09:19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</si>
  <si>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</si>
  <si>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</si>
  <si>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https://nodexlgraphgallery.org/Pages/Graph.aspx?graphID=252032</t>
  </si>
  <si>
    <t>https://nodexlgraphgallery.org/Images/Image.ashx?graphID=252032&amp;type=f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</si>
</sst>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6">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5"/>
      <tableStyleElement type="headerRow" dxfId="404"/>
    </tableStyle>
    <tableStyle name="NodeXL Table" pivot="0" count="1">
      <tableStyleElement type="headerRow" dxfId="40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503859"/>
        <c:axId val="10990412"/>
      </c:barChart>
      <c:catAx>
        <c:axId val="385038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990412"/>
        <c:crosses val="autoZero"/>
        <c:auto val="1"/>
        <c:lblOffset val="100"/>
        <c:noMultiLvlLbl val="0"/>
      </c:catAx>
      <c:valAx>
        <c:axId val="10990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03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804845"/>
        <c:axId val="17808150"/>
      </c:barChart>
      <c:catAx>
        <c:axId val="318048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08150"/>
        <c:crosses val="autoZero"/>
        <c:auto val="1"/>
        <c:lblOffset val="100"/>
        <c:noMultiLvlLbl val="0"/>
      </c:catAx>
      <c:valAx>
        <c:axId val="17808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04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55623"/>
        <c:axId val="33174016"/>
      </c:barChart>
      <c:catAx>
        <c:axId val="260556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174016"/>
        <c:crosses val="autoZero"/>
        <c:auto val="1"/>
        <c:lblOffset val="100"/>
        <c:noMultiLvlLbl val="0"/>
      </c:catAx>
      <c:valAx>
        <c:axId val="33174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5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130689"/>
        <c:axId val="2740746"/>
      </c:barChart>
      <c:catAx>
        <c:axId val="301306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40746"/>
        <c:crosses val="autoZero"/>
        <c:auto val="1"/>
        <c:lblOffset val="100"/>
        <c:noMultiLvlLbl val="0"/>
      </c:catAx>
      <c:valAx>
        <c:axId val="2740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30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666715"/>
        <c:axId val="20673844"/>
      </c:barChart>
      <c:catAx>
        <c:axId val="246667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673844"/>
        <c:crosses val="autoZero"/>
        <c:auto val="1"/>
        <c:lblOffset val="100"/>
        <c:noMultiLvlLbl val="0"/>
      </c:catAx>
      <c:valAx>
        <c:axId val="20673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66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846869"/>
        <c:axId val="63968638"/>
      </c:barChart>
      <c:catAx>
        <c:axId val="518468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68638"/>
        <c:crosses val="autoZero"/>
        <c:auto val="1"/>
        <c:lblOffset val="100"/>
        <c:noMultiLvlLbl val="0"/>
      </c:catAx>
      <c:valAx>
        <c:axId val="63968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46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846831"/>
        <c:axId val="14077160"/>
      </c:barChart>
      <c:catAx>
        <c:axId val="388468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077160"/>
        <c:crosses val="autoZero"/>
        <c:auto val="1"/>
        <c:lblOffset val="100"/>
        <c:noMultiLvlLbl val="0"/>
      </c:catAx>
      <c:valAx>
        <c:axId val="14077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46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585577"/>
        <c:axId val="66508146"/>
      </c:barChart>
      <c:catAx>
        <c:axId val="595855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508146"/>
        <c:crosses val="autoZero"/>
        <c:auto val="1"/>
        <c:lblOffset val="100"/>
        <c:noMultiLvlLbl val="0"/>
      </c:catAx>
      <c:valAx>
        <c:axId val="66508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85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702403"/>
        <c:axId val="18450716"/>
      </c:barChart>
      <c:catAx>
        <c:axId val="61702403"/>
        <c:scaling>
          <c:orientation val="minMax"/>
        </c:scaling>
        <c:axPos val="b"/>
        <c:delete val="1"/>
        <c:majorTickMark val="out"/>
        <c:minorTickMark val="none"/>
        <c:tickLblPos val="none"/>
        <c:crossAx val="18450716"/>
        <c:crosses val="autoZero"/>
        <c:auto val="1"/>
        <c:lblOffset val="100"/>
        <c:noMultiLvlLbl val="0"/>
      </c:catAx>
      <c:valAx>
        <c:axId val="18450716"/>
        <c:scaling>
          <c:orientation val="minMax"/>
        </c:scaling>
        <c:axPos val="l"/>
        <c:delete val="1"/>
        <c:majorTickMark val="out"/>
        <c:minorTickMark val="none"/>
        <c:tickLblPos val="none"/>
        <c:crossAx val="617024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aliya_u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bmj_late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apsmunr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gmacscotlan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juliomayo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gabagool_gas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caulfieldti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mwmjenar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friendsofscime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thespoonles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walangprof"/>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kamranabbas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fgodle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youarelobbylu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magwe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wimceel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jenniferathom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ibavl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ggsoc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victordayan1"/>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joaquinbazzan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notoquennad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gdambrauska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s_tret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uct_bmhs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tlsophth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kslagsta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dedebonnycastl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xthugginitx"/>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christelbinni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jturnesv"/>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xxio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sminaev20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buela_viajer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jschmukl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decimononnic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ginn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nikkireim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gabrielazavalaw"/>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macaninch"/>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gbossle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domcr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gonggasgir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kavitha_nade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raj_psyc"/>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erdonnachi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ai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shannonbrownle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annelenzer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gidm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gorsko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hmoopythescie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profsarahcowle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michaeldavidj"/>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jamesonvos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b0tsc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agu_scicom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asorsalautar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abbiewightwick"/>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undmarkso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chabis_ch"/>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drako_law"/>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drol007"/>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26" totalsRowShown="0" headerRowDxfId="402" dataDxfId="366">
  <autoFilter ref="A2:BN126"/>
  <tableColumns count="66">
    <tableColumn id="1" name="Vertex 1" dataDxfId="351"/>
    <tableColumn id="2" name="Vertex 2" dataDxfId="349"/>
    <tableColumn id="3" name="Color" dataDxfId="350"/>
    <tableColumn id="4" name="Width" dataDxfId="375"/>
    <tableColumn id="11" name="Style" dataDxfId="374"/>
    <tableColumn id="5" name="Opacity" dataDxfId="373"/>
    <tableColumn id="6" name="Visibility" dataDxfId="372"/>
    <tableColumn id="10" name="Label" dataDxfId="371"/>
    <tableColumn id="12" name="Label Text Color" dataDxfId="370"/>
    <tableColumn id="13" name="Label Font Size" dataDxfId="369"/>
    <tableColumn id="14" name="Reciprocated?" dataDxfId="255"/>
    <tableColumn id="7" name="ID" dataDxfId="368"/>
    <tableColumn id="9" name="Dynamic Filter" dataDxfId="367"/>
    <tableColumn id="8" name="Add Your Own Columns Here" dataDxfId="348"/>
    <tableColumn id="15" name="Relationship" dataDxfId="347"/>
    <tableColumn id="16" name="Relationship Date (UTC)" dataDxfId="346"/>
    <tableColumn id="17" name="Tweet" dataDxfId="345"/>
    <tableColumn id="18" name="URLs in Tweet" dataDxfId="344"/>
    <tableColumn id="19" name="Domains in Tweet" dataDxfId="343"/>
    <tableColumn id="20" name="Hashtags in Tweet" dataDxfId="342"/>
    <tableColumn id="21" name="Media in Tweet" dataDxfId="341"/>
    <tableColumn id="22" name="Tweet Image File" dataDxfId="340"/>
    <tableColumn id="23" name="Tweet Date (UTC)" dataDxfId="339"/>
    <tableColumn id="24" name="Date" dataDxfId="338"/>
    <tableColumn id="25" name="Time" dataDxfId="337"/>
    <tableColumn id="26" name="Twitter Page for Tweet" dataDxfId="336"/>
    <tableColumn id="27" name="Latitude" dataDxfId="335"/>
    <tableColumn id="28" name="Longitude" dataDxfId="334"/>
    <tableColumn id="29" name="Imported ID" dataDxfId="333"/>
    <tableColumn id="30" name="In-Reply-To Tweet ID" dataDxfId="332"/>
    <tableColumn id="31" name="Favorited" dataDxfId="331"/>
    <tableColumn id="32" name="Favorite Count" dataDxfId="330"/>
    <tableColumn id="33" name="In-Reply-To User ID" dataDxfId="329"/>
    <tableColumn id="34" name="Is Quote Status" dataDxfId="328"/>
    <tableColumn id="35" name="Language" dataDxfId="327"/>
    <tableColumn id="36" name="Possibly Sensitive" dataDxfId="326"/>
    <tableColumn id="37" name="Quoted Status ID" dataDxfId="325"/>
    <tableColumn id="38" name="Retweeted" dataDxfId="324"/>
    <tableColumn id="39" name="Retweet Count" dataDxfId="323"/>
    <tableColumn id="40" name="Retweet ID" dataDxfId="322"/>
    <tableColumn id="41" name="Source" dataDxfId="321"/>
    <tableColumn id="42" name="Truncated" dataDxfId="320"/>
    <tableColumn id="43" name="Unified Twitter ID" dataDxfId="319"/>
    <tableColumn id="44" name="Imported Tweet Type" dataDxfId="318"/>
    <tableColumn id="45" name="Added By Extended Analysis" dataDxfId="317"/>
    <tableColumn id="46" name="Corrected By Extended Analysis" dataDxfId="316"/>
    <tableColumn id="47" name="Place Bounding Box" dataDxfId="315"/>
    <tableColumn id="48" name="Place Country" dataDxfId="314"/>
    <tableColumn id="49" name="Place Country Code" dataDxfId="313"/>
    <tableColumn id="50" name="Place Full Name" dataDxfId="312"/>
    <tableColumn id="51" name="Place ID" dataDxfId="311"/>
    <tableColumn id="52" name="Place Name" dataDxfId="310"/>
    <tableColumn id="53" name="Place Type" dataDxfId="309"/>
    <tableColumn id="54" name="Place URL" dataDxfId="308"/>
    <tableColumn id="55" name="Edge Weight"/>
    <tableColumn id="56" name="Vertex 1 Group" dataDxfId="27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List1 Word Count" dataDxfId="52"/>
    <tableColumn id="59" name="Sentiment List #1: List1 Word Percentage (%)" dataDxfId="51"/>
    <tableColumn id="60" name="Sentiment List #2: List2 Word Count" dataDxfId="50"/>
    <tableColumn id="61" name="Sentiment List #2: List2 Word Percentage (%)" dataDxfId="49"/>
    <tableColumn id="62" name="Sentiment List #3: List3 Word Count" dataDxfId="48"/>
    <tableColumn id="63" name="Sentiment List #3: List3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5" totalsRowShown="0" headerRowDxfId="254" dataDxfId="253">
  <autoFilter ref="A1:R5"/>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R9" totalsRowShown="0" headerRowDxfId="233" dataDxfId="232">
  <autoFilter ref="A8:R9"/>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2:R18" totalsRowShown="0" headerRowDxfId="212" dataDxfId="211">
  <autoFilter ref="A12:R18"/>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1:R31" totalsRowShown="0" headerRowDxfId="191" dataDxfId="190">
  <autoFilter ref="A21:R31"/>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4:R44" totalsRowShown="0" headerRowDxfId="170" dataDxfId="169">
  <autoFilter ref="A34:R44"/>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7:R51" totalsRowShown="0" headerRowDxfId="149" dataDxfId="148">
  <autoFilter ref="A47:R51"/>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4:R64" totalsRowShown="0" headerRowDxfId="146" dataDxfId="145">
  <autoFilter ref="A54:R64"/>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7:R77" totalsRowShown="0" headerRowDxfId="107" dataDxfId="106">
  <autoFilter ref="A67:R77"/>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08" totalsRowShown="0" headerRowDxfId="76" dataDxfId="75">
  <autoFilter ref="A1:G308"/>
  <tableColumns count="7">
    <tableColumn id="1" name="Word" dataDxfId="74"/>
    <tableColumn id="2" name="Count" dataDxfId="73"/>
    <tableColumn id="3" name="Salience" dataDxfId="72"/>
    <tableColumn id="4" name="Group" dataDxfId="71"/>
    <tableColumn id="5" name="Word on Sentiment List #1: List1" dataDxfId="70"/>
    <tableColumn id="6" name="Word on Sentiment List #2: List2" dataDxfId="69"/>
    <tableColumn id="7" name="Word on Sentiment List #3: List3"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65" totalsRowShown="0" headerRowDxfId="401" dataDxfId="352">
  <autoFilter ref="A2:BU65"/>
  <tableColumns count="73">
    <tableColumn id="1" name="Vertex" dataDxfId="365"/>
    <tableColumn id="73" name="Subgraph"/>
    <tableColumn id="2" name="Color" dataDxfId="364"/>
    <tableColumn id="5" name="Shape" dataDxfId="363"/>
    <tableColumn id="6" name="Size" dataDxfId="362"/>
    <tableColumn id="4" name="Opacity" dataDxfId="287"/>
    <tableColumn id="7" name="Image File" dataDxfId="285"/>
    <tableColumn id="3" name="Visibility" dataDxfId="286"/>
    <tableColumn id="10" name="Label" dataDxfId="361"/>
    <tableColumn id="16" name="Label Fill Color" dataDxfId="360"/>
    <tableColumn id="9" name="Label Position" dataDxfId="281"/>
    <tableColumn id="8" name="Tooltip" dataDxfId="279"/>
    <tableColumn id="18" name="Layout Order" dataDxfId="280"/>
    <tableColumn id="13" name="X" dataDxfId="359"/>
    <tableColumn id="14" name="Y" dataDxfId="358"/>
    <tableColumn id="12" name="Locked?" dataDxfId="357"/>
    <tableColumn id="19" name="Polar R" dataDxfId="356"/>
    <tableColumn id="20" name="Polar Angle" dataDxfId="35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4"/>
    <tableColumn id="28" name="Dynamic Filter" dataDxfId="353"/>
    <tableColumn id="17" name="Add Your Own Columns Here" dataDxfId="307"/>
    <tableColumn id="30" name="Name" dataDxfId="306"/>
    <tableColumn id="31" name="User ID" dataDxfId="305"/>
    <tableColumn id="32" name="Followed" dataDxfId="304"/>
    <tableColumn id="33" name="Followers" dataDxfId="303"/>
    <tableColumn id="34" name="Tweets" dataDxfId="302"/>
    <tableColumn id="35" name="Favorites" dataDxfId="301"/>
    <tableColumn id="36" name="Time Zone UTC Offset (Seconds)" dataDxfId="300"/>
    <tableColumn id="37" name="Description" dataDxfId="299"/>
    <tableColumn id="38" name="Location" dataDxfId="298"/>
    <tableColumn id="39" name="Web" dataDxfId="297"/>
    <tableColumn id="40" name="Time Zone" dataDxfId="296"/>
    <tableColumn id="41" name="Joined Twitter Date (UTC)" dataDxfId="295"/>
    <tableColumn id="42" name="Profile Banner Url" dataDxfId="294"/>
    <tableColumn id="43" name="Default Profile" dataDxfId="293"/>
    <tableColumn id="44" name="Default Profile Image" dataDxfId="292"/>
    <tableColumn id="45" name="Geo Enabled" dataDxfId="291"/>
    <tableColumn id="46" name="Language" dataDxfId="290"/>
    <tableColumn id="47" name="Listed Count" dataDxfId="289"/>
    <tableColumn id="48" name="Profile Background Image Url" dataDxfId="288"/>
    <tableColumn id="49" name="Verified" dataDxfId="284"/>
    <tableColumn id="50" name="Custom Menu Item Text" dataDxfId="283"/>
    <tableColumn id="51" name="Custom Menu Item Action" dataDxfId="282"/>
    <tableColumn id="52" name="Tweeted Search Term?" dataDxfId="271"/>
    <tableColumn id="53" name="Vertex Group" dataDxfId="86">
      <calculatedColumnFormula>REPLACE(INDEX(GroupVertices[Group], MATCH(Vertices[[#This Row],[Vertex]],GroupVertices[Vertex],0)),1,1,"")</calculatedColumnFormula>
    </tableColumn>
    <tableColumn id="54" name="Top URLs in Tweet by Count" dataDxfId="85"/>
    <tableColumn id="55" name="Top URLs in Tweet by Salience" dataDxfId="84"/>
    <tableColumn id="56" name="Top Domains in Tweet by Count" dataDxfId="83"/>
    <tableColumn id="57" name="Top Domains in Tweet by Salience" dataDxfId="82"/>
    <tableColumn id="58" name="Top Hashtags in Tweet by Count" dataDxfId="81"/>
    <tableColumn id="59" name="Top Hashtags in Tweet by Salience" dataDxfId="80"/>
    <tableColumn id="60" name="Top Words in Tweet by Count" dataDxfId="79"/>
    <tableColumn id="61" name="Top Words in Tweet by Salience" dataDxfId="78"/>
    <tableColumn id="62" name="Top Word Pairs in Tweet by Count" dataDxfId="77"/>
    <tableColumn id="63" name="Top Word Pairs in Tweet by Salience" dataDxfId="43"/>
    <tableColumn id="64" name="Sentiment List #1: List1 Word Count" dataDxfId="42"/>
    <tableColumn id="65" name="Sentiment List #1: List1 Word Percentage (%)" dataDxfId="41"/>
    <tableColumn id="66" name="Sentiment List #2: List2 Word Count" dataDxfId="40"/>
    <tableColumn id="67" name="Sentiment List #2: List2 Word Percentage (%)" dataDxfId="39"/>
    <tableColumn id="68" name="Sentiment List #3: List3 Word Count" dataDxfId="38"/>
    <tableColumn id="69" name="Sentiment List #3: List3 Word Percentage (%)" dataDxfId="37"/>
    <tableColumn id="70" name="Non-categorized Word Count" dataDxfId="36"/>
    <tableColumn id="71" name="Non-categorized Word Percentage (%)" dataDxfId="35"/>
    <tableColumn id="72"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05" totalsRowShown="0" headerRowDxfId="67" dataDxfId="66">
  <autoFilter ref="A1:L305"/>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List1" dataDxfId="59"/>
    <tableColumn id="8" name="Word1 on Sentiment List #2: List2" dataDxfId="58"/>
    <tableColumn id="9" name="Word1 on Sentiment List #3: List3" dataDxfId="57"/>
    <tableColumn id="10" name="Word2 on Sentiment List #1: List1" dataDxfId="56"/>
    <tableColumn id="11" name="Word2 on Sentiment List #2: List2" dataDxfId="55"/>
    <tableColumn id="12" name="Word2 on Sentiment List #3: List3"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6" totalsRowShown="0" headerRowDxfId="23" dataDxfId="22">
  <autoFilter ref="A2:C16"/>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00">
  <autoFilter ref="A2:AO10"/>
  <tableColumns count="41">
    <tableColumn id="1" name="Group" dataDxfId="278"/>
    <tableColumn id="2" name="Vertex Color" dataDxfId="277"/>
    <tableColumn id="3" name="Vertex Shape" dataDxfId="275"/>
    <tableColumn id="22" name="Visibility" dataDxfId="276"/>
    <tableColumn id="4" name="Collapsed?"/>
    <tableColumn id="18" name="Label" dataDxfId="399"/>
    <tableColumn id="20" name="Collapsed X"/>
    <tableColumn id="21" name="Collapsed Y"/>
    <tableColumn id="6" name="ID" dataDxfId="398"/>
    <tableColumn id="19" name="Collapsed Properties" dataDxfId="269"/>
    <tableColumn id="5" name="Vertices" dataDxfId="268"/>
    <tableColumn id="7" name="Unique Edges" dataDxfId="267"/>
    <tableColumn id="8" name="Edges With Duplicates" dataDxfId="266"/>
    <tableColumn id="9" name="Total Edges" dataDxfId="265"/>
    <tableColumn id="10" name="Self-Loops" dataDxfId="264"/>
    <tableColumn id="24" name="Reciprocated Vertex Pair Ratio" dataDxfId="263"/>
    <tableColumn id="25" name="Reciprocated Edge Ratio" dataDxfId="262"/>
    <tableColumn id="11" name="Connected Components" dataDxfId="261"/>
    <tableColumn id="12" name="Single-Vertex Connected Components" dataDxfId="260"/>
    <tableColumn id="13" name="Maximum Vertices in a Connected Component" dataDxfId="259"/>
    <tableColumn id="14" name="Maximum Edges in a Connected Component" dataDxfId="258"/>
    <tableColumn id="15" name="Maximum Geodesic Distance (Diameter)" dataDxfId="257"/>
    <tableColumn id="16" name="Average Geodesic Distance" dataDxfId="256"/>
    <tableColumn id="17" name="Graph Density" dataDxfId="234"/>
    <tableColumn id="23" name="Top URLs in Tweet" dataDxfId="213"/>
    <tableColumn id="26" name="Top Domains in Tweet" dataDxfId="192"/>
    <tableColumn id="27" name="Top Hashtags in Tweet" dataDxfId="171"/>
    <tableColumn id="28" name="Top Words in Tweet" dataDxfId="150"/>
    <tableColumn id="29" name="Top Word Pairs in Tweet" dataDxfId="109"/>
    <tableColumn id="30" name="Top Replied-To in Tweet" dataDxfId="108"/>
    <tableColumn id="31" name="Top Mentioned in Tweet" dataDxfId="87"/>
    <tableColumn id="32" name="Top Tweeters" dataDxfId="33"/>
    <tableColumn id="33" name="Sentiment List #1: List1 Word Count" dataDxfId="32"/>
    <tableColumn id="34" name="Sentiment List #1: List1 Word Percentage (%)" dataDxfId="31"/>
    <tableColumn id="35" name="Sentiment List #2: List2 Word Count" dataDxfId="30"/>
    <tableColumn id="36" name="Sentiment List #2: List2 Word Percentage (%)" dataDxfId="29"/>
    <tableColumn id="37" name="Sentiment List #3: List3 Word Count" dataDxfId="28"/>
    <tableColumn id="38" name="Sentiment List #3: List3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397" dataDxfId="396">
  <autoFilter ref="A1:C64"/>
  <tableColumns count="3">
    <tableColumn id="1" name="Group" dataDxfId="274"/>
    <tableColumn id="2" name="Vertex" dataDxfId="273"/>
    <tableColumn id="3" name="Vertex ID" dataDxfId="2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mj.com/content/372/bmj.n742" TargetMode="External" /><Relationship Id="rId2" Type="http://schemas.openxmlformats.org/officeDocument/2006/relationships/hyperlink" Target="https://www.bmj.com/content/372/bmj.n742?utm_source=twitter&amp;utm_medium=social&amp;utm_term=hootsuite&amp;utm_content=sme&amp;utm_campaign=usage" TargetMode="External" /><Relationship Id="rId3" Type="http://schemas.openxmlformats.org/officeDocument/2006/relationships/hyperlink" Target="https://blogs.bmj.com/bmj/2021/03/22/an-open-plea-for-dignity-and-respect-in-science/" TargetMode="External" /><Relationship Id="rId4" Type="http://schemas.openxmlformats.org/officeDocument/2006/relationships/hyperlink" Target="https://www.bmj.com/lookup/doi/10.1136/bmj.n742" TargetMode="External" /><Relationship Id="rId5" Type="http://schemas.openxmlformats.org/officeDocument/2006/relationships/hyperlink" Target="https://www.bmj.com/content/372/bmj.n742?utm_source=twitter&amp;utm_medium=social&amp;utm_term=hootsuite&amp;utm_content=sme&amp;utm_campaign=usage" TargetMode="External" /><Relationship Id="rId6" Type="http://schemas.openxmlformats.org/officeDocument/2006/relationships/hyperlink" Target="https://www.bmj.com/content/372/bmj.n742" TargetMode="External" /><Relationship Id="rId7" Type="http://schemas.openxmlformats.org/officeDocument/2006/relationships/hyperlink" Target="https://www.bmj.com/content/372/bmj.n742" TargetMode="External" /><Relationship Id="rId8" Type="http://schemas.openxmlformats.org/officeDocument/2006/relationships/hyperlink" Target="https://www.bmj.com/content/372/bmj.n742?utm_source=twitter&amp;utm_medium=social&amp;utm_term=hootsuite&amp;utm_content=sme&amp;utm_campaign=usage" TargetMode="External" /><Relationship Id="rId9" Type="http://schemas.openxmlformats.org/officeDocument/2006/relationships/hyperlink" Target="https://www.bmj.com/content/372/bmj.n742" TargetMode="External" /><Relationship Id="rId10" Type="http://schemas.openxmlformats.org/officeDocument/2006/relationships/hyperlink" Target="https://www.bmj.com/content/372/bmj.n742" TargetMode="External" /><Relationship Id="rId11" Type="http://schemas.openxmlformats.org/officeDocument/2006/relationships/hyperlink" Target="https://www.bmj.com/lookup/doi/10.1136/bmj.n742" TargetMode="External" /><Relationship Id="rId12" Type="http://schemas.openxmlformats.org/officeDocument/2006/relationships/hyperlink" Target="https://blogs.bmj.com/bmj/2021/03/22/an-open-plea-for-dignity-and-respect-in-science/" TargetMode="External" /><Relationship Id="rId13" Type="http://schemas.openxmlformats.org/officeDocument/2006/relationships/hyperlink" Target="https://www.bmj.com/content/372/bmj.n742" TargetMode="External" /><Relationship Id="rId14" Type="http://schemas.openxmlformats.org/officeDocument/2006/relationships/hyperlink" Target="https://www.bmj.com/content/372/bmj.n742" TargetMode="External" /><Relationship Id="rId15" Type="http://schemas.openxmlformats.org/officeDocument/2006/relationships/hyperlink" Target="https://www.bmj.com/content/372/bmj.n742" TargetMode="External" /><Relationship Id="rId16" Type="http://schemas.openxmlformats.org/officeDocument/2006/relationships/hyperlink" Target="https://www.bmj.com/content/372/bmj.n742"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140625" style="0" bestFit="1" customWidth="1"/>
    <col min="16" max="16" width="12.421875" style="0" bestFit="1" customWidth="1"/>
    <col min="17" max="17" width="7.421875" style="0" bestFit="1" customWidth="1"/>
    <col min="18" max="18" width="8.7109375" style="0" bestFit="1" customWidth="1"/>
    <col min="19" max="19" width="11.57421875" style="0" bestFit="1" customWidth="1"/>
    <col min="20" max="20" width="11.8515625" style="0" bestFit="1" customWidth="1"/>
    <col min="21" max="21" width="9.7109375" style="0" bestFit="1" customWidth="1"/>
    <col min="22" max="22" width="10.421875" style="0" bestFit="1" customWidth="1"/>
    <col min="23" max="23" width="11.7109375" style="0" bestFit="1" customWidth="1"/>
    <col min="24" max="25" width="6.421875" style="0" bestFit="1" customWidth="1"/>
    <col min="26" max="26" width="12.57421875" style="0" bestFit="1" customWidth="1"/>
    <col min="28" max="28" width="10.421875" style="0" bestFit="1" customWidth="1"/>
    <col min="29" max="30" width="12.00390625" style="0" bestFit="1" customWidth="1"/>
    <col min="31" max="31" width="10.00390625" style="0" bestFit="1" customWidth="1"/>
    <col min="32" max="32" width="9.421875" style="0" bestFit="1" customWidth="1"/>
    <col min="33" max="33" width="12.00390625" style="0" bestFit="1" customWidth="1"/>
    <col min="34" max="34" width="9.5742187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42187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8.00390625" style="0" bestFit="1" customWidth="1"/>
    <col min="46" max="46" width="16.421875" style="0" bestFit="1" customWidth="1"/>
    <col min="47" max="47" width="14.7109375" style="0" bestFit="1" customWidth="1"/>
    <col min="49" max="49" width="13.57421875" style="0" bestFit="1" customWidth="1"/>
    <col min="50" max="50" width="10.14062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6.7109375" style="0" bestFit="1" customWidth="1"/>
    <col min="59" max="59" width="20.7109375" style="0" bestFit="1" customWidth="1"/>
    <col min="60" max="60" width="16.7109375" style="0" bestFit="1" customWidth="1"/>
    <col min="61" max="61" width="20.7109375" style="0" bestFit="1" customWidth="1"/>
    <col min="62" max="62" width="16.7109375" style="0" bestFit="1" customWidth="1"/>
    <col min="63" max="63" width="20.7109375" style="0" bestFit="1" customWidth="1"/>
    <col min="64" max="64" width="15.8515625" style="0" bestFit="1" customWidth="1"/>
    <col min="65" max="65" width="19.140625" style="0" bestFit="1" customWidth="1"/>
    <col min="66" max="66" width="13.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787</v>
      </c>
      <c r="BD2" s="13" t="s">
        <v>805</v>
      </c>
      <c r="BE2" s="13" t="s">
        <v>806</v>
      </c>
      <c r="BF2" s="54" t="s">
        <v>1171</v>
      </c>
      <c r="BG2" s="54" t="s">
        <v>1172</v>
      </c>
      <c r="BH2" s="54" t="s">
        <v>1173</v>
      </c>
      <c r="BI2" s="54" t="s">
        <v>1174</v>
      </c>
      <c r="BJ2" s="54" t="s">
        <v>1175</v>
      </c>
      <c r="BK2" s="54" t="s">
        <v>1176</v>
      </c>
      <c r="BL2" s="54" t="s">
        <v>1177</v>
      </c>
      <c r="BM2" s="54" t="s">
        <v>1178</v>
      </c>
      <c r="BN2" s="54" t="s">
        <v>1179</v>
      </c>
    </row>
    <row r="3" spans="1:66" ht="15" customHeight="1">
      <c r="A3" s="66" t="s">
        <v>251</v>
      </c>
      <c r="B3" s="66" t="s">
        <v>300</v>
      </c>
      <c r="C3" s="67" t="s">
        <v>1216</v>
      </c>
      <c r="D3" s="68">
        <v>3</v>
      </c>
      <c r="E3" s="69" t="s">
        <v>132</v>
      </c>
      <c r="F3" s="70">
        <v>32</v>
      </c>
      <c r="G3" s="67"/>
      <c r="H3" s="71"/>
      <c r="I3" s="72"/>
      <c r="J3" s="72"/>
      <c r="K3" s="35" t="s">
        <v>65</v>
      </c>
      <c r="L3" s="73">
        <v>3</v>
      </c>
      <c r="M3" s="73"/>
      <c r="N3" s="74"/>
      <c r="O3" s="80" t="s">
        <v>314</v>
      </c>
      <c r="P3" s="82">
        <v>44291.376979166664</v>
      </c>
      <c r="Q3" s="80" t="s">
        <v>318</v>
      </c>
      <c r="R3" s="85" t="str">
        <f>HYPERLINK("https://www.bmj.com/content/372/bmj.n742")</f>
        <v>https://www.bmj.com/content/372/bmj.n742</v>
      </c>
      <c r="S3" s="80" t="s">
        <v>337</v>
      </c>
      <c r="T3" s="80"/>
      <c r="U3" s="80"/>
      <c r="V3" s="85" t="str">
        <f>HYPERLINK("https://pbs.twimg.com/profile_images/1351247926996201475/NJEQcQ_v_normal.jpg")</f>
        <v>https://pbs.twimg.com/profile_images/1351247926996201475/NJEQcQ_v_normal.jpg</v>
      </c>
      <c r="W3" s="82">
        <v>44291.376979166664</v>
      </c>
      <c r="X3" s="87">
        <v>44291</v>
      </c>
      <c r="Y3" s="89" t="s">
        <v>342</v>
      </c>
      <c r="Z3" s="85" t="str">
        <f>HYPERLINK("https://twitter.com/aaliya_uk/status/1378996544628723715")</f>
        <v>https://twitter.com/aaliya_uk/status/1378996544628723715</v>
      </c>
      <c r="AA3" s="80"/>
      <c r="AB3" s="80"/>
      <c r="AC3" s="89" t="s">
        <v>400</v>
      </c>
      <c r="AD3" s="80"/>
      <c r="AE3" s="80" t="b">
        <v>0</v>
      </c>
      <c r="AF3" s="80">
        <v>0</v>
      </c>
      <c r="AG3" s="89" t="s">
        <v>462</v>
      </c>
      <c r="AH3" s="80" t="b">
        <v>0</v>
      </c>
      <c r="AI3" s="80" t="s">
        <v>467</v>
      </c>
      <c r="AJ3" s="80"/>
      <c r="AK3" s="89" t="s">
        <v>462</v>
      </c>
      <c r="AL3" s="80" t="b">
        <v>0</v>
      </c>
      <c r="AM3" s="80">
        <v>7</v>
      </c>
      <c r="AN3" s="89" t="s">
        <v>440</v>
      </c>
      <c r="AO3" s="89" t="s">
        <v>470</v>
      </c>
      <c r="AP3" s="80" t="b">
        <v>0</v>
      </c>
      <c r="AQ3" s="89" t="s">
        <v>440</v>
      </c>
      <c r="AR3" s="80"/>
      <c r="AS3" s="80">
        <v>0</v>
      </c>
      <c r="AT3" s="80">
        <v>0</v>
      </c>
      <c r="AU3" s="80"/>
      <c r="AV3" s="80"/>
      <c r="AW3" s="80"/>
      <c r="AX3" s="80"/>
      <c r="AY3" s="80"/>
      <c r="AZ3" s="80"/>
      <c r="BA3" s="80"/>
      <c r="BB3" s="80"/>
      <c r="BC3">
        <v>1</v>
      </c>
      <c r="BD3" s="80" t="str">
        <f>REPLACE(INDEX(GroupVertices[Group],MATCH(Edges[[#This Row],[Vertex 1]],GroupVertices[Vertex],0)),1,1,"")</f>
        <v>2</v>
      </c>
      <c r="BE3" s="80" t="str">
        <f>REPLACE(INDEX(GroupVertices[Group],MATCH(Edges[[#This Row],[Vertex 2]],GroupVertices[Vertex],0)),1,1,"")</f>
        <v>2</v>
      </c>
      <c r="BF3" s="49"/>
      <c r="BG3" s="50"/>
      <c r="BH3" s="49"/>
      <c r="BI3" s="50"/>
      <c r="BJ3" s="49"/>
      <c r="BK3" s="50"/>
      <c r="BL3" s="49"/>
      <c r="BM3" s="50"/>
      <c r="BN3" s="49"/>
    </row>
    <row r="4" spans="1:66" ht="15" customHeight="1">
      <c r="A4" s="66" t="s">
        <v>251</v>
      </c>
      <c r="B4" s="66" t="s">
        <v>289</v>
      </c>
      <c r="C4" s="67" t="s">
        <v>1216</v>
      </c>
      <c r="D4" s="68">
        <v>3</v>
      </c>
      <c r="E4" s="67" t="s">
        <v>132</v>
      </c>
      <c r="F4" s="70">
        <v>32</v>
      </c>
      <c r="G4" s="67"/>
      <c r="H4" s="71"/>
      <c r="I4" s="72"/>
      <c r="J4" s="72"/>
      <c r="K4" s="35" t="s">
        <v>65</v>
      </c>
      <c r="L4" s="73">
        <v>4</v>
      </c>
      <c r="M4" s="73"/>
      <c r="N4" s="74"/>
      <c r="O4" s="81" t="s">
        <v>314</v>
      </c>
      <c r="P4" s="83">
        <v>44291.376979166664</v>
      </c>
      <c r="Q4" s="81" t="s">
        <v>318</v>
      </c>
      <c r="R4" s="84" t="str">
        <f>HYPERLINK("https://www.bmj.com/content/372/bmj.n742")</f>
        <v>https://www.bmj.com/content/372/bmj.n742</v>
      </c>
      <c r="S4" s="81" t="s">
        <v>337</v>
      </c>
      <c r="T4" s="81"/>
      <c r="U4" s="81"/>
      <c r="V4" s="84" t="str">
        <f>HYPERLINK("https://pbs.twimg.com/profile_images/1351247926996201475/NJEQcQ_v_normal.jpg")</f>
        <v>https://pbs.twimg.com/profile_images/1351247926996201475/NJEQcQ_v_normal.jpg</v>
      </c>
      <c r="W4" s="83">
        <v>44291.376979166664</v>
      </c>
      <c r="X4" s="88">
        <v>44291</v>
      </c>
      <c r="Y4" s="86" t="s">
        <v>342</v>
      </c>
      <c r="Z4" s="84" t="str">
        <f>HYPERLINK("https://twitter.com/aaliya_uk/status/1378996544628723715")</f>
        <v>https://twitter.com/aaliya_uk/status/1378996544628723715</v>
      </c>
      <c r="AA4" s="81"/>
      <c r="AB4" s="81"/>
      <c r="AC4" s="86" t="s">
        <v>400</v>
      </c>
      <c r="AD4" s="81"/>
      <c r="AE4" s="81" t="b">
        <v>0</v>
      </c>
      <c r="AF4" s="81">
        <v>0</v>
      </c>
      <c r="AG4" s="86" t="s">
        <v>462</v>
      </c>
      <c r="AH4" s="81" t="b">
        <v>0</v>
      </c>
      <c r="AI4" s="81" t="s">
        <v>467</v>
      </c>
      <c r="AJ4" s="81"/>
      <c r="AK4" s="86" t="s">
        <v>462</v>
      </c>
      <c r="AL4" s="81" t="b">
        <v>0</v>
      </c>
      <c r="AM4" s="81">
        <v>7</v>
      </c>
      <c r="AN4" s="86" t="s">
        <v>440</v>
      </c>
      <c r="AO4" s="86" t="s">
        <v>470</v>
      </c>
      <c r="AP4" s="81" t="b">
        <v>0</v>
      </c>
      <c r="AQ4" s="86" t="s">
        <v>440</v>
      </c>
      <c r="AR4" s="81"/>
      <c r="AS4" s="81">
        <v>0</v>
      </c>
      <c r="AT4" s="81">
        <v>0</v>
      </c>
      <c r="AU4" s="81"/>
      <c r="AV4" s="81"/>
      <c r="AW4" s="81"/>
      <c r="AX4" s="81"/>
      <c r="AY4" s="81"/>
      <c r="AZ4" s="81"/>
      <c r="BA4" s="81"/>
      <c r="BB4" s="81"/>
      <c r="BC4">
        <v>1</v>
      </c>
      <c r="BD4" s="80" t="str">
        <f>REPLACE(INDEX(GroupVertices[Group],MATCH(Edges[[#This Row],[Vertex 1]],GroupVertices[Vertex],0)),1,1,"")</f>
        <v>2</v>
      </c>
      <c r="BE4" s="80" t="str">
        <f>REPLACE(INDEX(GroupVertices[Group],MATCH(Edges[[#This Row],[Vertex 2]],GroupVertices[Vertex],0)),1,1,"")</f>
        <v>1</v>
      </c>
      <c r="BF4" s="49"/>
      <c r="BG4" s="50"/>
      <c r="BH4" s="49"/>
      <c r="BI4" s="50"/>
      <c r="BJ4" s="49"/>
      <c r="BK4" s="50"/>
      <c r="BL4" s="49"/>
      <c r="BM4" s="50"/>
      <c r="BN4" s="49"/>
    </row>
    <row r="5" spans="1:66" ht="15">
      <c r="A5" s="66" t="s">
        <v>251</v>
      </c>
      <c r="B5" s="66" t="s">
        <v>290</v>
      </c>
      <c r="C5" s="67" t="s">
        <v>1216</v>
      </c>
      <c r="D5" s="68">
        <v>3</v>
      </c>
      <c r="E5" s="67" t="s">
        <v>132</v>
      </c>
      <c r="F5" s="70">
        <v>32</v>
      </c>
      <c r="G5" s="67"/>
      <c r="H5" s="71"/>
      <c r="I5" s="72"/>
      <c r="J5" s="72"/>
      <c r="K5" s="35" t="s">
        <v>65</v>
      </c>
      <c r="L5" s="73">
        <v>5</v>
      </c>
      <c r="M5" s="73"/>
      <c r="N5" s="74"/>
      <c r="O5" s="81" t="s">
        <v>315</v>
      </c>
      <c r="P5" s="83">
        <v>44291.376979166664</v>
      </c>
      <c r="Q5" s="81" t="s">
        <v>318</v>
      </c>
      <c r="R5" s="84" t="str">
        <f>HYPERLINK("https://www.bmj.com/content/372/bmj.n742")</f>
        <v>https://www.bmj.com/content/372/bmj.n742</v>
      </c>
      <c r="S5" s="81" t="s">
        <v>337</v>
      </c>
      <c r="T5" s="81"/>
      <c r="U5" s="81"/>
      <c r="V5" s="84" t="str">
        <f>HYPERLINK("https://pbs.twimg.com/profile_images/1351247926996201475/NJEQcQ_v_normal.jpg")</f>
        <v>https://pbs.twimg.com/profile_images/1351247926996201475/NJEQcQ_v_normal.jpg</v>
      </c>
      <c r="W5" s="83">
        <v>44291.376979166664</v>
      </c>
      <c r="X5" s="88">
        <v>44291</v>
      </c>
      <c r="Y5" s="86" t="s">
        <v>342</v>
      </c>
      <c r="Z5" s="84" t="str">
        <f>HYPERLINK("https://twitter.com/aaliya_uk/status/1378996544628723715")</f>
        <v>https://twitter.com/aaliya_uk/status/1378996544628723715</v>
      </c>
      <c r="AA5" s="81"/>
      <c r="AB5" s="81"/>
      <c r="AC5" s="86" t="s">
        <v>400</v>
      </c>
      <c r="AD5" s="81"/>
      <c r="AE5" s="81" t="b">
        <v>0</v>
      </c>
      <c r="AF5" s="81">
        <v>0</v>
      </c>
      <c r="AG5" s="86" t="s">
        <v>462</v>
      </c>
      <c r="AH5" s="81" t="b">
        <v>0</v>
      </c>
      <c r="AI5" s="81" t="s">
        <v>467</v>
      </c>
      <c r="AJ5" s="81"/>
      <c r="AK5" s="86" t="s">
        <v>462</v>
      </c>
      <c r="AL5" s="81" t="b">
        <v>0</v>
      </c>
      <c r="AM5" s="81">
        <v>7</v>
      </c>
      <c r="AN5" s="86" t="s">
        <v>440</v>
      </c>
      <c r="AO5" s="86" t="s">
        <v>470</v>
      </c>
      <c r="AP5" s="81" t="b">
        <v>0</v>
      </c>
      <c r="AQ5" s="86" t="s">
        <v>440</v>
      </c>
      <c r="AR5" s="81"/>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2</v>
      </c>
      <c r="BF5" s="49">
        <v>2</v>
      </c>
      <c r="BG5" s="50">
        <v>5</v>
      </c>
      <c r="BH5" s="49">
        <v>0</v>
      </c>
      <c r="BI5" s="50">
        <v>0</v>
      </c>
      <c r="BJ5" s="49">
        <v>0</v>
      </c>
      <c r="BK5" s="50">
        <v>0</v>
      </c>
      <c r="BL5" s="49">
        <v>38</v>
      </c>
      <c r="BM5" s="50">
        <v>95</v>
      </c>
      <c r="BN5" s="49">
        <v>40</v>
      </c>
    </row>
    <row r="6" spans="1:66" ht="15">
      <c r="A6" s="66" t="s">
        <v>252</v>
      </c>
      <c r="B6" s="66" t="s">
        <v>300</v>
      </c>
      <c r="C6" s="67" t="s">
        <v>1216</v>
      </c>
      <c r="D6" s="68">
        <v>3</v>
      </c>
      <c r="E6" s="67" t="s">
        <v>132</v>
      </c>
      <c r="F6" s="70">
        <v>32</v>
      </c>
      <c r="G6" s="67"/>
      <c r="H6" s="71"/>
      <c r="I6" s="72"/>
      <c r="J6" s="72"/>
      <c r="K6" s="35" t="s">
        <v>65</v>
      </c>
      <c r="L6" s="73">
        <v>6</v>
      </c>
      <c r="M6" s="73"/>
      <c r="N6" s="74"/>
      <c r="O6" s="81" t="s">
        <v>314</v>
      </c>
      <c r="P6" s="83">
        <v>44291.36221064815</v>
      </c>
      <c r="Q6" s="81" t="s">
        <v>318</v>
      </c>
      <c r="R6" s="84" t="str">
        <f>HYPERLINK("https://www.bmj.com/content/372/bmj.n742")</f>
        <v>https://www.bmj.com/content/372/bmj.n742</v>
      </c>
      <c r="S6" s="81" t="s">
        <v>337</v>
      </c>
      <c r="T6" s="81"/>
      <c r="U6" s="81"/>
      <c r="V6" s="84" t="str">
        <f>HYPERLINK("https://pbs.twimg.com/profile_images/1349355243537104902/JxkYLf1U_normal.jpg")</f>
        <v>https://pbs.twimg.com/profile_images/1349355243537104902/JxkYLf1U_normal.jpg</v>
      </c>
      <c r="W6" s="83">
        <v>44291.36221064815</v>
      </c>
      <c r="X6" s="88">
        <v>44291</v>
      </c>
      <c r="Y6" s="86" t="s">
        <v>343</v>
      </c>
      <c r="Z6" s="84" t="str">
        <f>HYPERLINK("https://twitter.com/juliomayol/status/1378991193011392512")</f>
        <v>https://twitter.com/juliomayol/status/1378991193011392512</v>
      </c>
      <c r="AA6" s="81"/>
      <c r="AB6" s="81"/>
      <c r="AC6" s="86" t="s">
        <v>401</v>
      </c>
      <c r="AD6" s="81"/>
      <c r="AE6" s="81" t="b">
        <v>0</v>
      </c>
      <c r="AF6" s="81">
        <v>0</v>
      </c>
      <c r="AG6" s="86" t="s">
        <v>462</v>
      </c>
      <c r="AH6" s="81" t="b">
        <v>0</v>
      </c>
      <c r="AI6" s="81" t="s">
        <v>467</v>
      </c>
      <c r="AJ6" s="81"/>
      <c r="AK6" s="86" t="s">
        <v>462</v>
      </c>
      <c r="AL6" s="81" t="b">
        <v>0</v>
      </c>
      <c r="AM6" s="81">
        <v>7</v>
      </c>
      <c r="AN6" s="86" t="s">
        <v>440</v>
      </c>
      <c r="AO6" s="86" t="s">
        <v>471</v>
      </c>
      <c r="AP6" s="81" t="b">
        <v>0</v>
      </c>
      <c r="AQ6" s="86" t="s">
        <v>440</v>
      </c>
      <c r="AR6" s="81"/>
      <c r="AS6" s="81">
        <v>0</v>
      </c>
      <c r="AT6" s="81">
        <v>0</v>
      </c>
      <c r="AU6" s="81"/>
      <c r="AV6" s="81"/>
      <c r="AW6" s="81"/>
      <c r="AX6" s="81"/>
      <c r="AY6" s="81"/>
      <c r="AZ6" s="81"/>
      <c r="BA6" s="81"/>
      <c r="BB6" s="81"/>
      <c r="BC6">
        <v>1</v>
      </c>
      <c r="BD6" s="80" t="str">
        <f>REPLACE(INDEX(GroupVertices[Group],MATCH(Edges[[#This Row],[Vertex 1]],GroupVertices[Vertex],0)),1,1,"")</f>
        <v>2</v>
      </c>
      <c r="BE6" s="80" t="str">
        <f>REPLACE(INDEX(GroupVertices[Group],MATCH(Edges[[#This Row],[Vertex 2]],GroupVertices[Vertex],0)),1,1,"")</f>
        <v>2</v>
      </c>
      <c r="BF6" s="49"/>
      <c r="BG6" s="50"/>
      <c r="BH6" s="49"/>
      <c r="BI6" s="50"/>
      <c r="BJ6" s="49"/>
      <c r="BK6" s="50"/>
      <c r="BL6" s="49"/>
      <c r="BM6" s="50"/>
      <c r="BN6" s="49"/>
    </row>
    <row r="7" spans="1:66" ht="15">
      <c r="A7" s="66" t="s">
        <v>252</v>
      </c>
      <c r="B7" s="66" t="s">
        <v>289</v>
      </c>
      <c r="C7" s="67" t="s">
        <v>1216</v>
      </c>
      <c r="D7" s="68">
        <v>3</v>
      </c>
      <c r="E7" s="67" t="s">
        <v>132</v>
      </c>
      <c r="F7" s="70">
        <v>32</v>
      </c>
      <c r="G7" s="67"/>
      <c r="H7" s="71"/>
      <c r="I7" s="72"/>
      <c r="J7" s="72"/>
      <c r="K7" s="35" t="s">
        <v>65</v>
      </c>
      <c r="L7" s="73">
        <v>7</v>
      </c>
      <c r="M7" s="73"/>
      <c r="N7" s="74"/>
      <c r="O7" s="81" t="s">
        <v>314</v>
      </c>
      <c r="P7" s="83">
        <v>44291.36221064815</v>
      </c>
      <c r="Q7" s="81" t="s">
        <v>318</v>
      </c>
      <c r="R7" s="84" t="str">
        <f>HYPERLINK("https://www.bmj.com/content/372/bmj.n742")</f>
        <v>https://www.bmj.com/content/372/bmj.n742</v>
      </c>
      <c r="S7" s="81" t="s">
        <v>337</v>
      </c>
      <c r="T7" s="81"/>
      <c r="U7" s="81"/>
      <c r="V7" s="84" t="str">
        <f>HYPERLINK("https://pbs.twimg.com/profile_images/1349355243537104902/JxkYLf1U_normal.jpg")</f>
        <v>https://pbs.twimg.com/profile_images/1349355243537104902/JxkYLf1U_normal.jpg</v>
      </c>
      <c r="W7" s="83">
        <v>44291.36221064815</v>
      </c>
      <c r="X7" s="88">
        <v>44291</v>
      </c>
      <c r="Y7" s="86" t="s">
        <v>343</v>
      </c>
      <c r="Z7" s="84" t="str">
        <f>HYPERLINK("https://twitter.com/juliomayol/status/1378991193011392512")</f>
        <v>https://twitter.com/juliomayol/status/1378991193011392512</v>
      </c>
      <c r="AA7" s="81"/>
      <c r="AB7" s="81"/>
      <c r="AC7" s="86" t="s">
        <v>401</v>
      </c>
      <c r="AD7" s="81"/>
      <c r="AE7" s="81" t="b">
        <v>0</v>
      </c>
      <c r="AF7" s="81">
        <v>0</v>
      </c>
      <c r="AG7" s="86" t="s">
        <v>462</v>
      </c>
      <c r="AH7" s="81" t="b">
        <v>0</v>
      </c>
      <c r="AI7" s="81" t="s">
        <v>467</v>
      </c>
      <c r="AJ7" s="81"/>
      <c r="AK7" s="86" t="s">
        <v>462</v>
      </c>
      <c r="AL7" s="81" t="b">
        <v>0</v>
      </c>
      <c r="AM7" s="81">
        <v>7</v>
      </c>
      <c r="AN7" s="86" t="s">
        <v>440</v>
      </c>
      <c r="AO7" s="86" t="s">
        <v>471</v>
      </c>
      <c r="AP7" s="81" t="b">
        <v>0</v>
      </c>
      <c r="AQ7" s="86" t="s">
        <v>440</v>
      </c>
      <c r="AR7" s="81"/>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1</v>
      </c>
      <c r="BF7" s="49"/>
      <c r="BG7" s="50"/>
      <c r="BH7" s="49"/>
      <c r="BI7" s="50"/>
      <c r="BJ7" s="49"/>
      <c r="BK7" s="50"/>
      <c r="BL7" s="49"/>
      <c r="BM7" s="50"/>
      <c r="BN7" s="49"/>
    </row>
    <row r="8" spans="1:66" ht="15">
      <c r="A8" s="66" t="s">
        <v>252</v>
      </c>
      <c r="B8" s="66" t="s">
        <v>290</v>
      </c>
      <c r="C8" s="67" t="s">
        <v>1216</v>
      </c>
      <c r="D8" s="68">
        <v>3</v>
      </c>
      <c r="E8" s="67" t="s">
        <v>132</v>
      </c>
      <c r="F8" s="70">
        <v>32</v>
      </c>
      <c r="G8" s="67"/>
      <c r="H8" s="71"/>
      <c r="I8" s="72"/>
      <c r="J8" s="72"/>
      <c r="K8" s="35" t="s">
        <v>65</v>
      </c>
      <c r="L8" s="73">
        <v>8</v>
      </c>
      <c r="M8" s="73"/>
      <c r="N8" s="74"/>
      <c r="O8" s="81" t="s">
        <v>315</v>
      </c>
      <c r="P8" s="83">
        <v>44291.36221064815</v>
      </c>
      <c r="Q8" s="81" t="s">
        <v>318</v>
      </c>
      <c r="R8" s="84" t="str">
        <f>HYPERLINK("https://www.bmj.com/content/372/bmj.n742")</f>
        <v>https://www.bmj.com/content/372/bmj.n742</v>
      </c>
      <c r="S8" s="81" t="s">
        <v>337</v>
      </c>
      <c r="T8" s="81"/>
      <c r="U8" s="81"/>
      <c r="V8" s="84" t="str">
        <f>HYPERLINK("https://pbs.twimg.com/profile_images/1349355243537104902/JxkYLf1U_normal.jpg")</f>
        <v>https://pbs.twimg.com/profile_images/1349355243537104902/JxkYLf1U_normal.jpg</v>
      </c>
      <c r="W8" s="83">
        <v>44291.36221064815</v>
      </c>
      <c r="X8" s="88">
        <v>44291</v>
      </c>
      <c r="Y8" s="86" t="s">
        <v>343</v>
      </c>
      <c r="Z8" s="84" t="str">
        <f>HYPERLINK("https://twitter.com/juliomayol/status/1378991193011392512")</f>
        <v>https://twitter.com/juliomayol/status/1378991193011392512</v>
      </c>
      <c r="AA8" s="81"/>
      <c r="AB8" s="81"/>
      <c r="AC8" s="86" t="s">
        <v>401</v>
      </c>
      <c r="AD8" s="81"/>
      <c r="AE8" s="81" t="b">
        <v>0</v>
      </c>
      <c r="AF8" s="81">
        <v>0</v>
      </c>
      <c r="AG8" s="86" t="s">
        <v>462</v>
      </c>
      <c r="AH8" s="81" t="b">
        <v>0</v>
      </c>
      <c r="AI8" s="81" t="s">
        <v>467</v>
      </c>
      <c r="AJ8" s="81"/>
      <c r="AK8" s="86" t="s">
        <v>462</v>
      </c>
      <c r="AL8" s="81" t="b">
        <v>0</v>
      </c>
      <c r="AM8" s="81">
        <v>7</v>
      </c>
      <c r="AN8" s="86" t="s">
        <v>440</v>
      </c>
      <c r="AO8" s="86" t="s">
        <v>471</v>
      </c>
      <c r="AP8" s="81" t="b">
        <v>0</v>
      </c>
      <c r="AQ8" s="86" t="s">
        <v>440</v>
      </c>
      <c r="AR8" s="81"/>
      <c r="AS8" s="81">
        <v>0</v>
      </c>
      <c r="AT8" s="81">
        <v>0</v>
      </c>
      <c r="AU8" s="81"/>
      <c r="AV8" s="81"/>
      <c r="AW8" s="81"/>
      <c r="AX8" s="81"/>
      <c r="AY8" s="81"/>
      <c r="AZ8" s="81"/>
      <c r="BA8" s="81"/>
      <c r="BB8" s="81"/>
      <c r="BC8">
        <v>1</v>
      </c>
      <c r="BD8" s="80" t="str">
        <f>REPLACE(INDEX(GroupVertices[Group],MATCH(Edges[[#This Row],[Vertex 1]],GroupVertices[Vertex],0)),1,1,"")</f>
        <v>2</v>
      </c>
      <c r="BE8" s="80" t="str">
        <f>REPLACE(INDEX(GroupVertices[Group],MATCH(Edges[[#This Row],[Vertex 2]],GroupVertices[Vertex],0)),1,1,"")</f>
        <v>2</v>
      </c>
      <c r="BF8" s="49">
        <v>2</v>
      </c>
      <c r="BG8" s="50">
        <v>5</v>
      </c>
      <c r="BH8" s="49">
        <v>0</v>
      </c>
      <c r="BI8" s="50">
        <v>0</v>
      </c>
      <c r="BJ8" s="49">
        <v>0</v>
      </c>
      <c r="BK8" s="50">
        <v>0</v>
      </c>
      <c r="BL8" s="49">
        <v>38</v>
      </c>
      <c r="BM8" s="50">
        <v>95</v>
      </c>
      <c r="BN8" s="49">
        <v>40</v>
      </c>
    </row>
    <row r="9" spans="1:66" ht="15">
      <c r="A9" s="66" t="s">
        <v>253</v>
      </c>
      <c r="B9" s="66" t="s">
        <v>289</v>
      </c>
      <c r="C9" s="67" t="s">
        <v>1216</v>
      </c>
      <c r="D9" s="68">
        <v>3</v>
      </c>
      <c r="E9" s="67" t="s">
        <v>132</v>
      </c>
      <c r="F9" s="70">
        <v>32</v>
      </c>
      <c r="G9" s="67"/>
      <c r="H9" s="71"/>
      <c r="I9" s="72"/>
      <c r="J9" s="72"/>
      <c r="K9" s="35" t="s">
        <v>65</v>
      </c>
      <c r="L9" s="73">
        <v>9</v>
      </c>
      <c r="M9" s="73"/>
      <c r="N9" s="74"/>
      <c r="O9" s="81" t="s">
        <v>314</v>
      </c>
      <c r="P9" s="83">
        <v>44289.53219907408</v>
      </c>
      <c r="Q9" s="81" t="s">
        <v>319</v>
      </c>
      <c r="R9" s="84" t="str">
        <f>HYPERLINK("https://www.bmj.com/content/372/bmj.n742")</f>
        <v>https://www.bmj.com/content/372/bmj.n742</v>
      </c>
      <c r="S9" s="81" t="s">
        <v>337</v>
      </c>
      <c r="T9" s="86" t="s">
        <v>339</v>
      </c>
      <c r="U9" s="81"/>
      <c r="V9" s="84" t="str">
        <f>HYPERLINK("https://pbs.twimg.com/profile_images/1374567492346085378/rwZNPvjo_normal.jpg")</f>
        <v>https://pbs.twimg.com/profile_images/1374567492346085378/rwZNPvjo_normal.jpg</v>
      </c>
      <c r="W9" s="83">
        <v>44289.53219907408</v>
      </c>
      <c r="X9" s="88">
        <v>44289</v>
      </c>
      <c r="Y9" s="86" t="s">
        <v>344</v>
      </c>
      <c r="Z9" s="84" t="str">
        <f>HYPERLINK("https://twitter.com/gabagool_gash/status/1378328017093660678")</f>
        <v>https://twitter.com/gabagool_gash/status/1378328017093660678</v>
      </c>
      <c r="AA9" s="81"/>
      <c r="AB9" s="81"/>
      <c r="AC9" s="86" t="s">
        <v>402</v>
      </c>
      <c r="AD9" s="81"/>
      <c r="AE9" s="81" t="b">
        <v>0</v>
      </c>
      <c r="AF9" s="81">
        <v>0</v>
      </c>
      <c r="AG9" s="86" t="s">
        <v>462</v>
      </c>
      <c r="AH9" s="81" t="b">
        <v>0</v>
      </c>
      <c r="AI9" s="81" t="s">
        <v>467</v>
      </c>
      <c r="AJ9" s="81"/>
      <c r="AK9" s="86" t="s">
        <v>462</v>
      </c>
      <c r="AL9" s="81" t="b">
        <v>0</v>
      </c>
      <c r="AM9" s="81">
        <v>7</v>
      </c>
      <c r="AN9" s="86" t="s">
        <v>438</v>
      </c>
      <c r="AO9" s="86" t="s">
        <v>472</v>
      </c>
      <c r="AP9" s="81" t="b">
        <v>0</v>
      </c>
      <c r="AQ9" s="86" t="s">
        <v>438</v>
      </c>
      <c r="AR9" s="81"/>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6" t="s">
        <v>253</v>
      </c>
      <c r="B10" s="66" t="s">
        <v>288</v>
      </c>
      <c r="C10" s="67" t="s">
        <v>1216</v>
      </c>
      <c r="D10" s="68">
        <v>3</v>
      </c>
      <c r="E10" s="67" t="s">
        <v>132</v>
      </c>
      <c r="F10" s="70">
        <v>32</v>
      </c>
      <c r="G10" s="67"/>
      <c r="H10" s="71"/>
      <c r="I10" s="72"/>
      <c r="J10" s="72"/>
      <c r="K10" s="35" t="s">
        <v>65</v>
      </c>
      <c r="L10" s="73">
        <v>10</v>
      </c>
      <c r="M10" s="73"/>
      <c r="N10" s="74"/>
      <c r="O10" s="81" t="s">
        <v>315</v>
      </c>
      <c r="P10" s="83">
        <v>44289.53219907408</v>
      </c>
      <c r="Q10" s="81" t="s">
        <v>319</v>
      </c>
      <c r="R10" s="84" t="str">
        <f>HYPERLINK("https://www.bmj.com/content/372/bmj.n742")</f>
        <v>https://www.bmj.com/content/372/bmj.n742</v>
      </c>
      <c r="S10" s="81" t="s">
        <v>337</v>
      </c>
      <c r="T10" s="86" t="s">
        <v>339</v>
      </c>
      <c r="U10" s="81"/>
      <c r="V10" s="84" t="str">
        <f>HYPERLINK("https://pbs.twimg.com/profile_images/1374567492346085378/rwZNPvjo_normal.jpg")</f>
        <v>https://pbs.twimg.com/profile_images/1374567492346085378/rwZNPvjo_normal.jpg</v>
      </c>
      <c r="W10" s="83">
        <v>44289.53219907408</v>
      </c>
      <c r="X10" s="88">
        <v>44289</v>
      </c>
      <c r="Y10" s="86" t="s">
        <v>344</v>
      </c>
      <c r="Z10" s="84" t="str">
        <f>HYPERLINK("https://twitter.com/gabagool_gash/status/1378328017093660678")</f>
        <v>https://twitter.com/gabagool_gash/status/1378328017093660678</v>
      </c>
      <c r="AA10" s="81"/>
      <c r="AB10" s="81"/>
      <c r="AC10" s="86" t="s">
        <v>402</v>
      </c>
      <c r="AD10" s="81"/>
      <c r="AE10" s="81" t="b">
        <v>0</v>
      </c>
      <c r="AF10" s="81">
        <v>0</v>
      </c>
      <c r="AG10" s="86" t="s">
        <v>462</v>
      </c>
      <c r="AH10" s="81" t="b">
        <v>0</v>
      </c>
      <c r="AI10" s="81" t="s">
        <v>467</v>
      </c>
      <c r="AJ10" s="81"/>
      <c r="AK10" s="86" t="s">
        <v>462</v>
      </c>
      <c r="AL10" s="81" t="b">
        <v>0</v>
      </c>
      <c r="AM10" s="81">
        <v>7</v>
      </c>
      <c r="AN10" s="86" t="s">
        <v>438</v>
      </c>
      <c r="AO10" s="86" t="s">
        <v>472</v>
      </c>
      <c r="AP10" s="81" t="b">
        <v>0</v>
      </c>
      <c r="AQ10" s="86" t="s">
        <v>438</v>
      </c>
      <c r="AR10" s="81"/>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1</v>
      </c>
      <c r="BG10" s="50">
        <v>2.9411764705882355</v>
      </c>
      <c r="BH10" s="49">
        <v>1</v>
      </c>
      <c r="BI10" s="50">
        <v>2.9411764705882355</v>
      </c>
      <c r="BJ10" s="49">
        <v>0</v>
      </c>
      <c r="BK10" s="50">
        <v>0</v>
      </c>
      <c r="BL10" s="49">
        <v>32</v>
      </c>
      <c r="BM10" s="50">
        <v>94.11764705882354</v>
      </c>
      <c r="BN10" s="49">
        <v>34</v>
      </c>
    </row>
    <row r="11" spans="1:66" ht="15">
      <c r="A11" s="66" t="s">
        <v>254</v>
      </c>
      <c r="B11" s="66" t="s">
        <v>289</v>
      </c>
      <c r="C11" s="67" t="s">
        <v>1216</v>
      </c>
      <c r="D11" s="68">
        <v>3</v>
      </c>
      <c r="E11" s="67" t="s">
        <v>132</v>
      </c>
      <c r="F11" s="70">
        <v>32</v>
      </c>
      <c r="G11" s="67"/>
      <c r="H11" s="71"/>
      <c r="I11" s="72"/>
      <c r="J11" s="72"/>
      <c r="K11" s="35" t="s">
        <v>65</v>
      </c>
      <c r="L11" s="73">
        <v>11</v>
      </c>
      <c r="M11" s="73"/>
      <c r="N11" s="74"/>
      <c r="O11" s="81" t="s">
        <v>314</v>
      </c>
      <c r="P11" s="83">
        <v>44283.27724537037</v>
      </c>
      <c r="Q11" s="81" t="s">
        <v>320</v>
      </c>
      <c r="R11" s="84" t="str">
        <f>HYPERLINK("https://www.bmj.com/content/372/bmj.n742?utm_source=twitter&amp;utm_medium=social&amp;utm_term=hootsuite&amp;utm_content=sme&amp;utm_campaign=usage")</f>
        <v>https://www.bmj.com/content/372/bmj.n742?utm_source=twitter&amp;utm_medium=social&amp;utm_term=hootsuite&amp;utm_content=sme&amp;utm_campaign=usage</v>
      </c>
      <c r="S11" s="81" t="s">
        <v>337</v>
      </c>
      <c r="T11" s="81"/>
      <c r="U11" s="81"/>
      <c r="V11" s="84" t="str">
        <f>HYPERLINK("https://pbs.twimg.com/profile_images/1366674352083591174/hMsdwqs2_normal.jpg")</f>
        <v>https://pbs.twimg.com/profile_images/1366674352083591174/hMsdwqs2_normal.jpg</v>
      </c>
      <c r="W11" s="83">
        <v>44283.27724537037</v>
      </c>
      <c r="X11" s="88">
        <v>44283</v>
      </c>
      <c r="Y11" s="86" t="s">
        <v>345</v>
      </c>
      <c r="Z11" s="84" t="str">
        <f>HYPERLINK("https://twitter.com/mwmjenard/status/1376061299965128709")</f>
        <v>https://twitter.com/mwmjenard/status/1376061299965128709</v>
      </c>
      <c r="AA11" s="81"/>
      <c r="AB11" s="81"/>
      <c r="AC11" s="86" t="s">
        <v>403</v>
      </c>
      <c r="AD11" s="81"/>
      <c r="AE11" s="81" t="b">
        <v>0</v>
      </c>
      <c r="AF11" s="81">
        <v>0</v>
      </c>
      <c r="AG11" s="86" t="s">
        <v>462</v>
      </c>
      <c r="AH11" s="81" t="b">
        <v>0</v>
      </c>
      <c r="AI11" s="81" t="s">
        <v>467</v>
      </c>
      <c r="AJ11" s="81"/>
      <c r="AK11" s="86" t="s">
        <v>462</v>
      </c>
      <c r="AL11" s="81" t="b">
        <v>0</v>
      </c>
      <c r="AM11" s="81">
        <v>16</v>
      </c>
      <c r="AN11" s="86" t="s">
        <v>456</v>
      </c>
      <c r="AO11" s="86" t="s">
        <v>471</v>
      </c>
      <c r="AP11" s="81" t="b">
        <v>0</v>
      </c>
      <c r="AQ11" s="86" t="s">
        <v>456</v>
      </c>
      <c r="AR11" s="81"/>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6" t="s">
        <v>254</v>
      </c>
      <c r="B12" s="66" t="s">
        <v>300</v>
      </c>
      <c r="C12" s="67" t="s">
        <v>1216</v>
      </c>
      <c r="D12" s="68">
        <v>3</v>
      </c>
      <c r="E12" s="67" t="s">
        <v>132</v>
      </c>
      <c r="F12" s="70">
        <v>32</v>
      </c>
      <c r="G12" s="67"/>
      <c r="H12" s="71"/>
      <c r="I12" s="72"/>
      <c r="J12" s="72"/>
      <c r="K12" s="35" t="s">
        <v>65</v>
      </c>
      <c r="L12" s="73">
        <v>12</v>
      </c>
      <c r="M12" s="73"/>
      <c r="N12" s="74"/>
      <c r="O12" s="81" t="s">
        <v>315</v>
      </c>
      <c r="P12" s="83">
        <v>44283.27724537037</v>
      </c>
      <c r="Q12" s="81" t="s">
        <v>320</v>
      </c>
      <c r="R12" s="84" t="str">
        <f>HYPERLINK("https://www.bmj.com/content/372/bmj.n742?utm_source=twitter&amp;utm_medium=social&amp;utm_term=hootsuite&amp;utm_content=sme&amp;utm_campaign=usage")</f>
        <v>https://www.bmj.com/content/372/bmj.n742?utm_source=twitter&amp;utm_medium=social&amp;utm_term=hootsuite&amp;utm_content=sme&amp;utm_campaign=usage</v>
      </c>
      <c r="S12" s="81" t="s">
        <v>337</v>
      </c>
      <c r="T12" s="81"/>
      <c r="U12" s="81"/>
      <c r="V12" s="84" t="str">
        <f>HYPERLINK("https://pbs.twimg.com/profile_images/1366674352083591174/hMsdwqs2_normal.jpg")</f>
        <v>https://pbs.twimg.com/profile_images/1366674352083591174/hMsdwqs2_normal.jpg</v>
      </c>
      <c r="W12" s="83">
        <v>44283.27724537037</v>
      </c>
      <c r="X12" s="88">
        <v>44283</v>
      </c>
      <c r="Y12" s="86" t="s">
        <v>345</v>
      </c>
      <c r="Z12" s="84" t="str">
        <f>HYPERLINK("https://twitter.com/mwmjenard/status/1376061299965128709")</f>
        <v>https://twitter.com/mwmjenard/status/1376061299965128709</v>
      </c>
      <c r="AA12" s="81"/>
      <c r="AB12" s="81"/>
      <c r="AC12" s="86" t="s">
        <v>403</v>
      </c>
      <c r="AD12" s="81"/>
      <c r="AE12" s="81" t="b">
        <v>0</v>
      </c>
      <c r="AF12" s="81">
        <v>0</v>
      </c>
      <c r="AG12" s="86" t="s">
        <v>462</v>
      </c>
      <c r="AH12" s="81" t="b">
        <v>0</v>
      </c>
      <c r="AI12" s="81" t="s">
        <v>467</v>
      </c>
      <c r="AJ12" s="81"/>
      <c r="AK12" s="86" t="s">
        <v>462</v>
      </c>
      <c r="AL12" s="81" t="b">
        <v>0</v>
      </c>
      <c r="AM12" s="81">
        <v>16</v>
      </c>
      <c r="AN12" s="86" t="s">
        <v>456</v>
      </c>
      <c r="AO12" s="86" t="s">
        <v>471</v>
      </c>
      <c r="AP12" s="81" t="b">
        <v>0</v>
      </c>
      <c r="AQ12" s="86" t="s">
        <v>456</v>
      </c>
      <c r="AR12" s="81"/>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2</v>
      </c>
      <c r="BF12" s="49">
        <v>1</v>
      </c>
      <c r="BG12" s="50">
        <v>2.7777777777777777</v>
      </c>
      <c r="BH12" s="49">
        <v>1</v>
      </c>
      <c r="BI12" s="50">
        <v>2.7777777777777777</v>
      </c>
      <c r="BJ12" s="49">
        <v>0</v>
      </c>
      <c r="BK12" s="50">
        <v>0</v>
      </c>
      <c r="BL12" s="49">
        <v>34</v>
      </c>
      <c r="BM12" s="50">
        <v>94.44444444444444</v>
      </c>
      <c r="BN12" s="49">
        <v>36</v>
      </c>
    </row>
    <row r="13" spans="1:66" ht="15">
      <c r="A13" s="66" t="s">
        <v>255</v>
      </c>
      <c r="B13" s="66" t="s">
        <v>289</v>
      </c>
      <c r="C13" s="67" t="s">
        <v>1216</v>
      </c>
      <c r="D13" s="68">
        <v>3</v>
      </c>
      <c r="E13" s="67" t="s">
        <v>132</v>
      </c>
      <c r="F13" s="70">
        <v>32</v>
      </c>
      <c r="G13" s="67"/>
      <c r="H13" s="71"/>
      <c r="I13" s="72"/>
      <c r="J13" s="72"/>
      <c r="K13" s="35" t="s">
        <v>65</v>
      </c>
      <c r="L13" s="73">
        <v>13</v>
      </c>
      <c r="M13" s="73"/>
      <c r="N13" s="74"/>
      <c r="O13" s="81" t="s">
        <v>314</v>
      </c>
      <c r="P13" s="83">
        <v>44288.91284722222</v>
      </c>
      <c r="Q13" s="81" t="s">
        <v>319</v>
      </c>
      <c r="R13" s="84" t="str">
        <f>HYPERLINK("https://www.bmj.com/content/372/bmj.n742")</f>
        <v>https://www.bmj.com/content/372/bmj.n742</v>
      </c>
      <c r="S13" s="81" t="s">
        <v>337</v>
      </c>
      <c r="T13" s="86" t="s">
        <v>339</v>
      </c>
      <c r="U13" s="81"/>
      <c r="V13" s="84" t="str">
        <f>HYPERLINK("https://pbs.twimg.com/profile_images/592867719118254080/r4rww3AR_normal.jpg")</f>
        <v>https://pbs.twimg.com/profile_images/592867719118254080/r4rww3AR_normal.jpg</v>
      </c>
      <c r="W13" s="83">
        <v>44288.91284722222</v>
      </c>
      <c r="X13" s="88">
        <v>44288</v>
      </c>
      <c r="Y13" s="86" t="s">
        <v>346</v>
      </c>
      <c r="Z13" s="84" t="str">
        <f>HYPERLINK("https://twitter.com/friendsofscimed/status/1378103574945693699")</f>
        <v>https://twitter.com/friendsofscimed/status/1378103574945693699</v>
      </c>
      <c r="AA13" s="81"/>
      <c r="AB13" s="81"/>
      <c r="AC13" s="86" t="s">
        <v>404</v>
      </c>
      <c r="AD13" s="81"/>
      <c r="AE13" s="81" t="b">
        <v>0</v>
      </c>
      <c r="AF13" s="81">
        <v>0</v>
      </c>
      <c r="AG13" s="86" t="s">
        <v>462</v>
      </c>
      <c r="AH13" s="81" t="b">
        <v>0</v>
      </c>
      <c r="AI13" s="81" t="s">
        <v>467</v>
      </c>
      <c r="AJ13" s="81"/>
      <c r="AK13" s="86" t="s">
        <v>462</v>
      </c>
      <c r="AL13" s="81" t="b">
        <v>0</v>
      </c>
      <c r="AM13" s="81">
        <v>7</v>
      </c>
      <c r="AN13" s="86" t="s">
        <v>438</v>
      </c>
      <c r="AO13" s="86" t="s">
        <v>471</v>
      </c>
      <c r="AP13" s="81" t="b">
        <v>0</v>
      </c>
      <c r="AQ13" s="86" t="s">
        <v>438</v>
      </c>
      <c r="AR13" s="81"/>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6" t="s">
        <v>255</v>
      </c>
      <c r="B14" s="66" t="s">
        <v>288</v>
      </c>
      <c r="C14" s="67" t="s">
        <v>1216</v>
      </c>
      <c r="D14" s="68">
        <v>3</v>
      </c>
      <c r="E14" s="67" t="s">
        <v>132</v>
      </c>
      <c r="F14" s="70">
        <v>32</v>
      </c>
      <c r="G14" s="67"/>
      <c r="H14" s="71"/>
      <c r="I14" s="72"/>
      <c r="J14" s="72"/>
      <c r="K14" s="35" t="s">
        <v>65</v>
      </c>
      <c r="L14" s="73">
        <v>14</v>
      </c>
      <c r="M14" s="73"/>
      <c r="N14" s="74"/>
      <c r="O14" s="81" t="s">
        <v>315</v>
      </c>
      <c r="P14" s="83">
        <v>44288.91284722222</v>
      </c>
      <c r="Q14" s="81" t="s">
        <v>319</v>
      </c>
      <c r="R14" s="84" t="str">
        <f>HYPERLINK("https://www.bmj.com/content/372/bmj.n742")</f>
        <v>https://www.bmj.com/content/372/bmj.n742</v>
      </c>
      <c r="S14" s="81" t="s">
        <v>337</v>
      </c>
      <c r="T14" s="86" t="s">
        <v>339</v>
      </c>
      <c r="U14" s="81"/>
      <c r="V14" s="84" t="str">
        <f>HYPERLINK("https://pbs.twimg.com/profile_images/592867719118254080/r4rww3AR_normal.jpg")</f>
        <v>https://pbs.twimg.com/profile_images/592867719118254080/r4rww3AR_normal.jpg</v>
      </c>
      <c r="W14" s="83">
        <v>44288.91284722222</v>
      </c>
      <c r="X14" s="88">
        <v>44288</v>
      </c>
      <c r="Y14" s="86" t="s">
        <v>346</v>
      </c>
      <c r="Z14" s="84" t="str">
        <f>HYPERLINK("https://twitter.com/friendsofscimed/status/1378103574945693699")</f>
        <v>https://twitter.com/friendsofscimed/status/1378103574945693699</v>
      </c>
      <c r="AA14" s="81"/>
      <c r="AB14" s="81"/>
      <c r="AC14" s="86" t="s">
        <v>404</v>
      </c>
      <c r="AD14" s="81"/>
      <c r="AE14" s="81" t="b">
        <v>0</v>
      </c>
      <c r="AF14" s="81">
        <v>0</v>
      </c>
      <c r="AG14" s="86" t="s">
        <v>462</v>
      </c>
      <c r="AH14" s="81" t="b">
        <v>0</v>
      </c>
      <c r="AI14" s="81" t="s">
        <v>467</v>
      </c>
      <c r="AJ14" s="81"/>
      <c r="AK14" s="86" t="s">
        <v>462</v>
      </c>
      <c r="AL14" s="81" t="b">
        <v>0</v>
      </c>
      <c r="AM14" s="81">
        <v>7</v>
      </c>
      <c r="AN14" s="86" t="s">
        <v>438</v>
      </c>
      <c r="AO14" s="86" t="s">
        <v>471</v>
      </c>
      <c r="AP14" s="81" t="b">
        <v>0</v>
      </c>
      <c r="AQ14" s="86" t="s">
        <v>438</v>
      </c>
      <c r="AR14" s="81"/>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1</v>
      </c>
      <c r="BG14" s="50">
        <v>2.9411764705882355</v>
      </c>
      <c r="BH14" s="49">
        <v>1</v>
      </c>
      <c r="BI14" s="50">
        <v>2.9411764705882355</v>
      </c>
      <c r="BJ14" s="49">
        <v>0</v>
      </c>
      <c r="BK14" s="50">
        <v>0</v>
      </c>
      <c r="BL14" s="49">
        <v>32</v>
      </c>
      <c r="BM14" s="50">
        <v>94.11764705882354</v>
      </c>
      <c r="BN14" s="49">
        <v>34</v>
      </c>
    </row>
    <row r="15" spans="1:66" ht="15">
      <c r="A15" s="66" t="s">
        <v>256</v>
      </c>
      <c r="B15" s="66" t="s">
        <v>256</v>
      </c>
      <c r="C15" s="67" t="s">
        <v>1216</v>
      </c>
      <c r="D15" s="68">
        <v>3</v>
      </c>
      <c r="E15" s="67" t="s">
        <v>132</v>
      </c>
      <c r="F15" s="70">
        <v>32</v>
      </c>
      <c r="G15" s="67"/>
      <c r="H15" s="71"/>
      <c r="I15" s="72"/>
      <c r="J15" s="72"/>
      <c r="K15" s="35" t="s">
        <v>65</v>
      </c>
      <c r="L15" s="73">
        <v>15</v>
      </c>
      <c r="M15" s="73"/>
      <c r="N15" s="74"/>
      <c r="O15" s="81" t="s">
        <v>213</v>
      </c>
      <c r="P15" s="83">
        <v>44288.69457175926</v>
      </c>
      <c r="Q15" s="84" t="str">
        <f>HYPERLINK("https://t.co/iXizlk9xcU")</f>
        <v>https://t.co/iXizlk9xcU</v>
      </c>
      <c r="R15" s="84" t="str">
        <f>HYPERLINK("https://www.bmj.com/content/372/bmj.n742")</f>
        <v>https://www.bmj.com/content/372/bmj.n742</v>
      </c>
      <c r="S15" s="81" t="s">
        <v>337</v>
      </c>
      <c r="T15" s="81"/>
      <c r="U15" s="81"/>
      <c r="V15" s="84" t="str">
        <f>HYPERLINK("https://pbs.twimg.com/profile_images/1278411997856612354/83MeTnP4_normal.jpg")</f>
        <v>https://pbs.twimg.com/profile_images/1278411997856612354/83MeTnP4_normal.jpg</v>
      </c>
      <c r="W15" s="83">
        <v>44288.69457175926</v>
      </c>
      <c r="X15" s="88">
        <v>44288</v>
      </c>
      <c r="Y15" s="86" t="s">
        <v>347</v>
      </c>
      <c r="Z15" s="84" t="str">
        <f>HYPERLINK("https://twitter.com/thespoonless/status/1378024472222048257")</f>
        <v>https://twitter.com/thespoonless/status/1378024472222048257</v>
      </c>
      <c r="AA15" s="81"/>
      <c r="AB15" s="81"/>
      <c r="AC15" s="86" t="s">
        <v>405</v>
      </c>
      <c r="AD15" s="81"/>
      <c r="AE15" s="81" t="b">
        <v>0</v>
      </c>
      <c r="AF15" s="81">
        <v>0</v>
      </c>
      <c r="AG15" s="86" t="s">
        <v>462</v>
      </c>
      <c r="AH15" s="81" t="b">
        <v>0</v>
      </c>
      <c r="AI15" s="81" t="s">
        <v>468</v>
      </c>
      <c r="AJ15" s="81"/>
      <c r="AK15" s="86" t="s">
        <v>462</v>
      </c>
      <c r="AL15" s="81" t="b">
        <v>0</v>
      </c>
      <c r="AM15" s="81">
        <v>0</v>
      </c>
      <c r="AN15" s="86" t="s">
        <v>462</v>
      </c>
      <c r="AO15" s="86" t="s">
        <v>472</v>
      </c>
      <c r="AP15" s="81" t="b">
        <v>0</v>
      </c>
      <c r="AQ15" s="86" t="s">
        <v>405</v>
      </c>
      <c r="AR15" s="81"/>
      <c r="AS15" s="81">
        <v>0</v>
      </c>
      <c r="AT15" s="81">
        <v>0</v>
      </c>
      <c r="AU15" s="81"/>
      <c r="AV15" s="81"/>
      <c r="AW15" s="81"/>
      <c r="AX15" s="81"/>
      <c r="AY15" s="81"/>
      <c r="AZ15" s="81"/>
      <c r="BA15" s="81"/>
      <c r="BB15" s="81"/>
      <c r="BC15">
        <v>1</v>
      </c>
      <c r="BD15" s="80" t="str">
        <f>REPLACE(INDEX(GroupVertices[Group],MATCH(Edges[[#This Row],[Vertex 1]],GroupVertices[Vertex],0)),1,1,"")</f>
        <v>4</v>
      </c>
      <c r="BE15" s="80" t="str">
        <f>REPLACE(INDEX(GroupVertices[Group],MATCH(Edges[[#This Row],[Vertex 2]],GroupVertices[Vertex],0)),1,1,"")</f>
        <v>4</v>
      </c>
      <c r="BF15" s="49">
        <v>0</v>
      </c>
      <c r="BG15" s="50">
        <v>0</v>
      </c>
      <c r="BH15" s="49">
        <v>0</v>
      </c>
      <c r="BI15" s="50">
        <v>0</v>
      </c>
      <c r="BJ15" s="49">
        <v>0</v>
      </c>
      <c r="BK15" s="50">
        <v>0</v>
      </c>
      <c r="BL15" s="49">
        <v>0</v>
      </c>
      <c r="BM15" s="50">
        <v>0</v>
      </c>
      <c r="BN15" s="49">
        <v>0</v>
      </c>
    </row>
    <row r="16" spans="1:66" ht="15">
      <c r="A16" s="66" t="s">
        <v>257</v>
      </c>
      <c r="B16" s="66" t="s">
        <v>303</v>
      </c>
      <c r="C16" s="67" t="s">
        <v>1216</v>
      </c>
      <c r="D16" s="68">
        <v>3</v>
      </c>
      <c r="E16" s="67" t="s">
        <v>132</v>
      </c>
      <c r="F16" s="70">
        <v>32</v>
      </c>
      <c r="G16" s="67"/>
      <c r="H16" s="71"/>
      <c r="I16" s="72"/>
      <c r="J16" s="72"/>
      <c r="K16" s="35" t="s">
        <v>65</v>
      </c>
      <c r="L16" s="73">
        <v>16</v>
      </c>
      <c r="M16" s="73"/>
      <c r="N16" s="74"/>
      <c r="O16" s="81" t="s">
        <v>316</v>
      </c>
      <c r="P16" s="83">
        <v>44284.99729166667</v>
      </c>
      <c r="Q16" s="81" t="s">
        <v>321</v>
      </c>
      <c r="R16" s="84" t="str">
        <f>HYPERLINK("https://www.bmj.com/content/372/bmj.n742")</f>
        <v>https://www.bmj.com/content/372/bmj.n742</v>
      </c>
      <c r="S16" s="81" t="s">
        <v>337</v>
      </c>
      <c r="T16" s="81"/>
      <c r="U16" s="81"/>
      <c r="V16" s="84" t="str">
        <f>HYPERLINK("https://abs.twimg.com/sticky/default_profile_images/default_profile_normal.png")</f>
        <v>https://abs.twimg.com/sticky/default_profile_images/default_profile_normal.png</v>
      </c>
      <c r="W16" s="83">
        <v>44284.99729166667</v>
      </c>
      <c r="X16" s="88">
        <v>44284</v>
      </c>
      <c r="Y16" s="86" t="s">
        <v>348</v>
      </c>
      <c r="Z16" s="84" t="str">
        <f>HYPERLINK("https://twitter.com/walangprof/status/1376684622927392771")</f>
        <v>https://twitter.com/walangprof/status/1376684622927392771</v>
      </c>
      <c r="AA16" s="81"/>
      <c r="AB16" s="81"/>
      <c r="AC16" s="86" t="s">
        <v>406</v>
      </c>
      <c r="AD16" s="86" t="s">
        <v>459</v>
      </c>
      <c r="AE16" s="81" t="b">
        <v>0</v>
      </c>
      <c r="AF16" s="81">
        <v>0</v>
      </c>
      <c r="AG16" s="86" t="s">
        <v>463</v>
      </c>
      <c r="AH16" s="81" t="b">
        <v>0</v>
      </c>
      <c r="AI16" s="81" t="s">
        <v>467</v>
      </c>
      <c r="AJ16" s="81"/>
      <c r="AK16" s="86" t="s">
        <v>462</v>
      </c>
      <c r="AL16" s="81" t="b">
        <v>0</v>
      </c>
      <c r="AM16" s="81">
        <v>0</v>
      </c>
      <c r="AN16" s="86" t="s">
        <v>462</v>
      </c>
      <c r="AO16" s="86" t="s">
        <v>471</v>
      </c>
      <c r="AP16" s="81" t="b">
        <v>0</v>
      </c>
      <c r="AQ16" s="86" t="s">
        <v>459</v>
      </c>
      <c r="AR16" s="81"/>
      <c r="AS16" s="81">
        <v>0</v>
      </c>
      <c r="AT16" s="81">
        <v>0</v>
      </c>
      <c r="AU16" s="81"/>
      <c r="AV16" s="81"/>
      <c r="AW16" s="81"/>
      <c r="AX16" s="81"/>
      <c r="AY16" s="81"/>
      <c r="AZ16" s="81"/>
      <c r="BA16" s="81"/>
      <c r="BB16" s="81"/>
      <c r="BC16">
        <v>1</v>
      </c>
      <c r="BD16" s="80" t="str">
        <f>REPLACE(INDEX(GroupVertices[Group],MATCH(Edges[[#This Row],[Vertex 1]],GroupVertices[Vertex],0)),1,1,"")</f>
        <v>7</v>
      </c>
      <c r="BE16" s="80" t="str">
        <f>REPLACE(INDEX(GroupVertices[Group],MATCH(Edges[[#This Row],[Vertex 2]],GroupVertices[Vertex],0)),1,1,"")</f>
        <v>7</v>
      </c>
      <c r="BF16" s="49"/>
      <c r="BG16" s="50"/>
      <c r="BH16" s="49"/>
      <c r="BI16" s="50"/>
      <c r="BJ16" s="49"/>
      <c r="BK16" s="50"/>
      <c r="BL16" s="49"/>
      <c r="BM16" s="50"/>
      <c r="BN16" s="49"/>
    </row>
    <row r="17" spans="1:66" ht="15">
      <c r="A17" s="66" t="s">
        <v>257</v>
      </c>
      <c r="B17" s="66" t="s">
        <v>304</v>
      </c>
      <c r="C17" s="67" t="s">
        <v>1216</v>
      </c>
      <c r="D17" s="68">
        <v>3</v>
      </c>
      <c r="E17" s="67" t="s">
        <v>132</v>
      </c>
      <c r="F17" s="70">
        <v>32</v>
      </c>
      <c r="G17" s="67"/>
      <c r="H17" s="71"/>
      <c r="I17" s="72"/>
      <c r="J17" s="72"/>
      <c r="K17" s="35" t="s">
        <v>65</v>
      </c>
      <c r="L17" s="73">
        <v>17</v>
      </c>
      <c r="M17" s="73"/>
      <c r="N17" s="74"/>
      <c r="O17" s="81" t="s">
        <v>316</v>
      </c>
      <c r="P17" s="83">
        <v>44284.99729166667</v>
      </c>
      <c r="Q17" s="81" t="s">
        <v>321</v>
      </c>
      <c r="R17" s="84" t="str">
        <f>HYPERLINK("https://www.bmj.com/content/372/bmj.n742")</f>
        <v>https://www.bmj.com/content/372/bmj.n742</v>
      </c>
      <c r="S17" s="81" t="s">
        <v>337</v>
      </c>
      <c r="T17" s="81"/>
      <c r="U17" s="81"/>
      <c r="V17" s="84" t="str">
        <f>HYPERLINK("https://abs.twimg.com/sticky/default_profile_images/default_profile_normal.png")</f>
        <v>https://abs.twimg.com/sticky/default_profile_images/default_profile_normal.png</v>
      </c>
      <c r="W17" s="83">
        <v>44284.99729166667</v>
      </c>
      <c r="X17" s="88">
        <v>44284</v>
      </c>
      <c r="Y17" s="86" t="s">
        <v>348</v>
      </c>
      <c r="Z17" s="84" t="str">
        <f>HYPERLINK("https://twitter.com/walangprof/status/1376684622927392771")</f>
        <v>https://twitter.com/walangprof/status/1376684622927392771</v>
      </c>
      <c r="AA17" s="81"/>
      <c r="AB17" s="81"/>
      <c r="AC17" s="86" t="s">
        <v>406</v>
      </c>
      <c r="AD17" s="86" t="s">
        <v>459</v>
      </c>
      <c r="AE17" s="81" t="b">
        <v>0</v>
      </c>
      <c r="AF17" s="81">
        <v>0</v>
      </c>
      <c r="AG17" s="86" t="s">
        <v>463</v>
      </c>
      <c r="AH17" s="81" t="b">
        <v>0</v>
      </c>
      <c r="AI17" s="81" t="s">
        <v>467</v>
      </c>
      <c r="AJ17" s="81"/>
      <c r="AK17" s="86" t="s">
        <v>462</v>
      </c>
      <c r="AL17" s="81" t="b">
        <v>0</v>
      </c>
      <c r="AM17" s="81">
        <v>0</v>
      </c>
      <c r="AN17" s="86" t="s">
        <v>462</v>
      </c>
      <c r="AO17" s="86" t="s">
        <v>471</v>
      </c>
      <c r="AP17" s="81" t="b">
        <v>0</v>
      </c>
      <c r="AQ17" s="86" t="s">
        <v>459</v>
      </c>
      <c r="AR17" s="81"/>
      <c r="AS17" s="81">
        <v>0</v>
      </c>
      <c r="AT17" s="81">
        <v>0</v>
      </c>
      <c r="AU17" s="81"/>
      <c r="AV17" s="81"/>
      <c r="AW17" s="81"/>
      <c r="AX17" s="81"/>
      <c r="AY17" s="81"/>
      <c r="AZ17" s="81"/>
      <c r="BA17" s="81"/>
      <c r="BB17" s="81"/>
      <c r="BC17">
        <v>1</v>
      </c>
      <c r="BD17" s="80" t="str">
        <f>REPLACE(INDEX(GroupVertices[Group],MATCH(Edges[[#This Row],[Vertex 1]],GroupVertices[Vertex],0)),1,1,"")</f>
        <v>7</v>
      </c>
      <c r="BE17" s="80" t="str">
        <f>REPLACE(INDEX(GroupVertices[Group],MATCH(Edges[[#This Row],[Vertex 2]],GroupVertices[Vertex],0)),1,1,"")</f>
        <v>7</v>
      </c>
      <c r="BF17" s="49"/>
      <c r="BG17" s="50"/>
      <c r="BH17" s="49"/>
      <c r="BI17" s="50"/>
      <c r="BJ17" s="49"/>
      <c r="BK17" s="50"/>
      <c r="BL17" s="49"/>
      <c r="BM17" s="50"/>
      <c r="BN17" s="49"/>
    </row>
    <row r="18" spans="1:66" ht="15">
      <c r="A18" s="66" t="s">
        <v>257</v>
      </c>
      <c r="B18" s="66" t="s">
        <v>305</v>
      </c>
      <c r="C18" s="67" t="s">
        <v>1216</v>
      </c>
      <c r="D18" s="68">
        <v>3</v>
      </c>
      <c r="E18" s="67" t="s">
        <v>132</v>
      </c>
      <c r="F18" s="70">
        <v>32</v>
      </c>
      <c r="G18" s="67"/>
      <c r="H18" s="71"/>
      <c r="I18" s="72"/>
      <c r="J18" s="72"/>
      <c r="K18" s="35" t="s">
        <v>65</v>
      </c>
      <c r="L18" s="73">
        <v>18</v>
      </c>
      <c r="M18" s="73"/>
      <c r="N18" s="74"/>
      <c r="O18" s="81" t="s">
        <v>317</v>
      </c>
      <c r="P18" s="83">
        <v>44284.99729166667</v>
      </c>
      <c r="Q18" s="81" t="s">
        <v>321</v>
      </c>
      <c r="R18" s="84" t="str">
        <f>HYPERLINK("https://www.bmj.com/content/372/bmj.n742")</f>
        <v>https://www.bmj.com/content/372/bmj.n742</v>
      </c>
      <c r="S18" s="81" t="s">
        <v>337</v>
      </c>
      <c r="T18" s="81"/>
      <c r="U18" s="81"/>
      <c r="V18" s="84" t="str">
        <f>HYPERLINK("https://abs.twimg.com/sticky/default_profile_images/default_profile_normal.png")</f>
        <v>https://abs.twimg.com/sticky/default_profile_images/default_profile_normal.png</v>
      </c>
      <c r="W18" s="83">
        <v>44284.99729166667</v>
      </c>
      <c r="X18" s="88">
        <v>44284</v>
      </c>
      <c r="Y18" s="86" t="s">
        <v>348</v>
      </c>
      <c r="Z18" s="84" t="str">
        <f>HYPERLINK("https://twitter.com/walangprof/status/1376684622927392771")</f>
        <v>https://twitter.com/walangprof/status/1376684622927392771</v>
      </c>
      <c r="AA18" s="81"/>
      <c r="AB18" s="81"/>
      <c r="AC18" s="86" t="s">
        <v>406</v>
      </c>
      <c r="AD18" s="86" t="s">
        <v>459</v>
      </c>
      <c r="AE18" s="81" t="b">
        <v>0</v>
      </c>
      <c r="AF18" s="81">
        <v>0</v>
      </c>
      <c r="AG18" s="86" t="s">
        <v>463</v>
      </c>
      <c r="AH18" s="81" t="b">
        <v>0</v>
      </c>
      <c r="AI18" s="81" t="s">
        <v>467</v>
      </c>
      <c r="AJ18" s="81"/>
      <c r="AK18" s="86" t="s">
        <v>462</v>
      </c>
      <c r="AL18" s="81" t="b">
        <v>0</v>
      </c>
      <c r="AM18" s="81">
        <v>0</v>
      </c>
      <c r="AN18" s="86" t="s">
        <v>462</v>
      </c>
      <c r="AO18" s="86" t="s">
        <v>471</v>
      </c>
      <c r="AP18" s="81" t="b">
        <v>0</v>
      </c>
      <c r="AQ18" s="86" t="s">
        <v>459</v>
      </c>
      <c r="AR18" s="81"/>
      <c r="AS18" s="81">
        <v>0</v>
      </c>
      <c r="AT18" s="81">
        <v>0</v>
      </c>
      <c r="AU18" s="81"/>
      <c r="AV18" s="81"/>
      <c r="AW18" s="81"/>
      <c r="AX18" s="81"/>
      <c r="AY18" s="81"/>
      <c r="AZ18" s="81"/>
      <c r="BA18" s="81"/>
      <c r="BB18" s="81"/>
      <c r="BC18">
        <v>1</v>
      </c>
      <c r="BD18" s="80" t="str">
        <f>REPLACE(INDEX(GroupVertices[Group],MATCH(Edges[[#This Row],[Vertex 1]],GroupVertices[Vertex],0)),1,1,"")</f>
        <v>7</v>
      </c>
      <c r="BE18" s="80" t="str">
        <f>REPLACE(INDEX(GroupVertices[Group],MATCH(Edges[[#This Row],[Vertex 2]],GroupVertices[Vertex],0)),1,1,"")</f>
        <v>7</v>
      </c>
      <c r="BF18" s="49">
        <v>1</v>
      </c>
      <c r="BG18" s="50">
        <v>5</v>
      </c>
      <c r="BH18" s="49">
        <v>0</v>
      </c>
      <c r="BI18" s="50">
        <v>0</v>
      </c>
      <c r="BJ18" s="49">
        <v>0</v>
      </c>
      <c r="BK18" s="50">
        <v>0</v>
      </c>
      <c r="BL18" s="49">
        <v>19</v>
      </c>
      <c r="BM18" s="50">
        <v>95</v>
      </c>
      <c r="BN18" s="49">
        <v>20</v>
      </c>
    </row>
    <row r="19" spans="1:66" ht="15">
      <c r="A19" s="66" t="s">
        <v>257</v>
      </c>
      <c r="B19" s="66" t="s">
        <v>300</v>
      </c>
      <c r="C19" s="67" t="s">
        <v>1216</v>
      </c>
      <c r="D19" s="68">
        <v>3</v>
      </c>
      <c r="E19" s="67" t="s">
        <v>132</v>
      </c>
      <c r="F19" s="70">
        <v>32</v>
      </c>
      <c r="G19" s="67"/>
      <c r="H19" s="71"/>
      <c r="I19" s="72"/>
      <c r="J19" s="72"/>
      <c r="K19" s="35" t="s">
        <v>65</v>
      </c>
      <c r="L19" s="73">
        <v>19</v>
      </c>
      <c r="M19" s="73"/>
      <c r="N19" s="74"/>
      <c r="O19" s="81" t="s">
        <v>316</v>
      </c>
      <c r="P19" s="83">
        <v>44284.99729166667</v>
      </c>
      <c r="Q19" s="81" t="s">
        <v>321</v>
      </c>
      <c r="R19" s="84" t="str">
        <f>HYPERLINK("https://www.bmj.com/content/372/bmj.n742")</f>
        <v>https://www.bmj.com/content/372/bmj.n742</v>
      </c>
      <c r="S19" s="81" t="s">
        <v>337</v>
      </c>
      <c r="T19" s="81"/>
      <c r="U19" s="81"/>
      <c r="V19" s="84" t="str">
        <f>HYPERLINK("https://abs.twimg.com/sticky/default_profile_images/default_profile_normal.png")</f>
        <v>https://abs.twimg.com/sticky/default_profile_images/default_profile_normal.png</v>
      </c>
      <c r="W19" s="83">
        <v>44284.99729166667</v>
      </c>
      <c r="X19" s="88">
        <v>44284</v>
      </c>
      <c r="Y19" s="86" t="s">
        <v>348</v>
      </c>
      <c r="Z19" s="84" t="str">
        <f>HYPERLINK("https://twitter.com/walangprof/status/1376684622927392771")</f>
        <v>https://twitter.com/walangprof/status/1376684622927392771</v>
      </c>
      <c r="AA19" s="81"/>
      <c r="AB19" s="81"/>
      <c r="AC19" s="86" t="s">
        <v>406</v>
      </c>
      <c r="AD19" s="86" t="s">
        <v>459</v>
      </c>
      <c r="AE19" s="81" t="b">
        <v>0</v>
      </c>
      <c r="AF19" s="81">
        <v>0</v>
      </c>
      <c r="AG19" s="86" t="s">
        <v>463</v>
      </c>
      <c r="AH19" s="81" t="b">
        <v>0</v>
      </c>
      <c r="AI19" s="81" t="s">
        <v>467</v>
      </c>
      <c r="AJ19" s="81"/>
      <c r="AK19" s="86" t="s">
        <v>462</v>
      </c>
      <c r="AL19" s="81" t="b">
        <v>0</v>
      </c>
      <c r="AM19" s="81">
        <v>0</v>
      </c>
      <c r="AN19" s="86" t="s">
        <v>462</v>
      </c>
      <c r="AO19" s="86" t="s">
        <v>471</v>
      </c>
      <c r="AP19" s="81" t="b">
        <v>0</v>
      </c>
      <c r="AQ19" s="86" t="s">
        <v>459</v>
      </c>
      <c r="AR19" s="81"/>
      <c r="AS19" s="81">
        <v>0</v>
      </c>
      <c r="AT19" s="81">
        <v>0</v>
      </c>
      <c r="AU19" s="81"/>
      <c r="AV19" s="81"/>
      <c r="AW19" s="81"/>
      <c r="AX19" s="81"/>
      <c r="AY19" s="81"/>
      <c r="AZ19" s="81"/>
      <c r="BA19" s="81"/>
      <c r="BB19" s="81"/>
      <c r="BC19">
        <v>1</v>
      </c>
      <c r="BD19" s="80" t="str">
        <f>REPLACE(INDEX(GroupVertices[Group],MATCH(Edges[[#This Row],[Vertex 1]],GroupVertices[Vertex],0)),1,1,"")</f>
        <v>7</v>
      </c>
      <c r="BE19" s="80" t="str">
        <f>REPLACE(INDEX(GroupVertices[Group],MATCH(Edges[[#This Row],[Vertex 2]],GroupVertices[Vertex],0)),1,1,"")</f>
        <v>2</v>
      </c>
      <c r="BF19" s="49"/>
      <c r="BG19" s="50"/>
      <c r="BH19" s="49"/>
      <c r="BI19" s="50"/>
      <c r="BJ19" s="49"/>
      <c r="BK19" s="50"/>
      <c r="BL19" s="49"/>
      <c r="BM19" s="50"/>
      <c r="BN19" s="49"/>
    </row>
    <row r="20" spans="1:66" ht="15">
      <c r="A20" s="66" t="s">
        <v>257</v>
      </c>
      <c r="B20" s="66" t="s">
        <v>289</v>
      </c>
      <c r="C20" s="67" t="s">
        <v>1216</v>
      </c>
      <c r="D20" s="68">
        <v>3</v>
      </c>
      <c r="E20" s="67" t="s">
        <v>132</v>
      </c>
      <c r="F20" s="70">
        <v>32</v>
      </c>
      <c r="G20" s="67"/>
      <c r="H20" s="71"/>
      <c r="I20" s="72"/>
      <c r="J20" s="72"/>
      <c r="K20" s="35" t="s">
        <v>65</v>
      </c>
      <c r="L20" s="73">
        <v>20</v>
      </c>
      <c r="M20" s="73"/>
      <c r="N20" s="74"/>
      <c r="O20" s="81" t="s">
        <v>316</v>
      </c>
      <c r="P20" s="83">
        <v>44284.99729166667</v>
      </c>
      <c r="Q20" s="81" t="s">
        <v>321</v>
      </c>
      <c r="R20" s="84" t="str">
        <f>HYPERLINK("https://www.bmj.com/content/372/bmj.n742")</f>
        <v>https://www.bmj.com/content/372/bmj.n742</v>
      </c>
      <c r="S20" s="81" t="s">
        <v>337</v>
      </c>
      <c r="T20" s="81"/>
      <c r="U20" s="81"/>
      <c r="V20" s="84" t="str">
        <f>HYPERLINK("https://abs.twimg.com/sticky/default_profile_images/default_profile_normal.png")</f>
        <v>https://abs.twimg.com/sticky/default_profile_images/default_profile_normal.png</v>
      </c>
      <c r="W20" s="83">
        <v>44284.99729166667</v>
      </c>
      <c r="X20" s="88">
        <v>44284</v>
      </c>
      <c r="Y20" s="86" t="s">
        <v>348</v>
      </c>
      <c r="Z20" s="84" t="str">
        <f>HYPERLINK("https://twitter.com/walangprof/status/1376684622927392771")</f>
        <v>https://twitter.com/walangprof/status/1376684622927392771</v>
      </c>
      <c r="AA20" s="81"/>
      <c r="AB20" s="81"/>
      <c r="AC20" s="86" t="s">
        <v>406</v>
      </c>
      <c r="AD20" s="86" t="s">
        <v>459</v>
      </c>
      <c r="AE20" s="81" t="b">
        <v>0</v>
      </c>
      <c r="AF20" s="81">
        <v>0</v>
      </c>
      <c r="AG20" s="86" t="s">
        <v>463</v>
      </c>
      <c r="AH20" s="81" t="b">
        <v>0</v>
      </c>
      <c r="AI20" s="81" t="s">
        <v>467</v>
      </c>
      <c r="AJ20" s="81"/>
      <c r="AK20" s="86" t="s">
        <v>462</v>
      </c>
      <c r="AL20" s="81" t="b">
        <v>0</v>
      </c>
      <c r="AM20" s="81">
        <v>0</v>
      </c>
      <c r="AN20" s="86" t="s">
        <v>462</v>
      </c>
      <c r="AO20" s="86" t="s">
        <v>471</v>
      </c>
      <c r="AP20" s="81" t="b">
        <v>0</v>
      </c>
      <c r="AQ20" s="86" t="s">
        <v>459</v>
      </c>
      <c r="AR20" s="81"/>
      <c r="AS20" s="81">
        <v>0</v>
      </c>
      <c r="AT20" s="81">
        <v>0</v>
      </c>
      <c r="AU20" s="81"/>
      <c r="AV20" s="81"/>
      <c r="AW20" s="81"/>
      <c r="AX20" s="81"/>
      <c r="AY20" s="81"/>
      <c r="AZ20" s="81"/>
      <c r="BA20" s="81"/>
      <c r="BB20" s="81"/>
      <c r="BC20">
        <v>1</v>
      </c>
      <c r="BD20" s="80" t="str">
        <f>REPLACE(INDEX(GroupVertices[Group],MATCH(Edges[[#This Row],[Vertex 1]],GroupVertices[Vertex],0)),1,1,"")</f>
        <v>7</v>
      </c>
      <c r="BE20" s="80" t="str">
        <f>REPLACE(INDEX(GroupVertices[Group],MATCH(Edges[[#This Row],[Vertex 2]],GroupVertices[Vertex],0)),1,1,"")</f>
        <v>1</v>
      </c>
      <c r="BF20" s="49"/>
      <c r="BG20" s="50"/>
      <c r="BH20" s="49"/>
      <c r="BI20" s="50"/>
      <c r="BJ20" s="49"/>
      <c r="BK20" s="50"/>
      <c r="BL20" s="49"/>
      <c r="BM20" s="50"/>
      <c r="BN20" s="49"/>
    </row>
    <row r="21" spans="1:66" ht="15">
      <c r="A21" s="66" t="s">
        <v>258</v>
      </c>
      <c r="B21" s="66" t="s">
        <v>289</v>
      </c>
      <c r="C21" s="67" t="s">
        <v>1216</v>
      </c>
      <c r="D21" s="68">
        <v>3</v>
      </c>
      <c r="E21" s="67" t="s">
        <v>132</v>
      </c>
      <c r="F21" s="70">
        <v>32</v>
      </c>
      <c r="G21" s="67"/>
      <c r="H21" s="71"/>
      <c r="I21" s="72"/>
      <c r="J21" s="72"/>
      <c r="K21" s="35" t="s">
        <v>65</v>
      </c>
      <c r="L21" s="73">
        <v>21</v>
      </c>
      <c r="M21" s="73"/>
      <c r="N21" s="74"/>
      <c r="O21" s="81" t="s">
        <v>314</v>
      </c>
      <c r="P21" s="83">
        <v>44282.79525462963</v>
      </c>
      <c r="Q21" s="81" t="s">
        <v>320</v>
      </c>
      <c r="R21" s="84" t="str">
        <f>HYPERLINK("https://www.bmj.com/content/372/bmj.n742?utm_source=twitter&amp;utm_medium=social&amp;utm_term=hootsuite&amp;utm_content=sme&amp;utm_campaign=usage")</f>
        <v>https://www.bmj.com/content/372/bmj.n742?utm_source=twitter&amp;utm_medium=social&amp;utm_term=hootsuite&amp;utm_content=sme&amp;utm_campaign=usage</v>
      </c>
      <c r="S21" s="81" t="s">
        <v>337</v>
      </c>
      <c r="T21" s="81"/>
      <c r="U21" s="81"/>
      <c r="V21" s="84" t="str">
        <f>HYPERLINK("https://pbs.twimg.com/profile_images/911677957063749632/xMEhq9nJ_normal.jpg")</f>
        <v>https://pbs.twimg.com/profile_images/911677957063749632/xMEhq9nJ_normal.jpg</v>
      </c>
      <c r="W21" s="83">
        <v>44282.79525462963</v>
      </c>
      <c r="X21" s="88">
        <v>44282</v>
      </c>
      <c r="Y21" s="86" t="s">
        <v>349</v>
      </c>
      <c r="Z21" s="84" t="str">
        <f>HYPERLINK("https://twitter.com/magwes/status/1375886630465179648")</f>
        <v>https://twitter.com/magwes/status/1375886630465179648</v>
      </c>
      <c r="AA21" s="81"/>
      <c r="AB21" s="81"/>
      <c r="AC21" s="86" t="s">
        <v>407</v>
      </c>
      <c r="AD21" s="81"/>
      <c r="AE21" s="81" t="b">
        <v>0</v>
      </c>
      <c r="AF21" s="81">
        <v>0</v>
      </c>
      <c r="AG21" s="86" t="s">
        <v>462</v>
      </c>
      <c r="AH21" s="81" t="b">
        <v>0</v>
      </c>
      <c r="AI21" s="81" t="s">
        <v>467</v>
      </c>
      <c r="AJ21" s="81"/>
      <c r="AK21" s="86" t="s">
        <v>462</v>
      </c>
      <c r="AL21" s="81" t="b">
        <v>0</v>
      </c>
      <c r="AM21" s="81">
        <v>16</v>
      </c>
      <c r="AN21" s="86" t="s">
        <v>456</v>
      </c>
      <c r="AO21" s="86" t="s">
        <v>472</v>
      </c>
      <c r="AP21" s="81" t="b">
        <v>0</v>
      </c>
      <c r="AQ21" s="86" t="s">
        <v>456</v>
      </c>
      <c r="AR21" s="81"/>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1</v>
      </c>
      <c r="BF21" s="49"/>
      <c r="BG21" s="50"/>
      <c r="BH21" s="49"/>
      <c r="BI21" s="50"/>
      <c r="BJ21" s="49"/>
      <c r="BK21" s="50"/>
      <c r="BL21" s="49"/>
      <c r="BM21" s="50"/>
      <c r="BN21" s="49"/>
    </row>
    <row r="22" spans="1:66" ht="15">
      <c r="A22" s="66" t="s">
        <v>258</v>
      </c>
      <c r="B22" s="66" t="s">
        <v>300</v>
      </c>
      <c r="C22" s="67" t="s">
        <v>1216</v>
      </c>
      <c r="D22" s="68">
        <v>3</v>
      </c>
      <c r="E22" s="67" t="s">
        <v>132</v>
      </c>
      <c r="F22" s="70">
        <v>32</v>
      </c>
      <c r="G22" s="67"/>
      <c r="H22" s="71"/>
      <c r="I22" s="72"/>
      <c r="J22" s="72"/>
      <c r="K22" s="35" t="s">
        <v>65</v>
      </c>
      <c r="L22" s="73">
        <v>22</v>
      </c>
      <c r="M22" s="73"/>
      <c r="N22" s="74"/>
      <c r="O22" s="81" t="s">
        <v>315</v>
      </c>
      <c r="P22" s="83">
        <v>44282.79525462963</v>
      </c>
      <c r="Q22" s="81" t="s">
        <v>320</v>
      </c>
      <c r="R22" s="84" t="str">
        <f>HYPERLINK("https://www.bmj.com/content/372/bmj.n742?utm_source=twitter&amp;utm_medium=social&amp;utm_term=hootsuite&amp;utm_content=sme&amp;utm_campaign=usage")</f>
        <v>https://www.bmj.com/content/372/bmj.n742?utm_source=twitter&amp;utm_medium=social&amp;utm_term=hootsuite&amp;utm_content=sme&amp;utm_campaign=usage</v>
      </c>
      <c r="S22" s="81" t="s">
        <v>337</v>
      </c>
      <c r="T22" s="81"/>
      <c r="U22" s="81"/>
      <c r="V22" s="84" t="str">
        <f>HYPERLINK("https://pbs.twimg.com/profile_images/911677957063749632/xMEhq9nJ_normal.jpg")</f>
        <v>https://pbs.twimg.com/profile_images/911677957063749632/xMEhq9nJ_normal.jpg</v>
      </c>
      <c r="W22" s="83">
        <v>44282.79525462963</v>
      </c>
      <c r="X22" s="88">
        <v>44282</v>
      </c>
      <c r="Y22" s="86" t="s">
        <v>349</v>
      </c>
      <c r="Z22" s="84" t="str">
        <f>HYPERLINK("https://twitter.com/magwes/status/1375886630465179648")</f>
        <v>https://twitter.com/magwes/status/1375886630465179648</v>
      </c>
      <c r="AA22" s="81"/>
      <c r="AB22" s="81"/>
      <c r="AC22" s="86" t="s">
        <v>407</v>
      </c>
      <c r="AD22" s="81"/>
      <c r="AE22" s="81" t="b">
        <v>0</v>
      </c>
      <c r="AF22" s="81">
        <v>0</v>
      </c>
      <c r="AG22" s="86" t="s">
        <v>462</v>
      </c>
      <c r="AH22" s="81" t="b">
        <v>0</v>
      </c>
      <c r="AI22" s="81" t="s">
        <v>467</v>
      </c>
      <c r="AJ22" s="81"/>
      <c r="AK22" s="86" t="s">
        <v>462</v>
      </c>
      <c r="AL22" s="81" t="b">
        <v>0</v>
      </c>
      <c r="AM22" s="81">
        <v>16</v>
      </c>
      <c r="AN22" s="86" t="s">
        <v>456</v>
      </c>
      <c r="AO22" s="86" t="s">
        <v>472</v>
      </c>
      <c r="AP22" s="81" t="b">
        <v>0</v>
      </c>
      <c r="AQ22" s="86" t="s">
        <v>456</v>
      </c>
      <c r="AR22" s="81"/>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v>1</v>
      </c>
      <c r="BG22" s="50">
        <v>2.7777777777777777</v>
      </c>
      <c r="BH22" s="49">
        <v>1</v>
      </c>
      <c r="BI22" s="50">
        <v>2.7777777777777777</v>
      </c>
      <c r="BJ22" s="49">
        <v>0</v>
      </c>
      <c r="BK22" s="50">
        <v>0</v>
      </c>
      <c r="BL22" s="49">
        <v>34</v>
      </c>
      <c r="BM22" s="50">
        <v>94.44444444444444</v>
      </c>
      <c r="BN22" s="49">
        <v>36</v>
      </c>
    </row>
    <row r="23" spans="1:66" ht="15">
      <c r="A23" s="66" t="s">
        <v>259</v>
      </c>
      <c r="B23" s="66" t="s">
        <v>289</v>
      </c>
      <c r="C23" s="67" t="s">
        <v>1216</v>
      </c>
      <c r="D23" s="68">
        <v>3</v>
      </c>
      <c r="E23" s="67" t="s">
        <v>132</v>
      </c>
      <c r="F23" s="70">
        <v>32</v>
      </c>
      <c r="G23" s="67"/>
      <c r="H23" s="71"/>
      <c r="I23" s="72"/>
      <c r="J23" s="72"/>
      <c r="K23" s="35" t="s">
        <v>65</v>
      </c>
      <c r="L23" s="73">
        <v>23</v>
      </c>
      <c r="M23" s="73"/>
      <c r="N23" s="74"/>
      <c r="O23" s="81" t="s">
        <v>314</v>
      </c>
      <c r="P23" s="83">
        <v>44282.80372685185</v>
      </c>
      <c r="Q23" s="81" t="s">
        <v>320</v>
      </c>
      <c r="R23" s="84" t="str">
        <f>HYPERLINK("https://www.bmj.com/content/372/bmj.n742?utm_source=twitter&amp;utm_medium=social&amp;utm_term=hootsuite&amp;utm_content=sme&amp;utm_campaign=usage")</f>
        <v>https://www.bmj.com/content/372/bmj.n742?utm_source=twitter&amp;utm_medium=social&amp;utm_term=hootsuite&amp;utm_content=sme&amp;utm_campaign=usage</v>
      </c>
      <c r="S23" s="81" t="s">
        <v>337</v>
      </c>
      <c r="T23" s="81"/>
      <c r="U23" s="81"/>
      <c r="V23" s="84" t="str">
        <f>HYPERLINK("https://pbs.twimg.com/profile_images/1291005465577611264/uix91Bpt_normal.jpg")</f>
        <v>https://pbs.twimg.com/profile_images/1291005465577611264/uix91Bpt_normal.jpg</v>
      </c>
      <c r="W23" s="83">
        <v>44282.80372685185</v>
      </c>
      <c r="X23" s="88">
        <v>44282</v>
      </c>
      <c r="Y23" s="86" t="s">
        <v>350</v>
      </c>
      <c r="Z23" s="84" t="str">
        <f>HYPERLINK("https://twitter.com/wimceelen/status/1375889700305694721")</f>
        <v>https://twitter.com/wimceelen/status/1375889700305694721</v>
      </c>
      <c r="AA23" s="81"/>
      <c r="AB23" s="81"/>
      <c r="AC23" s="86" t="s">
        <v>408</v>
      </c>
      <c r="AD23" s="81"/>
      <c r="AE23" s="81" t="b">
        <v>0</v>
      </c>
      <c r="AF23" s="81">
        <v>0</v>
      </c>
      <c r="AG23" s="86" t="s">
        <v>462</v>
      </c>
      <c r="AH23" s="81" t="b">
        <v>0</v>
      </c>
      <c r="AI23" s="81" t="s">
        <v>467</v>
      </c>
      <c r="AJ23" s="81"/>
      <c r="AK23" s="86" t="s">
        <v>462</v>
      </c>
      <c r="AL23" s="81" t="b">
        <v>0</v>
      </c>
      <c r="AM23" s="81">
        <v>16</v>
      </c>
      <c r="AN23" s="86" t="s">
        <v>456</v>
      </c>
      <c r="AO23" s="86" t="s">
        <v>472</v>
      </c>
      <c r="AP23" s="81" t="b">
        <v>0</v>
      </c>
      <c r="AQ23" s="86" t="s">
        <v>456</v>
      </c>
      <c r="AR23" s="81"/>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6" t="s">
        <v>259</v>
      </c>
      <c r="B24" s="66" t="s">
        <v>300</v>
      </c>
      <c r="C24" s="67" t="s">
        <v>1216</v>
      </c>
      <c r="D24" s="68">
        <v>3</v>
      </c>
      <c r="E24" s="67" t="s">
        <v>132</v>
      </c>
      <c r="F24" s="70">
        <v>32</v>
      </c>
      <c r="G24" s="67"/>
      <c r="H24" s="71"/>
      <c r="I24" s="72"/>
      <c r="J24" s="72"/>
      <c r="K24" s="35" t="s">
        <v>65</v>
      </c>
      <c r="L24" s="73">
        <v>24</v>
      </c>
      <c r="M24" s="73"/>
      <c r="N24" s="74"/>
      <c r="O24" s="81" t="s">
        <v>315</v>
      </c>
      <c r="P24" s="83">
        <v>44282.80372685185</v>
      </c>
      <c r="Q24" s="81" t="s">
        <v>320</v>
      </c>
      <c r="R24" s="84" t="str">
        <f>HYPERLINK("https://www.bmj.com/content/372/bmj.n742?utm_source=twitter&amp;utm_medium=social&amp;utm_term=hootsuite&amp;utm_content=sme&amp;utm_campaign=usage")</f>
        <v>https://www.bmj.com/content/372/bmj.n742?utm_source=twitter&amp;utm_medium=social&amp;utm_term=hootsuite&amp;utm_content=sme&amp;utm_campaign=usage</v>
      </c>
      <c r="S24" s="81" t="s">
        <v>337</v>
      </c>
      <c r="T24" s="81"/>
      <c r="U24" s="81"/>
      <c r="V24" s="84" t="str">
        <f>HYPERLINK("https://pbs.twimg.com/profile_images/1291005465577611264/uix91Bpt_normal.jpg")</f>
        <v>https://pbs.twimg.com/profile_images/1291005465577611264/uix91Bpt_normal.jpg</v>
      </c>
      <c r="W24" s="83">
        <v>44282.80372685185</v>
      </c>
      <c r="X24" s="88">
        <v>44282</v>
      </c>
      <c r="Y24" s="86" t="s">
        <v>350</v>
      </c>
      <c r="Z24" s="84" t="str">
        <f>HYPERLINK("https://twitter.com/wimceelen/status/1375889700305694721")</f>
        <v>https://twitter.com/wimceelen/status/1375889700305694721</v>
      </c>
      <c r="AA24" s="81"/>
      <c r="AB24" s="81"/>
      <c r="AC24" s="86" t="s">
        <v>408</v>
      </c>
      <c r="AD24" s="81"/>
      <c r="AE24" s="81" t="b">
        <v>0</v>
      </c>
      <c r="AF24" s="81">
        <v>0</v>
      </c>
      <c r="AG24" s="86" t="s">
        <v>462</v>
      </c>
      <c r="AH24" s="81" t="b">
        <v>0</v>
      </c>
      <c r="AI24" s="81" t="s">
        <v>467</v>
      </c>
      <c r="AJ24" s="81"/>
      <c r="AK24" s="86" t="s">
        <v>462</v>
      </c>
      <c r="AL24" s="81" t="b">
        <v>0</v>
      </c>
      <c r="AM24" s="81">
        <v>16</v>
      </c>
      <c r="AN24" s="86" t="s">
        <v>456</v>
      </c>
      <c r="AO24" s="86" t="s">
        <v>472</v>
      </c>
      <c r="AP24" s="81" t="b">
        <v>0</v>
      </c>
      <c r="AQ24" s="86" t="s">
        <v>456</v>
      </c>
      <c r="AR24" s="81"/>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2</v>
      </c>
      <c r="BF24" s="49">
        <v>1</v>
      </c>
      <c r="BG24" s="50">
        <v>2.7777777777777777</v>
      </c>
      <c r="BH24" s="49">
        <v>1</v>
      </c>
      <c r="BI24" s="50">
        <v>2.7777777777777777</v>
      </c>
      <c r="BJ24" s="49">
        <v>0</v>
      </c>
      <c r="BK24" s="50">
        <v>0</v>
      </c>
      <c r="BL24" s="49">
        <v>34</v>
      </c>
      <c r="BM24" s="50">
        <v>94.44444444444444</v>
      </c>
      <c r="BN24" s="49">
        <v>36</v>
      </c>
    </row>
    <row r="25" spans="1:66" ht="15">
      <c r="A25" s="66" t="s">
        <v>260</v>
      </c>
      <c r="B25" s="66" t="s">
        <v>289</v>
      </c>
      <c r="C25" s="67" t="s">
        <v>1216</v>
      </c>
      <c r="D25" s="68">
        <v>3</v>
      </c>
      <c r="E25" s="67" t="s">
        <v>132</v>
      </c>
      <c r="F25" s="70">
        <v>32</v>
      </c>
      <c r="G25" s="67"/>
      <c r="H25" s="71"/>
      <c r="I25" s="72"/>
      <c r="J25" s="72"/>
      <c r="K25" s="35" t="s">
        <v>65</v>
      </c>
      <c r="L25" s="73">
        <v>25</v>
      </c>
      <c r="M25" s="73"/>
      <c r="N25" s="74"/>
      <c r="O25" s="81" t="s">
        <v>314</v>
      </c>
      <c r="P25" s="83">
        <v>44282.84510416666</v>
      </c>
      <c r="Q25" s="81" t="s">
        <v>320</v>
      </c>
      <c r="R25" s="84" t="str">
        <f>HYPERLINK("https://www.bmj.com/content/372/bmj.n742?utm_source=twitter&amp;utm_medium=social&amp;utm_term=hootsuite&amp;utm_content=sme&amp;utm_campaign=usage")</f>
        <v>https://www.bmj.com/content/372/bmj.n742?utm_source=twitter&amp;utm_medium=social&amp;utm_term=hootsuite&amp;utm_content=sme&amp;utm_campaign=usage</v>
      </c>
      <c r="S25" s="81" t="s">
        <v>337</v>
      </c>
      <c r="T25" s="81"/>
      <c r="U25" s="81"/>
      <c r="V25" s="84" t="str">
        <f>HYPERLINK("https://pbs.twimg.com/profile_images/1350949668692353024/dnxuL6FK_normal.jpg")</f>
        <v>https://pbs.twimg.com/profile_images/1350949668692353024/dnxuL6FK_normal.jpg</v>
      </c>
      <c r="W25" s="83">
        <v>44282.84510416666</v>
      </c>
      <c r="X25" s="88">
        <v>44282</v>
      </c>
      <c r="Y25" s="86" t="s">
        <v>351</v>
      </c>
      <c r="Z25" s="84" t="str">
        <f>HYPERLINK("https://twitter.com/jenniferathomp/status/1375904695072419840")</f>
        <v>https://twitter.com/jenniferathomp/status/1375904695072419840</v>
      </c>
      <c r="AA25" s="81"/>
      <c r="AB25" s="81"/>
      <c r="AC25" s="86" t="s">
        <v>409</v>
      </c>
      <c r="AD25" s="81"/>
      <c r="AE25" s="81" t="b">
        <v>0</v>
      </c>
      <c r="AF25" s="81">
        <v>0</v>
      </c>
      <c r="AG25" s="86" t="s">
        <v>462</v>
      </c>
      <c r="AH25" s="81" t="b">
        <v>0</v>
      </c>
      <c r="AI25" s="81" t="s">
        <v>467</v>
      </c>
      <c r="AJ25" s="81"/>
      <c r="AK25" s="86" t="s">
        <v>462</v>
      </c>
      <c r="AL25" s="81" t="b">
        <v>0</v>
      </c>
      <c r="AM25" s="81">
        <v>16</v>
      </c>
      <c r="AN25" s="86" t="s">
        <v>456</v>
      </c>
      <c r="AO25" s="86" t="s">
        <v>470</v>
      </c>
      <c r="AP25" s="81" t="b">
        <v>0</v>
      </c>
      <c r="AQ25" s="86" t="s">
        <v>456</v>
      </c>
      <c r="AR25" s="81"/>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1</v>
      </c>
      <c r="BF25" s="49"/>
      <c r="BG25" s="50"/>
      <c r="BH25" s="49"/>
      <c r="BI25" s="50"/>
      <c r="BJ25" s="49"/>
      <c r="BK25" s="50"/>
      <c r="BL25" s="49"/>
      <c r="BM25" s="50"/>
      <c r="BN25" s="49"/>
    </row>
    <row r="26" spans="1:66" ht="15">
      <c r="A26" s="66" t="s">
        <v>260</v>
      </c>
      <c r="B26" s="66" t="s">
        <v>300</v>
      </c>
      <c r="C26" s="67" t="s">
        <v>1216</v>
      </c>
      <c r="D26" s="68">
        <v>3</v>
      </c>
      <c r="E26" s="67" t="s">
        <v>132</v>
      </c>
      <c r="F26" s="70">
        <v>32</v>
      </c>
      <c r="G26" s="67"/>
      <c r="H26" s="71"/>
      <c r="I26" s="72"/>
      <c r="J26" s="72"/>
      <c r="K26" s="35" t="s">
        <v>65</v>
      </c>
      <c r="L26" s="73">
        <v>26</v>
      </c>
      <c r="M26" s="73"/>
      <c r="N26" s="74"/>
      <c r="O26" s="81" t="s">
        <v>315</v>
      </c>
      <c r="P26" s="83">
        <v>44282.84510416666</v>
      </c>
      <c r="Q26" s="81" t="s">
        <v>320</v>
      </c>
      <c r="R26" s="84" t="str">
        <f>HYPERLINK("https://www.bmj.com/content/372/bmj.n742?utm_source=twitter&amp;utm_medium=social&amp;utm_term=hootsuite&amp;utm_content=sme&amp;utm_campaign=usage")</f>
        <v>https://www.bmj.com/content/372/bmj.n742?utm_source=twitter&amp;utm_medium=social&amp;utm_term=hootsuite&amp;utm_content=sme&amp;utm_campaign=usage</v>
      </c>
      <c r="S26" s="81" t="s">
        <v>337</v>
      </c>
      <c r="T26" s="81"/>
      <c r="U26" s="81"/>
      <c r="V26" s="84" t="str">
        <f>HYPERLINK("https://pbs.twimg.com/profile_images/1350949668692353024/dnxuL6FK_normal.jpg")</f>
        <v>https://pbs.twimg.com/profile_images/1350949668692353024/dnxuL6FK_normal.jpg</v>
      </c>
      <c r="W26" s="83">
        <v>44282.84510416666</v>
      </c>
      <c r="X26" s="88">
        <v>44282</v>
      </c>
      <c r="Y26" s="86" t="s">
        <v>351</v>
      </c>
      <c r="Z26" s="84" t="str">
        <f>HYPERLINK("https://twitter.com/jenniferathomp/status/1375904695072419840")</f>
        <v>https://twitter.com/jenniferathomp/status/1375904695072419840</v>
      </c>
      <c r="AA26" s="81"/>
      <c r="AB26" s="81"/>
      <c r="AC26" s="86" t="s">
        <v>409</v>
      </c>
      <c r="AD26" s="81"/>
      <c r="AE26" s="81" t="b">
        <v>0</v>
      </c>
      <c r="AF26" s="81">
        <v>0</v>
      </c>
      <c r="AG26" s="86" t="s">
        <v>462</v>
      </c>
      <c r="AH26" s="81" t="b">
        <v>0</v>
      </c>
      <c r="AI26" s="81" t="s">
        <v>467</v>
      </c>
      <c r="AJ26" s="81"/>
      <c r="AK26" s="86" t="s">
        <v>462</v>
      </c>
      <c r="AL26" s="81" t="b">
        <v>0</v>
      </c>
      <c r="AM26" s="81">
        <v>16</v>
      </c>
      <c r="AN26" s="86" t="s">
        <v>456</v>
      </c>
      <c r="AO26" s="86" t="s">
        <v>470</v>
      </c>
      <c r="AP26" s="81" t="b">
        <v>0</v>
      </c>
      <c r="AQ26" s="86" t="s">
        <v>456</v>
      </c>
      <c r="AR26" s="81"/>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9">
        <v>1</v>
      </c>
      <c r="BG26" s="50">
        <v>2.7777777777777777</v>
      </c>
      <c r="BH26" s="49">
        <v>1</v>
      </c>
      <c r="BI26" s="50">
        <v>2.7777777777777777</v>
      </c>
      <c r="BJ26" s="49">
        <v>0</v>
      </c>
      <c r="BK26" s="50">
        <v>0</v>
      </c>
      <c r="BL26" s="49">
        <v>34</v>
      </c>
      <c r="BM26" s="50">
        <v>94.44444444444444</v>
      </c>
      <c r="BN26" s="49">
        <v>36</v>
      </c>
    </row>
    <row r="27" spans="1:66" ht="15">
      <c r="A27" s="66" t="s">
        <v>261</v>
      </c>
      <c r="B27" s="66" t="s">
        <v>289</v>
      </c>
      <c r="C27" s="67" t="s">
        <v>1216</v>
      </c>
      <c r="D27" s="68">
        <v>3</v>
      </c>
      <c r="E27" s="67" t="s">
        <v>132</v>
      </c>
      <c r="F27" s="70">
        <v>32</v>
      </c>
      <c r="G27" s="67"/>
      <c r="H27" s="71"/>
      <c r="I27" s="72"/>
      <c r="J27" s="72"/>
      <c r="K27" s="35" t="s">
        <v>65</v>
      </c>
      <c r="L27" s="73">
        <v>27</v>
      </c>
      <c r="M27" s="73"/>
      <c r="N27" s="74"/>
      <c r="O27" s="81" t="s">
        <v>314</v>
      </c>
      <c r="P27" s="83">
        <v>44282.87107638889</v>
      </c>
      <c r="Q27" s="81" t="s">
        <v>320</v>
      </c>
      <c r="R27" s="84" t="str">
        <f>HYPERLINK("https://www.bmj.com/content/372/bmj.n742?utm_source=twitter&amp;utm_medium=social&amp;utm_term=hootsuite&amp;utm_content=sme&amp;utm_campaign=usage")</f>
        <v>https://www.bmj.com/content/372/bmj.n742?utm_source=twitter&amp;utm_medium=social&amp;utm_term=hootsuite&amp;utm_content=sme&amp;utm_campaign=usage</v>
      </c>
      <c r="S27" s="81" t="s">
        <v>337</v>
      </c>
      <c r="T27" s="81"/>
      <c r="U27" s="81"/>
      <c r="V27" s="84" t="str">
        <f>HYPERLINK("https://pbs.twimg.com/profile_images/1187981630201184256/dvK3Xvnt_normal.jpg")</f>
        <v>https://pbs.twimg.com/profile_images/1187981630201184256/dvK3Xvnt_normal.jpg</v>
      </c>
      <c r="W27" s="83">
        <v>44282.87107638889</v>
      </c>
      <c r="X27" s="88">
        <v>44282</v>
      </c>
      <c r="Y27" s="86" t="s">
        <v>352</v>
      </c>
      <c r="Z27" s="84" t="str">
        <f>HYPERLINK("https://twitter.com/ibavli/status/1375914107119935490")</f>
        <v>https://twitter.com/ibavli/status/1375914107119935490</v>
      </c>
      <c r="AA27" s="81"/>
      <c r="AB27" s="81"/>
      <c r="AC27" s="86" t="s">
        <v>410</v>
      </c>
      <c r="AD27" s="81"/>
      <c r="AE27" s="81" t="b">
        <v>0</v>
      </c>
      <c r="AF27" s="81">
        <v>0</v>
      </c>
      <c r="AG27" s="86" t="s">
        <v>462</v>
      </c>
      <c r="AH27" s="81" t="b">
        <v>0</v>
      </c>
      <c r="AI27" s="81" t="s">
        <v>467</v>
      </c>
      <c r="AJ27" s="81"/>
      <c r="AK27" s="86" t="s">
        <v>462</v>
      </c>
      <c r="AL27" s="81" t="b">
        <v>0</v>
      </c>
      <c r="AM27" s="81">
        <v>16</v>
      </c>
      <c r="AN27" s="86" t="s">
        <v>456</v>
      </c>
      <c r="AO27" s="86" t="s">
        <v>471</v>
      </c>
      <c r="AP27" s="81" t="b">
        <v>0</v>
      </c>
      <c r="AQ27" s="86" t="s">
        <v>456</v>
      </c>
      <c r="AR27" s="81"/>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6" t="s">
        <v>261</v>
      </c>
      <c r="B28" s="66" t="s">
        <v>300</v>
      </c>
      <c r="C28" s="67" t="s">
        <v>1216</v>
      </c>
      <c r="D28" s="68">
        <v>3</v>
      </c>
      <c r="E28" s="67" t="s">
        <v>132</v>
      </c>
      <c r="F28" s="70">
        <v>32</v>
      </c>
      <c r="G28" s="67"/>
      <c r="H28" s="71"/>
      <c r="I28" s="72"/>
      <c r="J28" s="72"/>
      <c r="K28" s="35" t="s">
        <v>65</v>
      </c>
      <c r="L28" s="73">
        <v>28</v>
      </c>
      <c r="M28" s="73"/>
      <c r="N28" s="74"/>
      <c r="O28" s="81" t="s">
        <v>315</v>
      </c>
      <c r="P28" s="83">
        <v>44282.87107638889</v>
      </c>
      <c r="Q28" s="81" t="s">
        <v>320</v>
      </c>
      <c r="R28" s="84" t="str">
        <f>HYPERLINK("https://www.bmj.com/content/372/bmj.n742?utm_source=twitter&amp;utm_medium=social&amp;utm_term=hootsuite&amp;utm_content=sme&amp;utm_campaign=usage")</f>
        <v>https://www.bmj.com/content/372/bmj.n742?utm_source=twitter&amp;utm_medium=social&amp;utm_term=hootsuite&amp;utm_content=sme&amp;utm_campaign=usage</v>
      </c>
      <c r="S28" s="81" t="s">
        <v>337</v>
      </c>
      <c r="T28" s="81"/>
      <c r="U28" s="81"/>
      <c r="V28" s="84" t="str">
        <f>HYPERLINK("https://pbs.twimg.com/profile_images/1187981630201184256/dvK3Xvnt_normal.jpg")</f>
        <v>https://pbs.twimg.com/profile_images/1187981630201184256/dvK3Xvnt_normal.jpg</v>
      </c>
      <c r="W28" s="83">
        <v>44282.87107638889</v>
      </c>
      <c r="X28" s="88">
        <v>44282</v>
      </c>
      <c r="Y28" s="86" t="s">
        <v>352</v>
      </c>
      <c r="Z28" s="84" t="str">
        <f>HYPERLINK("https://twitter.com/ibavli/status/1375914107119935490")</f>
        <v>https://twitter.com/ibavli/status/1375914107119935490</v>
      </c>
      <c r="AA28" s="81"/>
      <c r="AB28" s="81"/>
      <c r="AC28" s="86" t="s">
        <v>410</v>
      </c>
      <c r="AD28" s="81"/>
      <c r="AE28" s="81" t="b">
        <v>0</v>
      </c>
      <c r="AF28" s="81">
        <v>0</v>
      </c>
      <c r="AG28" s="86" t="s">
        <v>462</v>
      </c>
      <c r="AH28" s="81" t="b">
        <v>0</v>
      </c>
      <c r="AI28" s="81" t="s">
        <v>467</v>
      </c>
      <c r="AJ28" s="81"/>
      <c r="AK28" s="86" t="s">
        <v>462</v>
      </c>
      <c r="AL28" s="81" t="b">
        <v>0</v>
      </c>
      <c r="AM28" s="81">
        <v>16</v>
      </c>
      <c r="AN28" s="86" t="s">
        <v>456</v>
      </c>
      <c r="AO28" s="86" t="s">
        <v>471</v>
      </c>
      <c r="AP28" s="81" t="b">
        <v>0</v>
      </c>
      <c r="AQ28" s="86" t="s">
        <v>456</v>
      </c>
      <c r="AR28" s="81"/>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2</v>
      </c>
      <c r="BF28" s="49">
        <v>1</v>
      </c>
      <c r="BG28" s="50">
        <v>2.7777777777777777</v>
      </c>
      <c r="BH28" s="49">
        <v>1</v>
      </c>
      <c r="BI28" s="50">
        <v>2.7777777777777777</v>
      </c>
      <c r="BJ28" s="49">
        <v>0</v>
      </c>
      <c r="BK28" s="50">
        <v>0</v>
      </c>
      <c r="BL28" s="49">
        <v>34</v>
      </c>
      <c r="BM28" s="50">
        <v>94.44444444444444</v>
      </c>
      <c r="BN28" s="49">
        <v>36</v>
      </c>
    </row>
    <row r="29" spans="1:66" ht="15">
      <c r="A29" s="66" t="s">
        <v>262</v>
      </c>
      <c r="B29" s="66" t="s">
        <v>300</v>
      </c>
      <c r="C29" s="67" t="s">
        <v>1216</v>
      </c>
      <c r="D29" s="68">
        <v>3</v>
      </c>
      <c r="E29" s="67" t="s">
        <v>132</v>
      </c>
      <c r="F29" s="70">
        <v>32</v>
      </c>
      <c r="G29" s="67"/>
      <c r="H29" s="71"/>
      <c r="I29" s="72"/>
      <c r="J29" s="72"/>
      <c r="K29" s="35" t="s">
        <v>65</v>
      </c>
      <c r="L29" s="73">
        <v>29</v>
      </c>
      <c r="M29" s="73"/>
      <c r="N29" s="74"/>
      <c r="O29" s="81" t="s">
        <v>314</v>
      </c>
      <c r="P29" s="83">
        <v>44290.94888888889</v>
      </c>
      <c r="Q29" s="81" t="s">
        <v>322</v>
      </c>
      <c r="R29" s="81" t="s">
        <v>336</v>
      </c>
      <c r="S29" s="81" t="s">
        <v>338</v>
      </c>
      <c r="T29" s="81"/>
      <c r="U29" s="81"/>
      <c r="V29" s="84" t="str">
        <f>HYPERLINK("https://pbs.twimg.com/profile_images/1095879849879785472/Lnzaj0He_normal.jpg")</f>
        <v>https://pbs.twimg.com/profile_images/1095879849879785472/Lnzaj0He_normal.jpg</v>
      </c>
      <c r="W29" s="83">
        <v>44290.94888888889</v>
      </c>
      <c r="X29" s="88">
        <v>44290</v>
      </c>
      <c r="Y29" s="86" t="s">
        <v>353</v>
      </c>
      <c r="Z29" s="84" t="str">
        <f>HYPERLINK("https://twitter.com/ggsoca/status/1378841409726332931")</f>
        <v>https://twitter.com/ggsoca/status/1378841409726332931</v>
      </c>
      <c r="AA29" s="81"/>
      <c r="AB29" s="81"/>
      <c r="AC29" s="86" t="s">
        <v>411</v>
      </c>
      <c r="AD29" s="81"/>
      <c r="AE29" s="81" t="b">
        <v>0</v>
      </c>
      <c r="AF29" s="81">
        <v>0</v>
      </c>
      <c r="AG29" s="86" t="s">
        <v>462</v>
      </c>
      <c r="AH29" s="81" t="b">
        <v>0</v>
      </c>
      <c r="AI29" s="81" t="s">
        <v>469</v>
      </c>
      <c r="AJ29" s="81"/>
      <c r="AK29" s="86" t="s">
        <v>462</v>
      </c>
      <c r="AL29" s="81" t="b">
        <v>0</v>
      </c>
      <c r="AM29" s="81">
        <v>4</v>
      </c>
      <c r="AN29" s="86" t="s">
        <v>448</v>
      </c>
      <c r="AO29" s="86" t="s">
        <v>470</v>
      </c>
      <c r="AP29" s="81" t="b">
        <v>0</v>
      </c>
      <c r="AQ29" s="86" t="s">
        <v>448</v>
      </c>
      <c r="AR29" s="81"/>
      <c r="AS29" s="81">
        <v>0</v>
      </c>
      <c r="AT29" s="81">
        <v>0</v>
      </c>
      <c r="AU29" s="81"/>
      <c r="AV29" s="81"/>
      <c r="AW29" s="81"/>
      <c r="AX29" s="81"/>
      <c r="AY29" s="81"/>
      <c r="AZ29" s="81"/>
      <c r="BA29" s="81"/>
      <c r="BB29" s="81"/>
      <c r="BC29">
        <v>1</v>
      </c>
      <c r="BD29" s="80" t="str">
        <f>REPLACE(INDEX(GroupVertices[Group],MATCH(Edges[[#This Row],[Vertex 1]],GroupVertices[Vertex],0)),1,1,"")</f>
        <v>5</v>
      </c>
      <c r="BE29" s="80" t="str">
        <f>REPLACE(INDEX(GroupVertices[Group],MATCH(Edges[[#This Row],[Vertex 2]],GroupVertices[Vertex],0)),1,1,"")</f>
        <v>2</v>
      </c>
      <c r="BF29" s="49"/>
      <c r="BG29" s="50"/>
      <c r="BH29" s="49"/>
      <c r="BI29" s="50"/>
      <c r="BJ29" s="49"/>
      <c r="BK29" s="50"/>
      <c r="BL29" s="49"/>
      <c r="BM29" s="50"/>
      <c r="BN29" s="49"/>
    </row>
    <row r="30" spans="1:66" ht="15">
      <c r="A30" s="66" t="s">
        <v>262</v>
      </c>
      <c r="B30" s="66" t="s">
        <v>297</v>
      </c>
      <c r="C30" s="67" t="s">
        <v>1216</v>
      </c>
      <c r="D30" s="68">
        <v>3</v>
      </c>
      <c r="E30" s="67" t="s">
        <v>132</v>
      </c>
      <c r="F30" s="70">
        <v>32</v>
      </c>
      <c r="G30" s="67"/>
      <c r="H30" s="71"/>
      <c r="I30" s="72"/>
      <c r="J30" s="72"/>
      <c r="K30" s="35" t="s">
        <v>65</v>
      </c>
      <c r="L30" s="73">
        <v>30</v>
      </c>
      <c r="M30" s="73"/>
      <c r="N30" s="74"/>
      <c r="O30" s="81" t="s">
        <v>314</v>
      </c>
      <c r="P30" s="83">
        <v>44290.94888888889</v>
      </c>
      <c r="Q30" s="81" t="s">
        <v>322</v>
      </c>
      <c r="R30" s="81" t="s">
        <v>336</v>
      </c>
      <c r="S30" s="81" t="s">
        <v>338</v>
      </c>
      <c r="T30" s="81"/>
      <c r="U30" s="81"/>
      <c r="V30" s="84" t="str">
        <f>HYPERLINK("https://pbs.twimg.com/profile_images/1095879849879785472/Lnzaj0He_normal.jpg")</f>
        <v>https://pbs.twimg.com/profile_images/1095879849879785472/Lnzaj0He_normal.jpg</v>
      </c>
      <c r="W30" s="83">
        <v>44290.94888888889</v>
      </c>
      <c r="X30" s="88">
        <v>44290</v>
      </c>
      <c r="Y30" s="86" t="s">
        <v>353</v>
      </c>
      <c r="Z30" s="84" t="str">
        <f>HYPERLINK("https://twitter.com/ggsoca/status/1378841409726332931")</f>
        <v>https://twitter.com/ggsoca/status/1378841409726332931</v>
      </c>
      <c r="AA30" s="81"/>
      <c r="AB30" s="81"/>
      <c r="AC30" s="86" t="s">
        <v>411</v>
      </c>
      <c r="AD30" s="81"/>
      <c r="AE30" s="81" t="b">
        <v>0</v>
      </c>
      <c r="AF30" s="81">
        <v>0</v>
      </c>
      <c r="AG30" s="86" t="s">
        <v>462</v>
      </c>
      <c r="AH30" s="81" t="b">
        <v>0</v>
      </c>
      <c r="AI30" s="81" t="s">
        <v>469</v>
      </c>
      <c r="AJ30" s="81"/>
      <c r="AK30" s="86" t="s">
        <v>462</v>
      </c>
      <c r="AL30" s="81" t="b">
        <v>0</v>
      </c>
      <c r="AM30" s="81">
        <v>4</v>
      </c>
      <c r="AN30" s="86" t="s">
        <v>448</v>
      </c>
      <c r="AO30" s="86" t="s">
        <v>470</v>
      </c>
      <c r="AP30" s="81" t="b">
        <v>0</v>
      </c>
      <c r="AQ30" s="86" t="s">
        <v>448</v>
      </c>
      <c r="AR30" s="81"/>
      <c r="AS30" s="81">
        <v>0</v>
      </c>
      <c r="AT30" s="81">
        <v>0</v>
      </c>
      <c r="AU30" s="81"/>
      <c r="AV30" s="81"/>
      <c r="AW30" s="81"/>
      <c r="AX30" s="81"/>
      <c r="AY30" s="81"/>
      <c r="AZ30" s="81"/>
      <c r="BA30" s="81"/>
      <c r="BB30" s="81"/>
      <c r="BC30">
        <v>1</v>
      </c>
      <c r="BD30" s="80" t="str">
        <f>REPLACE(INDEX(GroupVertices[Group],MATCH(Edges[[#This Row],[Vertex 1]],GroupVertices[Vertex],0)),1,1,"")</f>
        <v>5</v>
      </c>
      <c r="BE30" s="80" t="str">
        <f>REPLACE(INDEX(GroupVertices[Group],MATCH(Edges[[#This Row],[Vertex 2]],GroupVertices[Vertex],0)),1,1,"")</f>
        <v>5</v>
      </c>
      <c r="BF30" s="49"/>
      <c r="BG30" s="50"/>
      <c r="BH30" s="49"/>
      <c r="BI30" s="50"/>
      <c r="BJ30" s="49"/>
      <c r="BK30" s="50"/>
      <c r="BL30" s="49"/>
      <c r="BM30" s="50"/>
      <c r="BN30" s="49"/>
    </row>
    <row r="31" spans="1:66" ht="15">
      <c r="A31" s="66" t="s">
        <v>262</v>
      </c>
      <c r="B31" s="66" t="s">
        <v>295</v>
      </c>
      <c r="C31" s="67" t="s">
        <v>1216</v>
      </c>
      <c r="D31" s="68">
        <v>3</v>
      </c>
      <c r="E31" s="67" t="s">
        <v>132</v>
      </c>
      <c r="F31" s="70">
        <v>32</v>
      </c>
      <c r="G31" s="67"/>
      <c r="H31" s="71"/>
      <c r="I31" s="72"/>
      <c r="J31" s="72"/>
      <c r="K31" s="35" t="s">
        <v>65</v>
      </c>
      <c r="L31" s="73">
        <v>31</v>
      </c>
      <c r="M31" s="73"/>
      <c r="N31" s="74"/>
      <c r="O31" s="81" t="s">
        <v>314</v>
      </c>
      <c r="P31" s="83">
        <v>44290.94888888889</v>
      </c>
      <c r="Q31" s="81" t="s">
        <v>322</v>
      </c>
      <c r="R31" s="81" t="s">
        <v>336</v>
      </c>
      <c r="S31" s="81" t="s">
        <v>338</v>
      </c>
      <c r="T31" s="81"/>
      <c r="U31" s="81"/>
      <c r="V31" s="84" t="str">
        <f>HYPERLINK("https://pbs.twimg.com/profile_images/1095879849879785472/Lnzaj0He_normal.jpg")</f>
        <v>https://pbs.twimg.com/profile_images/1095879849879785472/Lnzaj0He_normal.jpg</v>
      </c>
      <c r="W31" s="83">
        <v>44290.94888888889</v>
      </c>
      <c r="X31" s="88">
        <v>44290</v>
      </c>
      <c r="Y31" s="86" t="s">
        <v>353</v>
      </c>
      <c r="Z31" s="84" t="str">
        <f>HYPERLINK("https://twitter.com/ggsoca/status/1378841409726332931")</f>
        <v>https://twitter.com/ggsoca/status/1378841409726332931</v>
      </c>
      <c r="AA31" s="81"/>
      <c r="AB31" s="81"/>
      <c r="AC31" s="86" t="s">
        <v>411</v>
      </c>
      <c r="AD31" s="81"/>
      <c r="AE31" s="81" t="b">
        <v>0</v>
      </c>
      <c r="AF31" s="81">
        <v>0</v>
      </c>
      <c r="AG31" s="86" t="s">
        <v>462</v>
      </c>
      <c r="AH31" s="81" t="b">
        <v>0</v>
      </c>
      <c r="AI31" s="81" t="s">
        <v>469</v>
      </c>
      <c r="AJ31" s="81"/>
      <c r="AK31" s="86" t="s">
        <v>462</v>
      </c>
      <c r="AL31" s="81" t="b">
        <v>0</v>
      </c>
      <c r="AM31" s="81">
        <v>4</v>
      </c>
      <c r="AN31" s="86" t="s">
        <v>448</v>
      </c>
      <c r="AO31" s="86" t="s">
        <v>470</v>
      </c>
      <c r="AP31" s="81" t="b">
        <v>0</v>
      </c>
      <c r="AQ31" s="86" t="s">
        <v>448</v>
      </c>
      <c r="AR31" s="81"/>
      <c r="AS31" s="81">
        <v>0</v>
      </c>
      <c r="AT31" s="81">
        <v>0</v>
      </c>
      <c r="AU31" s="81"/>
      <c r="AV31" s="81"/>
      <c r="AW31" s="81"/>
      <c r="AX31" s="81"/>
      <c r="AY31" s="81"/>
      <c r="AZ31" s="81"/>
      <c r="BA31" s="81"/>
      <c r="BB31" s="81"/>
      <c r="BC31">
        <v>1</v>
      </c>
      <c r="BD31" s="80" t="str">
        <f>REPLACE(INDEX(GroupVertices[Group],MATCH(Edges[[#This Row],[Vertex 1]],GroupVertices[Vertex],0)),1,1,"")</f>
        <v>5</v>
      </c>
      <c r="BE31" s="80" t="str">
        <f>REPLACE(INDEX(GroupVertices[Group],MATCH(Edges[[#This Row],[Vertex 2]],GroupVertices[Vertex],0)),1,1,"")</f>
        <v>5</v>
      </c>
      <c r="BF31" s="49"/>
      <c r="BG31" s="50"/>
      <c r="BH31" s="49"/>
      <c r="BI31" s="50"/>
      <c r="BJ31" s="49"/>
      <c r="BK31" s="50"/>
      <c r="BL31" s="49"/>
      <c r="BM31" s="50"/>
      <c r="BN31" s="49"/>
    </row>
    <row r="32" spans="1:66" ht="15">
      <c r="A32" s="66" t="s">
        <v>262</v>
      </c>
      <c r="B32" s="66" t="s">
        <v>306</v>
      </c>
      <c r="C32" s="67" t="s">
        <v>1216</v>
      </c>
      <c r="D32" s="68">
        <v>3</v>
      </c>
      <c r="E32" s="67" t="s">
        <v>132</v>
      </c>
      <c r="F32" s="70">
        <v>32</v>
      </c>
      <c r="G32" s="67"/>
      <c r="H32" s="71"/>
      <c r="I32" s="72"/>
      <c r="J32" s="72"/>
      <c r="K32" s="35" t="s">
        <v>65</v>
      </c>
      <c r="L32" s="73">
        <v>32</v>
      </c>
      <c r="M32" s="73"/>
      <c r="N32" s="74"/>
      <c r="O32" s="81" t="s">
        <v>314</v>
      </c>
      <c r="P32" s="83">
        <v>44290.94888888889</v>
      </c>
      <c r="Q32" s="81" t="s">
        <v>322</v>
      </c>
      <c r="R32" s="81" t="s">
        <v>336</v>
      </c>
      <c r="S32" s="81" t="s">
        <v>338</v>
      </c>
      <c r="T32" s="81"/>
      <c r="U32" s="81"/>
      <c r="V32" s="84" t="str">
        <f>HYPERLINK("https://pbs.twimg.com/profile_images/1095879849879785472/Lnzaj0He_normal.jpg")</f>
        <v>https://pbs.twimg.com/profile_images/1095879849879785472/Lnzaj0He_normal.jpg</v>
      </c>
      <c r="W32" s="83">
        <v>44290.94888888889</v>
      </c>
      <c r="X32" s="88">
        <v>44290</v>
      </c>
      <c r="Y32" s="86" t="s">
        <v>353</v>
      </c>
      <c r="Z32" s="84" t="str">
        <f>HYPERLINK("https://twitter.com/ggsoca/status/1378841409726332931")</f>
        <v>https://twitter.com/ggsoca/status/1378841409726332931</v>
      </c>
      <c r="AA32" s="81"/>
      <c r="AB32" s="81"/>
      <c r="AC32" s="86" t="s">
        <v>411</v>
      </c>
      <c r="AD32" s="81"/>
      <c r="AE32" s="81" t="b">
        <v>0</v>
      </c>
      <c r="AF32" s="81">
        <v>0</v>
      </c>
      <c r="AG32" s="86" t="s">
        <v>462</v>
      </c>
      <c r="AH32" s="81" t="b">
        <v>0</v>
      </c>
      <c r="AI32" s="81" t="s">
        <v>469</v>
      </c>
      <c r="AJ32" s="81"/>
      <c r="AK32" s="86" t="s">
        <v>462</v>
      </c>
      <c r="AL32" s="81" t="b">
        <v>0</v>
      </c>
      <c r="AM32" s="81">
        <v>4</v>
      </c>
      <c r="AN32" s="86" t="s">
        <v>448</v>
      </c>
      <c r="AO32" s="86" t="s">
        <v>470</v>
      </c>
      <c r="AP32" s="81" t="b">
        <v>0</v>
      </c>
      <c r="AQ32" s="86" t="s">
        <v>448</v>
      </c>
      <c r="AR32" s="81"/>
      <c r="AS32" s="81">
        <v>0</v>
      </c>
      <c r="AT32" s="81">
        <v>0</v>
      </c>
      <c r="AU32" s="81"/>
      <c r="AV32" s="81"/>
      <c r="AW32" s="81"/>
      <c r="AX32" s="81"/>
      <c r="AY32" s="81"/>
      <c r="AZ32" s="81"/>
      <c r="BA32" s="81"/>
      <c r="BB32" s="81"/>
      <c r="BC32">
        <v>1</v>
      </c>
      <c r="BD32" s="80" t="str">
        <f>REPLACE(INDEX(GroupVertices[Group],MATCH(Edges[[#This Row],[Vertex 1]],GroupVertices[Vertex],0)),1,1,"")</f>
        <v>5</v>
      </c>
      <c r="BE32" s="80" t="str">
        <f>REPLACE(INDEX(GroupVertices[Group],MATCH(Edges[[#This Row],[Vertex 2]],GroupVertices[Vertex],0)),1,1,"")</f>
        <v>5</v>
      </c>
      <c r="BF32" s="49"/>
      <c r="BG32" s="50"/>
      <c r="BH32" s="49"/>
      <c r="BI32" s="50"/>
      <c r="BJ32" s="49"/>
      <c r="BK32" s="50"/>
      <c r="BL32" s="49"/>
      <c r="BM32" s="50"/>
      <c r="BN32" s="49"/>
    </row>
    <row r="33" spans="1:66" ht="15">
      <c r="A33" s="66" t="s">
        <v>262</v>
      </c>
      <c r="B33" s="66" t="s">
        <v>296</v>
      </c>
      <c r="C33" s="67" t="s">
        <v>1216</v>
      </c>
      <c r="D33" s="68">
        <v>3</v>
      </c>
      <c r="E33" s="67" t="s">
        <v>132</v>
      </c>
      <c r="F33" s="70">
        <v>32</v>
      </c>
      <c r="G33" s="67"/>
      <c r="H33" s="71"/>
      <c r="I33" s="72"/>
      <c r="J33" s="72"/>
      <c r="K33" s="35" t="s">
        <v>65</v>
      </c>
      <c r="L33" s="73">
        <v>33</v>
      </c>
      <c r="M33" s="73"/>
      <c r="N33" s="74"/>
      <c r="O33" s="81" t="s">
        <v>315</v>
      </c>
      <c r="P33" s="83">
        <v>44290.94888888889</v>
      </c>
      <c r="Q33" s="81" t="s">
        <v>322</v>
      </c>
      <c r="R33" s="81" t="s">
        <v>336</v>
      </c>
      <c r="S33" s="81" t="s">
        <v>338</v>
      </c>
      <c r="T33" s="81"/>
      <c r="U33" s="81"/>
      <c r="V33" s="84" t="str">
        <f>HYPERLINK("https://pbs.twimg.com/profile_images/1095879849879785472/Lnzaj0He_normal.jpg")</f>
        <v>https://pbs.twimg.com/profile_images/1095879849879785472/Lnzaj0He_normal.jpg</v>
      </c>
      <c r="W33" s="83">
        <v>44290.94888888889</v>
      </c>
      <c r="X33" s="88">
        <v>44290</v>
      </c>
      <c r="Y33" s="86" t="s">
        <v>353</v>
      </c>
      <c r="Z33" s="84" t="str">
        <f>HYPERLINK("https://twitter.com/ggsoca/status/1378841409726332931")</f>
        <v>https://twitter.com/ggsoca/status/1378841409726332931</v>
      </c>
      <c r="AA33" s="81"/>
      <c r="AB33" s="81"/>
      <c r="AC33" s="86" t="s">
        <v>411</v>
      </c>
      <c r="AD33" s="81"/>
      <c r="AE33" s="81" t="b">
        <v>0</v>
      </c>
      <c r="AF33" s="81">
        <v>0</v>
      </c>
      <c r="AG33" s="86" t="s">
        <v>462</v>
      </c>
      <c r="AH33" s="81" t="b">
        <v>0</v>
      </c>
      <c r="AI33" s="81" t="s">
        <v>469</v>
      </c>
      <c r="AJ33" s="81"/>
      <c r="AK33" s="86" t="s">
        <v>462</v>
      </c>
      <c r="AL33" s="81" t="b">
        <v>0</v>
      </c>
      <c r="AM33" s="81">
        <v>4</v>
      </c>
      <c r="AN33" s="86" t="s">
        <v>448</v>
      </c>
      <c r="AO33" s="86" t="s">
        <v>470</v>
      </c>
      <c r="AP33" s="81" t="b">
        <v>0</v>
      </c>
      <c r="AQ33" s="86" t="s">
        <v>448</v>
      </c>
      <c r="AR33" s="81"/>
      <c r="AS33" s="81">
        <v>0</v>
      </c>
      <c r="AT33" s="81">
        <v>0</v>
      </c>
      <c r="AU33" s="81"/>
      <c r="AV33" s="81"/>
      <c r="AW33" s="81"/>
      <c r="AX33" s="81"/>
      <c r="AY33" s="81"/>
      <c r="AZ33" s="81"/>
      <c r="BA33" s="81"/>
      <c r="BB33" s="81"/>
      <c r="BC33">
        <v>1</v>
      </c>
      <c r="BD33" s="80" t="str">
        <f>REPLACE(INDEX(GroupVertices[Group],MATCH(Edges[[#This Row],[Vertex 1]],GroupVertices[Vertex],0)),1,1,"")</f>
        <v>5</v>
      </c>
      <c r="BE33" s="80" t="str">
        <f>REPLACE(INDEX(GroupVertices[Group],MATCH(Edges[[#This Row],[Vertex 2]],GroupVertices[Vertex],0)),1,1,"")</f>
        <v>5</v>
      </c>
      <c r="BF33" s="49">
        <v>0</v>
      </c>
      <c r="BG33" s="50">
        <v>0</v>
      </c>
      <c r="BH33" s="49">
        <v>0</v>
      </c>
      <c r="BI33" s="50">
        <v>0</v>
      </c>
      <c r="BJ33" s="49">
        <v>0</v>
      </c>
      <c r="BK33" s="50">
        <v>0</v>
      </c>
      <c r="BL33" s="49">
        <v>30</v>
      </c>
      <c r="BM33" s="50">
        <v>100</v>
      </c>
      <c r="BN33" s="49">
        <v>30</v>
      </c>
    </row>
    <row r="34" spans="1:66" ht="15">
      <c r="A34" s="66" t="s">
        <v>263</v>
      </c>
      <c r="B34" s="66" t="s">
        <v>289</v>
      </c>
      <c r="C34" s="67" t="s">
        <v>1216</v>
      </c>
      <c r="D34" s="68">
        <v>3</v>
      </c>
      <c r="E34" s="67" t="s">
        <v>132</v>
      </c>
      <c r="F34" s="70">
        <v>32</v>
      </c>
      <c r="G34" s="67"/>
      <c r="H34" s="71"/>
      <c r="I34" s="72"/>
      <c r="J34" s="72"/>
      <c r="K34" s="35" t="s">
        <v>65</v>
      </c>
      <c r="L34" s="73">
        <v>34</v>
      </c>
      <c r="M34" s="73"/>
      <c r="N34" s="74"/>
      <c r="O34" s="81" t="s">
        <v>314</v>
      </c>
      <c r="P34" s="83">
        <v>44285.3269212963</v>
      </c>
      <c r="Q34" s="81" t="s">
        <v>323</v>
      </c>
      <c r="R34" s="84" t="str">
        <f>HYPERLINK("https://www.bmj.com/content/372/bmj.n742?utm_source=twitter&amp;utm_medium=social&amp;utm_term=hootsuite&amp;utm_content=sme&amp;utm_campaign=usage")</f>
        <v>https://www.bmj.com/content/372/bmj.n742?utm_source=twitter&amp;utm_medium=social&amp;utm_term=hootsuite&amp;utm_content=sme&amp;utm_campaign=usage</v>
      </c>
      <c r="S34" s="81" t="s">
        <v>337</v>
      </c>
      <c r="T34" s="81"/>
      <c r="U34" s="81"/>
      <c r="V34" s="84" t="str">
        <f>HYPERLINK("https://pbs.twimg.com/profile_images/1019846946142543873/W6de_6_O_normal.jpg")</f>
        <v>https://pbs.twimg.com/profile_images/1019846946142543873/W6de_6_O_normal.jpg</v>
      </c>
      <c r="W34" s="83">
        <v>44285.3269212963</v>
      </c>
      <c r="X34" s="88">
        <v>44285</v>
      </c>
      <c r="Y34" s="86" t="s">
        <v>354</v>
      </c>
      <c r="Z34" s="84" t="str">
        <f>HYPERLINK("https://twitter.com/s_treth/status/1376804078592884741")</f>
        <v>https://twitter.com/s_treth/status/1376804078592884741</v>
      </c>
      <c r="AA34" s="81"/>
      <c r="AB34" s="81"/>
      <c r="AC34" s="86" t="s">
        <v>412</v>
      </c>
      <c r="AD34" s="81"/>
      <c r="AE34" s="81" t="b">
        <v>0</v>
      </c>
      <c r="AF34" s="81">
        <v>0</v>
      </c>
      <c r="AG34" s="86" t="s">
        <v>462</v>
      </c>
      <c r="AH34" s="81" t="b">
        <v>0</v>
      </c>
      <c r="AI34" s="81" t="s">
        <v>467</v>
      </c>
      <c r="AJ34" s="81"/>
      <c r="AK34" s="86" t="s">
        <v>462</v>
      </c>
      <c r="AL34" s="81" t="b">
        <v>0</v>
      </c>
      <c r="AM34" s="81">
        <v>15</v>
      </c>
      <c r="AN34" s="86" t="s">
        <v>455</v>
      </c>
      <c r="AO34" s="86" t="s">
        <v>472</v>
      </c>
      <c r="AP34" s="81" t="b">
        <v>0</v>
      </c>
      <c r="AQ34" s="86" t="s">
        <v>455</v>
      </c>
      <c r="AR34" s="81"/>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1</v>
      </c>
      <c r="BF34" s="49"/>
      <c r="BG34" s="50"/>
      <c r="BH34" s="49"/>
      <c r="BI34" s="50"/>
      <c r="BJ34" s="49"/>
      <c r="BK34" s="50"/>
      <c r="BL34" s="49"/>
      <c r="BM34" s="50"/>
      <c r="BN34" s="49"/>
    </row>
    <row r="35" spans="1:66" ht="15">
      <c r="A35" s="66" t="s">
        <v>263</v>
      </c>
      <c r="B35" s="66" t="s">
        <v>300</v>
      </c>
      <c r="C35" s="67" t="s">
        <v>1216</v>
      </c>
      <c r="D35" s="68">
        <v>3</v>
      </c>
      <c r="E35" s="67" t="s">
        <v>132</v>
      </c>
      <c r="F35" s="70">
        <v>32</v>
      </c>
      <c r="G35" s="67"/>
      <c r="H35" s="71"/>
      <c r="I35" s="72"/>
      <c r="J35" s="72"/>
      <c r="K35" s="35" t="s">
        <v>65</v>
      </c>
      <c r="L35" s="73">
        <v>35</v>
      </c>
      <c r="M35" s="73"/>
      <c r="N35" s="74"/>
      <c r="O35" s="81" t="s">
        <v>315</v>
      </c>
      <c r="P35" s="83">
        <v>44285.3269212963</v>
      </c>
      <c r="Q35" s="81" t="s">
        <v>323</v>
      </c>
      <c r="R35" s="84" t="str">
        <f>HYPERLINK("https://www.bmj.com/content/372/bmj.n742?utm_source=twitter&amp;utm_medium=social&amp;utm_term=hootsuite&amp;utm_content=sme&amp;utm_campaign=usage")</f>
        <v>https://www.bmj.com/content/372/bmj.n742?utm_source=twitter&amp;utm_medium=social&amp;utm_term=hootsuite&amp;utm_content=sme&amp;utm_campaign=usage</v>
      </c>
      <c r="S35" s="81" t="s">
        <v>337</v>
      </c>
      <c r="T35" s="81"/>
      <c r="U35" s="81"/>
      <c r="V35" s="84" t="str">
        <f>HYPERLINK("https://pbs.twimg.com/profile_images/1019846946142543873/W6de_6_O_normal.jpg")</f>
        <v>https://pbs.twimg.com/profile_images/1019846946142543873/W6de_6_O_normal.jpg</v>
      </c>
      <c r="W35" s="83">
        <v>44285.3269212963</v>
      </c>
      <c r="X35" s="88">
        <v>44285</v>
      </c>
      <c r="Y35" s="86" t="s">
        <v>354</v>
      </c>
      <c r="Z35" s="84" t="str">
        <f>HYPERLINK("https://twitter.com/s_treth/status/1376804078592884741")</f>
        <v>https://twitter.com/s_treth/status/1376804078592884741</v>
      </c>
      <c r="AA35" s="81"/>
      <c r="AB35" s="81"/>
      <c r="AC35" s="86" t="s">
        <v>412</v>
      </c>
      <c r="AD35" s="81"/>
      <c r="AE35" s="81" t="b">
        <v>0</v>
      </c>
      <c r="AF35" s="81">
        <v>0</v>
      </c>
      <c r="AG35" s="86" t="s">
        <v>462</v>
      </c>
      <c r="AH35" s="81" t="b">
        <v>0</v>
      </c>
      <c r="AI35" s="81" t="s">
        <v>467</v>
      </c>
      <c r="AJ35" s="81"/>
      <c r="AK35" s="86" t="s">
        <v>462</v>
      </c>
      <c r="AL35" s="81" t="b">
        <v>0</v>
      </c>
      <c r="AM35" s="81">
        <v>15</v>
      </c>
      <c r="AN35" s="86" t="s">
        <v>455</v>
      </c>
      <c r="AO35" s="86" t="s">
        <v>472</v>
      </c>
      <c r="AP35" s="81" t="b">
        <v>0</v>
      </c>
      <c r="AQ35" s="86" t="s">
        <v>455</v>
      </c>
      <c r="AR35" s="81"/>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v>4</v>
      </c>
      <c r="BG35" s="50">
        <v>11.764705882352942</v>
      </c>
      <c r="BH35" s="49">
        <v>0</v>
      </c>
      <c r="BI35" s="50">
        <v>0</v>
      </c>
      <c r="BJ35" s="49">
        <v>0</v>
      </c>
      <c r="BK35" s="50">
        <v>0</v>
      </c>
      <c r="BL35" s="49">
        <v>30</v>
      </c>
      <c r="BM35" s="50">
        <v>88.23529411764706</v>
      </c>
      <c r="BN35" s="49">
        <v>34</v>
      </c>
    </row>
    <row r="36" spans="1:66" ht="15">
      <c r="A36" s="66" t="s">
        <v>264</v>
      </c>
      <c r="B36" s="66" t="s">
        <v>289</v>
      </c>
      <c r="C36" s="67" t="s">
        <v>1216</v>
      </c>
      <c r="D36" s="68">
        <v>3</v>
      </c>
      <c r="E36" s="67" t="s">
        <v>132</v>
      </c>
      <c r="F36" s="70">
        <v>32</v>
      </c>
      <c r="G36" s="67"/>
      <c r="H36" s="71"/>
      <c r="I36" s="72"/>
      <c r="J36" s="72"/>
      <c r="K36" s="35" t="s">
        <v>65</v>
      </c>
      <c r="L36" s="73">
        <v>36</v>
      </c>
      <c r="M36" s="73"/>
      <c r="N36" s="74"/>
      <c r="O36" s="81" t="s">
        <v>314</v>
      </c>
      <c r="P36" s="83">
        <v>44282.750613425924</v>
      </c>
      <c r="Q36" s="81" t="s">
        <v>320</v>
      </c>
      <c r="R36" s="84" t="str">
        <f>HYPERLINK("https://www.bmj.com/content/372/bmj.n742?utm_source=twitter&amp;utm_medium=social&amp;utm_term=hootsuite&amp;utm_content=sme&amp;utm_campaign=usage")</f>
        <v>https://www.bmj.com/content/372/bmj.n742?utm_source=twitter&amp;utm_medium=social&amp;utm_term=hootsuite&amp;utm_content=sme&amp;utm_campaign=usage</v>
      </c>
      <c r="S36" s="81" t="s">
        <v>337</v>
      </c>
      <c r="T36" s="81"/>
      <c r="U36" s="81"/>
      <c r="V36" s="84" t="str">
        <f>HYPERLINK("https://pbs.twimg.com/profile_images/2473861452/g9tvodybxj6cj9psr1qw_normal.gif")</f>
        <v>https://pbs.twimg.com/profile_images/2473861452/g9tvodybxj6cj9psr1qw_normal.gif</v>
      </c>
      <c r="W36" s="83">
        <v>44282.750613425924</v>
      </c>
      <c r="X36" s="88">
        <v>44282</v>
      </c>
      <c r="Y36" s="86" t="s">
        <v>355</v>
      </c>
      <c r="Z36" s="84" t="str">
        <f>HYPERLINK("https://twitter.com/uct_bmhsl/status/1375870454565646338")</f>
        <v>https://twitter.com/uct_bmhsl/status/1375870454565646338</v>
      </c>
      <c r="AA36" s="81"/>
      <c r="AB36" s="81"/>
      <c r="AC36" s="86" t="s">
        <v>413</v>
      </c>
      <c r="AD36" s="81"/>
      <c r="AE36" s="81" t="b">
        <v>0</v>
      </c>
      <c r="AF36" s="81">
        <v>0</v>
      </c>
      <c r="AG36" s="86" t="s">
        <v>462</v>
      </c>
      <c r="AH36" s="81" t="b">
        <v>0</v>
      </c>
      <c r="AI36" s="81" t="s">
        <v>467</v>
      </c>
      <c r="AJ36" s="81"/>
      <c r="AK36" s="86" t="s">
        <v>462</v>
      </c>
      <c r="AL36" s="81" t="b">
        <v>0</v>
      </c>
      <c r="AM36" s="81">
        <v>16</v>
      </c>
      <c r="AN36" s="86" t="s">
        <v>456</v>
      </c>
      <c r="AO36" s="86" t="s">
        <v>470</v>
      </c>
      <c r="AP36" s="81" t="b">
        <v>0</v>
      </c>
      <c r="AQ36" s="86" t="s">
        <v>456</v>
      </c>
      <c r="AR36" s="81"/>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c r="BG36" s="50"/>
      <c r="BH36" s="49"/>
      <c r="BI36" s="50"/>
      <c r="BJ36" s="49"/>
      <c r="BK36" s="50"/>
      <c r="BL36" s="49"/>
      <c r="BM36" s="50"/>
      <c r="BN36" s="49"/>
    </row>
    <row r="37" spans="1:66" ht="15">
      <c r="A37" s="66" t="s">
        <v>264</v>
      </c>
      <c r="B37" s="66" t="s">
        <v>300</v>
      </c>
      <c r="C37" s="67" t="s">
        <v>1216</v>
      </c>
      <c r="D37" s="68">
        <v>3</v>
      </c>
      <c r="E37" s="67" t="s">
        <v>132</v>
      </c>
      <c r="F37" s="70">
        <v>32</v>
      </c>
      <c r="G37" s="67"/>
      <c r="H37" s="71"/>
      <c r="I37" s="72"/>
      <c r="J37" s="72"/>
      <c r="K37" s="35" t="s">
        <v>65</v>
      </c>
      <c r="L37" s="73">
        <v>37</v>
      </c>
      <c r="M37" s="73"/>
      <c r="N37" s="74"/>
      <c r="O37" s="81" t="s">
        <v>315</v>
      </c>
      <c r="P37" s="83">
        <v>44282.750613425924</v>
      </c>
      <c r="Q37" s="81" t="s">
        <v>320</v>
      </c>
      <c r="R37" s="84" t="str">
        <f>HYPERLINK("https://www.bmj.com/content/372/bmj.n742?utm_source=twitter&amp;utm_medium=social&amp;utm_term=hootsuite&amp;utm_content=sme&amp;utm_campaign=usage")</f>
        <v>https://www.bmj.com/content/372/bmj.n742?utm_source=twitter&amp;utm_medium=social&amp;utm_term=hootsuite&amp;utm_content=sme&amp;utm_campaign=usage</v>
      </c>
      <c r="S37" s="81" t="s">
        <v>337</v>
      </c>
      <c r="T37" s="81"/>
      <c r="U37" s="81"/>
      <c r="V37" s="84" t="str">
        <f>HYPERLINK("https://pbs.twimg.com/profile_images/2473861452/g9tvodybxj6cj9psr1qw_normal.gif")</f>
        <v>https://pbs.twimg.com/profile_images/2473861452/g9tvodybxj6cj9psr1qw_normal.gif</v>
      </c>
      <c r="W37" s="83">
        <v>44282.750613425924</v>
      </c>
      <c r="X37" s="88">
        <v>44282</v>
      </c>
      <c r="Y37" s="86" t="s">
        <v>355</v>
      </c>
      <c r="Z37" s="84" t="str">
        <f>HYPERLINK("https://twitter.com/uct_bmhsl/status/1375870454565646338")</f>
        <v>https://twitter.com/uct_bmhsl/status/1375870454565646338</v>
      </c>
      <c r="AA37" s="81"/>
      <c r="AB37" s="81"/>
      <c r="AC37" s="86" t="s">
        <v>413</v>
      </c>
      <c r="AD37" s="81"/>
      <c r="AE37" s="81" t="b">
        <v>0</v>
      </c>
      <c r="AF37" s="81">
        <v>0</v>
      </c>
      <c r="AG37" s="86" t="s">
        <v>462</v>
      </c>
      <c r="AH37" s="81" t="b">
        <v>0</v>
      </c>
      <c r="AI37" s="81" t="s">
        <v>467</v>
      </c>
      <c r="AJ37" s="81"/>
      <c r="AK37" s="86" t="s">
        <v>462</v>
      </c>
      <c r="AL37" s="81" t="b">
        <v>0</v>
      </c>
      <c r="AM37" s="81">
        <v>16</v>
      </c>
      <c r="AN37" s="86" t="s">
        <v>456</v>
      </c>
      <c r="AO37" s="86" t="s">
        <v>470</v>
      </c>
      <c r="AP37" s="81" t="b">
        <v>0</v>
      </c>
      <c r="AQ37" s="86" t="s">
        <v>456</v>
      </c>
      <c r="AR37" s="81"/>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2</v>
      </c>
      <c r="BF37" s="49">
        <v>1</v>
      </c>
      <c r="BG37" s="50">
        <v>2.7777777777777777</v>
      </c>
      <c r="BH37" s="49">
        <v>1</v>
      </c>
      <c r="BI37" s="50">
        <v>2.7777777777777777</v>
      </c>
      <c r="BJ37" s="49">
        <v>0</v>
      </c>
      <c r="BK37" s="50">
        <v>0</v>
      </c>
      <c r="BL37" s="49">
        <v>34</v>
      </c>
      <c r="BM37" s="50">
        <v>94.44444444444444</v>
      </c>
      <c r="BN37" s="49">
        <v>36</v>
      </c>
    </row>
    <row r="38" spans="1:66" ht="15">
      <c r="A38" s="66" t="s">
        <v>265</v>
      </c>
      <c r="B38" s="66" t="s">
        <v>300</v>
      </c>
      <c r="C38" s="67" t="s">
        <v>1216</v>
      </c>
      <c r="D38" s="68">
        <v>3</v>
      </c>
      <c r="E38" s="67" t="s">
        <v>132</v>
      </c>
      <c r="F38" s="70">
        <v>32</v>
      </c>
      <c r="G38" s="67"/>
      <c r="H38" s="71"/>
      <c r="I38" s="72"/>
      <c r="J38" s="72"/>
      <c r="K38" s="35" t="s">
        <v>65</v>
      </c>
      <c r="L38" s="73">
        <v>38</v>
      </c>
      <c r="M38" s="73"/>
      <c r="N38" s="74"/>
      <c r="O38" s="81" t="s">
        <v>316</v>
      </c>
      <c r="P38" s="83">
        <v>44282.716145833336</v>
      </c>
      <c r="Q38" s="81" t="s">
        <v>324</v>
      </c>
      <c r="R38" s="84" t="str">
        <f>HYPERLINK("https://www.bmj.com/content/372/bmj.n742")</f>
        <v>https://www.bmj.com/content/372/bmj.n742</v>
      </c>
      <c r="S38" s="81" t="s">
        <v>337</v>
      </c>
      <c r="T38" s="86" t="s">
        <v>340</v>
      </c>
      <c r="U38" s="81"/>
      <c r="V38" s="84" t="str">
        <f>HYPERLINK("https://pbs.twimg.com/profile_images/1161613222803324928/6zK4YPLN_normal.jpg")</f>
        <v>https://pbs.twimg.com/profile_images/1161613222803324928/6zK4YPLN_normal.jpg</v>
      </c>
      <c r="W38" s="83">
        <v>44282.716145833336</v>
      </c>
      <c r="X38" s="88">
        <v>44282</v>
      </c>
      <c r="Y38" s="86" t="s">
        <v>356</v>
      </c>
      <c r="Z38" s="84" t="str">
        <f>HYPERLINK("https://twitter.com/tlsophtha/status/1375857965564112903")</f>
        <v>https://twitter.com/tlsophtha/status/1375857965564112903</v>
      </c>
      <c r="AA38" s="81"/>
      <c r="AB38" s="81"/>
      <c r="AC38" s="86" t="s">
        <v>414</v>
      </c>
      <c r="AD38" s="81"/>
      <c r="AE38" s="81" t="b">
        <v>0</v>
      </c>
      <c r="AF38" s="81">
        <v>0</v>
      </c>
      <c r="AG38" s="86" t="s">
        <v>462</v>
      </c>
      <c r="AH38" s="81" t="b">
        <v>0</v>
      </c>
      <c r="AI38" s="81" t="s">
        <v>467</v>
      </c>
      <c r="AJ38" s="81"/>
      <c r="AK38" s="86" t="s">
        <v>462</v>
      </c>
      <c r="AL38" s="81" t="b">
        <v>0</v>
      </c>
      <c r="AM38" s="81">
        <v>0</v>
      </c>
      <c r="AN38" s="86" t="s">
        <v>462</v>
      </c>
      <c r="AO38" s="86" t="s">
        <v>472</v>
      </c>
      <c r="AP38" s="81" t="b">
        <v>0</v>
      </c>
      <c r="AQ38" s="86" t="s">
        <v>414</v>
      </c>
      <c r="AR38" s="81"/>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9">
        <v>2</v>
      </c>
      <c r="BG38" s="50">
        <v>15.384615384615385</v>
      </c>
      <c r="BH38" s="49">
        <v>0</v>
      </c>
      <c r="BI38" s="50">
        <v>0</v>
      </c>
      <c r="BJ38" s="49">
        <v>0</v>
      </c>
      <c r="BK38" s="50">
        <v>0</v>
      </c>
      <c r="BL38" s="49">
        <v>11</v>
      </c>
      <c r="BM38" s="50">
        <v>84.61538461538461</v>
      </c>
      <c r="BN38" s="49">
        <v>13</v>
      </c>
    </row>
    <row r="39" spans="1:66" ht="15">
      <c r="A39" s="66" t="s">
        <v>266</v>
      </c>
      <c r="B39" s="66" t="s">
        <v>266</v>
      </c>
      <c r="C39" s="67" t="s">
        <v>1216</v>
      </c>
      <c r="D39" s="68">
        <v>3</v>
      </c>
      <c r="E39" s="67" t="s">
        <v>132</v>
      </c>
      <c r="F39" s="70">
        <v>32</v>
      </c>
      <c r="G39" s="67"/>
      <c r="H39" s="71"/>
      <c r="I39" s="72"/>
      <c r="J39" s="72"/>
      <c r="K39" s="35" t="s">
        <v>65</v>
      </c>
      <c r="L39" s="73">
        <v>39</v>
      </c>
      <c r="M39" s="73"/>
      <c r="N39" s="74"/>
      <c r="O39" s="81" t="s">
        <v>213</v>
      </c>
      <c r="P39" s="83">
        <v>44291.38862268518</v>
      </c>
      <c r="Q39" s="81" t="s">
        <v>325</v>
      </c>
      <c r="R39" s="84" t="str">
        <f>HYPERLINK("https://www.bmj.com/content/372/bmj.n742")</f>
        <v>https://www.bmj.com/content/372/bmj.n742</v>
      </c>
      <c r="S39" s="81" t="s">
        <v>337</v>
      </c>
      <c r="T39" s="81"/>
      <c r="U39" s="84" t="str">
        <f>HYPERLINK("https://pbs.twimg.com/media/EyMx08TXAAASfkh.jpg")</f>
        <v>https://pbs.twimg.com/media/EyMx08TXAAASfkh.jpg</v>
      </c>
      <c r="V39" s="84" t="str">
        <f>HYPERLINK("https://pbs.twimg.com/media/EyMx08TXAAASfkh.jpg")</f>
        <v>https://pbs.twimg.com/media/EyMx08TXAAASfkh.jpg</v>
      </c>
      <c r="W39" s="83">
        <v>44291.38862268518</v>
      </c>
      <c r="X39" s="88">
        <v>44291</v>
      </c>
      <c r="Y39" s="86" t="s">
        <v>357</v>
      </c>
      <c r="Z39" s="84" t="str">
        <f>HYPERLINK("https://twitter.com/kslagstad/status/1379000764476100610")</f>
        <v>https://twitter.com/kslagstad/status/1379000764476100610</v>
      </c>
      <c r="AA39" s="81"/>
      <c r="AB39" s="81"/>
      <c r="AC39" s="86" t="s">
        <v>415</v>
      </c>
      <c r="AD39" s="81"/>
      <c r="AE39" s="81" t="b">
        <v>0</v>
      </c>
      <c r="AF39" s="81">
        <v>0</v>
      </c>
      <c r="AG39" s="86" t="s">
        <v>462</v>
      </c>
      <c r="AH39" s="81" t="b">
        <v>0</v>
      </c>
      <c r="AI39" s="81" t="s">
        <v>468</v>
      </c>
      <c r="AJ39" s="81"/>
      <c r="AK39" s="86" t="s">
        <v>462</v>
      </c>
      <c r="AL39" s="81" t="b">
        <v>0</v>
      </c>
      <c r="AM39" s="81">
        <v>0</v>
      </c>
      <c r="AN39" s="86" t="s">
        <v>462</v>
      </c>
      <c r="AO39" s="86" t="s">
        <v>471</v>
      </c>
      <c r="AP39" s="81" t="b">
        <v>0</v>
      </c>
      <c r="AQ39" s="86" t="s">
        <v>415</v>
      </c>
      <c r="AR39" s="81"/>
      <c r="AS39" s="81">
        <v>0</v>
      </c>
      <c r="AT39" s="81">
        <v>0</v>
      </c>
      <c r="AU39" s="81"/>
      <c r="AV39" s="81"/>
      <c r="AW39" s="81"/>
      <c r="AX39" s="81"/>
      <c r="AY39" s="81"/>
      <c r="AZ39" s="81"/>
      <c r="BA39" s="81"/>
      <c r="BB39" s="81"/>
      <c r="BC39">
        <v>1</v>
      </c>
      <c r="BD39" s="80" t="str">
        <f>REPLACE(INDEX(GroupVertices[Group],MATCH(Edges[[#This Row],[Vertex 1]],GroupVertices[Vertex],0)),1,1,"")</f>
        <v>4</v>
      </c>
      <c r="BE39" s="80" t="str">
        <f>REPLACE(INDEX(GroupVertices[Group],MATCH(Edges[[#This Row],[Vertex 2]],GroupVertices[Vertex],0)),1,1,"")</f>
        <v>4</v>
      </c>
      <c r="BF39" s="49">
        <v>0</v>
      </c>
      <c r="BG39" s="50">
        <v>0</v>
      </c>
      <c r="BH39" s="49">
        <v>0</v>
      </c>
      <c r="BI39" s="50">
        <v>0</v>
      </c>
      <c r="BJ39" s="49">
        <v>0</v>
      </c>
      <c r="BK39" s="50">
        <v>0</v>
      </c>
      <c r="BL39" s="49">
        <v>0</v>
      </c>
      <c r="BM39" s="50">
        <v>0</v>
      </c>
      <c r="BN39" s="49">
        <v>0</v>
      </c>
    </row>
    <row r="40" spans="1:66" ht="15">
      <c r="A40" s="66" t="s">
        <v>267</v>
      </c>
      <c r="B40" s="66" t="s">
        <v>289</v>
      </c>
      <c r="C40" s="67" t="s">
        <v>1216</v>
      </c>
      <c r="D40" s="68">
        <v>3</v>
      </c>
      <c r="E40" s="67" t="s">
        <v>132</v>
      </c>
      <c r="F40" s="70">
        <v>32</v>
      </c>
      <c r="G40" s="67"/>
      <c r="H40" s="71"/>
      <c r="I40" s="72"/>
      <c r="J40" s="72"/>
      <c r="K40" s="35" t="s">
        <v>65</v>
      </c>
      <c r="L40" s="73">
        <v>40</v>
      </c>
      <c r="M40" s="73"/>
      <c r="N40" s="74"/>
      <c r="O40" s="81" t="s">
        <v>314</v>
      </c>
      <c r="P40" s="83">
        <v>44288.70583333333</v>
      </c>
      <c r="Q40" s="81" t="s">
        <v>319</v>
      </c>
      <c r="R40" s="84" t="str">
        <f>HYPERLINK("https://www.bmj.com/content/372/bmj.n742")</f>
        <v>https://www.bmj.com/content/372/bmj.n742</v>
      </c>
      <c r="S40" s="81" t="s">
        <v>337</v>
      </c>
      <c r="T40" s="86" t="s">
        <v>339</v>
      </c>
      <c r="U40" s="81"/>
      <c r="V40" s="84" t="str">
        <f>HYPERLINK("https://pbs.twimg.com/profile_images/1256088680327872512/HwM6ivr8_normal.jpg")</f>
        <v>https://pbs.twimg.com/profile_images/1256088680327872512/HwM6ivr8_normal.jpg</v>
      </c>
      <c r="W40" s="83">
        <v>44288.70583333333</v>
      </c>
      <c r="X40" s="88">
        <v>44288</v>
      </c>
      <c r="Y40" s="86" t="s">
        <v>358</v>
      </c>
      <c r="Z40" s="84" t="str">
        <f>HYPERLINK("https://twitter.com/dedebonnycastle/status/1378028555070697473")</f>
        <v>https://twitter.com/dedebonnycastle/status/1378028555070697473</v>
      </c>
      <c r="AA40" s="81"/>
      <c r="AB40" s="81"/>
      <c r="AC40" s="86" t="s">
        <v>416</v>
      </c>
      <c r="AD40" s="81"/>
      <c r="AE40" s="81" t="b">
        <v>0</v>
      </c>
      <c r="AF40" s="81">
        <v>0</v>
      </c>
      <c r="AG40" s="86" t="s">
        <v>462</v>
      </c>
      <c r="AH40" s="81" t="b">
        <v>0</v>
      </c>
      <c r="AI40" s="81" t="s">
        <v>467</v>
      </c>
      <c r="AJ40" s="81"/>
      <c r="AK40" s="86" t="s">
        <v>462</v>
      </c>
      <c r="AL40" s="81" t="b">
        <v>0</v>
      </c>
      <c r="AM40" s="81">
        <v>7</v>
      </c>
      <c r="AN40" s="86" t="s">
        <v>438</v>
      </c>
      <c r="AO40" s="86" t="s">
        <v>470</v>
      </c>
      <c r="AP40" s="81" t="b">
        <v>0</v>
      </c>
      <c r="AQ40" s="86" t="s">
        <v>438</v>
      </c>
      <c r="AR40" s="81"/>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6" t="s">
        <v>267</v>
      </c>
      <c r="B41" s="66" t="s">
        <v>288</v>
      </c>
      <c r="C41" s="67" t="s">
        <v>1216</v>
      </c>
      <c r="D41" s="68">
        <v>3</v>
      </c>
      <c r="E41" s="67" t="s">
        <v>132</v>
      </c>
      <c r="F41" s="70">
        <v>32</v>
      </c>
      <c r="G41" s="67"/>
      <c r="H41" s="71"/>
      <c r="I41" s="72"/>
      <c r="J41" s="72"/>
      <c r="K41" s="35" t="s">
        <v>65</v>
      </c>
      <c r="L41" s="73">
        <v>41</v>
      </c>
      <c r="M41" s="73"/>
      <c r="N41" s="74"/>
      <c r="O41" s="81" t="s">
        <v>315</v>
      </c>
      <c r="P41" s="83">
        <v>44288.70583333333</v>
      </c>
      <c r="Q41" s="81" t="s">
        <v>319</v>
      </c>
      <c r="R41" s="84" t="str">
        <f>HYPERLINK("https://www.bmj.com/content/372/bmj.n742")</f>
        <v>https://www.bmj.com/content/372/bmj.n742</v>
      </c>
      <c r="S41" s="81" t="s">
        <v>337</v>
      </c>
      <c r="T41" s="86" t="s">
        <v>339</v>
      </c>
      <c r="U41" s="81"/>
      <c r="V41" s="84" t="str">
        <f>HYPERLINK("https://pbs.twimg.com/profile_images/1256088680327872512/HwM6ivr8_normal.jpg")</f>
        <v>https://pbs.twimg.com/profile_images/1256088680327872512/HwM6ivr8_normal.jpg</v>
      </c>
      <c r="W41" s="83">
        <v>44288.70583333333</v>
      </c>
      <c r="X41" s="88">
        <v>44288</v>
      </c>
      <c r="Y41" s="86" t="s">
        <v>358</v>
      </c>
      <c r="Z41" s="84" t="str">
        <f>HYPERLINK("https://twitter.com/dedebonnycastle/status/1378028555070697473")</f>
        <v>https://twitter.com/dedebonnycastle/status/1378028555070697473</v>
      </c>
      <c r="AA41" s="81"/>
      <c r="AB41" s="81"/>
      <c r="AC41" s="86" t="s">
        <v>416</v>
      </c>
      <c r="AD41" s="81"/>
      <c r="AE41" s="81" t="b">
        <v>0</v>
      </c>
      <c r="AF41" s="81">
        <v>0</v>
      </c>
      <c r="AG41" s="86" t="s">
        <v>462</v>
      </c>
      <c r="AH41" s="81" t="b">
        <v>0</v>
      </c>
      <c r="AI41" s="81" t="s">
        <v>467</v>
      </c>
      <c r="AJ41" s="81"/>
      <c r="AK41" s="86" t="s">
        <v>462</v>
      </c>
      <c r="AL41" s="81" t="b">
        <v>0</v>
      </c>
      <c r="AM41" s="81">
        <v>7</v>
      </c>
      <c r="AN41" s="86" t="s">
        <v>438</v>
      </c>
      <c r="AO41" s="86" t="s">
        <v>470</v>
      </c>
      <c r="AP41" s="81" t="b">
        <v>0</v>
      </c>
      <c r="AQ41" s="86" t="s">
        <v>438</v>
      </c>
      <c r="AR41" s="81"/>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v>1</v>
      </c>
      <c r="BG41" s="50">
        <v>2.9411764705882355</v>
      </c>
      <c r="BH41" s="49">
        <v>1</v>
      </c>
      <c r="BI41" s="50">
        <v>2.9411764705882355</v>
      </c>
      <c r="BJ41" s="49">
        <v>0</v>
      </c>
      <c r="BK41" s="50">
        <v>0</v>
      </c>
      <c r="BL41" s="49">
        <v>32</v>
      </c>
      <c r="BM41" s="50">
        <v>94.11764705882354</v>
      </c>
      <c r="BN41" s="49">
        <v>34</v>
      </c>
    </row>
    <row r="42" spans="1:66" ht="15">
      <c r="A42" s="66" t="s">
        <v>268</v>
      </c>
      <c r="B42" s="66" t="s">
        <v>289</v>
      </c>
      <c r="C42" s="67" t="s">
        <v>1216</v>
      </c>
      <c r="D42" s="68">
        <v>3</v>
      </c>
      <c r="E42" s="67" t="s">
        <v>132</v>
      </c>
      <c r="F42" s="70">
        <v>32</v>
      </c>
      <c r="G42" s="67"/>
      <c r="H42" s="71"/>
      <c r="I42" s="72"/>
      <c r="J42" s="72"/>
      <c r="K42" s="35" t="s">
        <v>65</v>
      </c>
      <c r="L42" s="73">
        <v>42</v>
      </c>
      <c r="M42" s="73"/>
      <c r="N42" s="74"/>
      <c r="O42" s="81" t="s">
        <v>314</v>
      </c>
      <c r="P42" s="83">
        <v>44282.95633101852</v>
      </c>
      <c r="Q42" s="81" t="s">
        <v>320</v>
      </c>
      <c r="R42" s="84" t="str">
        <f>HYPERLINK("https://www.bmj.com/content/372/bmj.n742?utm_source=twitter&amp;utm_medium=social&amp;utm_term=hootsuite&amp;utm_content=sme&amp;utm_campaign=usage")</f>
        <v>https://www.bmj.com/content/372/bmj.n742?utm_source=twitter&amp;utm_medium=social&amp;utm_term=hootsuite&amp;utm_content=sme&amp;utm_campaign=usage</v>
      </c>
      <c r="S42" s="81" t="s">
        <v>337</v>
      </c>
      <c r="T42" s="81"/>
      <c r="U42" s="81"/>
      <c r="V42" s="84" t="str">
        <f>HYPERLINK("https://pbs.twimg.com/profile_images/1318182515677429760/ygr-gUit_normal.jpg")</f>
        <v>https://pbs.twimg.com/profile_images/1318182515677429760/ygr-gUit_normal.jpg</v>
      </c>
      <c r="W42" s="83">
        <v>44282.95633101852</v>
      </c>
      <c r="X42" s="88">
        <v>44282</v>
      </c>
      <c r="Y42" s="86" t="s">
        <v>359</v>
      </c>
      <c r="Z42" s="84" t="str">
        <f>HYPERLINK("https://twitter.com/xthugginitx/status/1375945005534113794")</f>
        <v>https://twitter.com/xthugginitx/status/1375945005534113794</v>
      </c>
      <c r="AA42" s="81"/>
      <c r="AB42" s="81"/>
      <c r="AC42" s="86" t="s">
        <v>417</v>
      </c>
      <c r="AD42" s="81"/>
      <c r="AE42" s="81" t="b">
        <v>0</v>
      </c>
      <c r="AF42" s="81">
        <v>0</v>
      </c>
      <c r="AG42" s="86" t="s">
        <v>462</v>
      </c>
      <c r="AH42" s="81" t="b">
        <v>0</v>
      </c>
      <c r="AI42" s="81" t="s">
        <v>467</v>
      </c>
      <c r="AJ42" s="81"/>
      <c r="AK42" s="86" t="s">
        <v>462</v>
      </c>
      <c r="AL42" s="81" t="b">
        <v>0</v>
      </c>
      <c r="AM42" s="81">
        <v>16</v>
      </c>
      <c r="AN42" s="86" t="s">
        <v>456</v>
      </c>
      <c r="AO42" s="86" t="s">
        <v>470</v>
      </c>
      <c r="AP42" s="81" t="b">
        <v>0</v>
      </c>
      <c r="AQ42" s="86" t="s">
        <v>456</v>
      </c>
      <c r="AR42" s="81"/>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1</v>
      </c>
      <c r="BF42" s="49"/>
      <c r="BG42" s="50"/>
      <c r="BH42" s="49"/>
      <c r="BI42" s="50"/>
      <c r="BJ42" s="49"/>
      <c r="BK42" s="50"/>
      <c r="BL42" s="49"/>
      <c r="BM42" s="50"/>
      <c r="BN42" s="49"/>
    </row>
    <row r="43" spans="1:66" ht="15">
      <c r="A43" s="66" t="s">
        <v>268</v>
      </c>
      <c r="B43" s="66" t="s">
        <v>300</v>
      </c>
      <c r="C43" s="67" t="s">
        <v>1216</v>
      </c>
      <c r="D43" s="68">
        <v>3</v>
      </c>
      <c r="E43" s="67" t="s">
        <v>132</v>
      </c>
      <c r="F43" s="70">
        <v>32</v>
      </c>
      <c r="G43" s="67"/>
      <c r="H43" s="71"/>
      <c r="I43" s="72"/>
      <c r="J43" s="72"/>
      <c r="K43" s="35" t="s">
        <v>65</v>
      </c>
      <c r="L43" s="73">
        <v>43</v>
      </c>
      <c r="M43" s="73"/>
      <c r="N43" s="74"/>
      <c r="O43" s="81" t="s">
        <v>315</v>
      </c>
      <c r="P43" s="83">
        <v>44282.95633101852</v>
      </c>
      <c r="Q43" s="81" t="s">
        <v>320</v>
      </c>
      <c r="R43" s="84" t="str">
        <f>HYPERLINK("https://www.bmj.com/content/372/bmj.n742?utm_source=twitter&amp;utm_medium=social&amp;utm_term=hootsuite&amp;utm_content=sme&amp;utm_campaign=usage")</f>
        <v>https://www.bmj.com/content/372/bmj.n742?utm_source=twitter&amp;utm_medium=social&amp;utm_term=hootsuite&amp;utm_content=sme&amp;utm_campaign=usage</v>
      </c>
      <c r="S43" s="81" t="s">
        <v>337</v>
      </c>
      <c r="T43" s="81"/>
      <c r="U43" s="81"/>
      <c r="V43" s="84" t="str">
        <f>HYPERLINK("https://pbs.twimg.com/profile_images/1318182515677429760/ygr-gUit_normal.jpg")</f>
        <v>https://pbs.twimg.com/profile_images/1318182515677429760/ygr-gUit_normal.jpg</v>
      </c>
      <c r="W43" s="83">
        <v>44282.95633101852</v>
      </c>
      <c r="X43" s="88">
        <v>44282</v>
      </c>
      <c r="Y43" s="86" t="s">
        <v>359</v>
      </c>
      <c r="Z43" s="84" t="str">
        <f>HYPERLINK("https://twitter.com/xthugginitx/status/1375945005534113794")</f>
        <v>https://twitter.com/xthugginitx/status/1375945005534113794</v>
      </c>
      <c r="AA43" s="81"/>
      <c r="AB43" s="81"/>
      <c r="AC43" s="86" t="s">
        <v>417</v>
      </c>
      <c r="AD43" s="81"/>
      <c r="AE43" s="81" t="b">
        <v>0</v>
      </c>
      <c r="AF43" s="81">
        <v>0</v>
      </c>
      <c r="AG43" s="86" t="s">
        <v>462</v>
      </c>
      <c r="AH43" s="81" t="b">
        <v>0</v>
      </c>
      <c r="AI43" s="81" t="s">
        <v>467</v>
      </c>
      <c r="AJ43" s="81"/>
      <c r="AK43" s="86" t="s">
        <v>462</v>
      </c>
      <c r="AL43" s="81" t="b">
        <v>0</v>
      </c>
      <c r="AM43" s="81">
        <v>16</v>
      </c>
      <c r="AN43" s="86" t="s">
        <v>456</v>
      </c>
      <c r="AO43" s="86" t="s">
        <v>470</v>
      </c>
      <c r="AP43" s="81" t="b">
        <v>0</v>
      </c>
      <c r="AQ43" s="86" t="s">
        <v>456</v>
      </c>
      <c r="AR43" s="81"/>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v>1</v>
      </c>
      <c r="BG43" s="50">
        <v>2.7777777777777777</v>
      </c>
      <c r="BH43" s="49">
        <v>1</v>
      </c>
      <c r="BI43" s="50">
        <v>2.7777777777777777</v>
      </c>
      <c r="BJ43" s="49">
        <v>0</v>
      </c>
      <c r="BK43" s="50">
        <v>0</v>
      </c>
      <c r="BL43" s="49">
        <v>34</v>
      </c>
      <c r="BM43" s="50">
        <v>94.44444444444444</v>
      </c>
      <c r="BN43" s="49">
        <v>36</v>
      </c>
    </row>
    <row r="44" spans="1:66" ht="15">
      <c r="A44" s="66" t="s">
        <v>269</v>
      </c>
      <c r="B44" s="66" t="s">
        <v>289</v>
      </c>
      <c r="C44" s="67" t="s">
        <v>1216</v>
      </c>
      <c r="D44" s="68">
        <v>3</v>
      </c>
      <c r="E44" s="67" t="s">
        <v>132</v>
      </c>
      <c r="F44" s="70">
        <v>32</v>
      </c>
      <c r="G44" s="67"/>
      <c r="H44" s="71"/>
      <c r="I44" s="72"/>
      <c r="J44" s="72"/>
      <c r="K44" s="35" t="s">
        <v>65</v>
      </c>
      <c r="L44" s="73">
        <v>44</v>
      </c>
      <c r="M44" s="73"/>
      <c r="N44" s="74"/>
      <c r="O44" s="81" t="s">
        <v>314</v>
      </c>
      <c r="P44" s="83">
        <v>44288.72038194445</v>
      </c>
      <c r="Q44" s="81" t="s">
        <v>319</v>
      </c>
      <c r="R44" s="84" t="str">
        <f>HYPERLINK("https://www.bmj.com/content/372/bmj.n742")</f>
        <v>https://www.bmj.com/content/372/bmj.n742</v>
      </c>
      <c r="S44" s="81" t="s">
        <v>337</v>
      </c>
      <c r="T44" s="86" t="s">
        <v>339</v>
      </c>
      <c r="U44" s="81"/>
      <c r="V44" s="84" t="str">
        <f>HYPERLINK("https://pbs.twimg.com/profile_images/638164839869779969/_wEpzvEH_normal.jpg")</f>
        <v>https://pbs.twimg.com/profile_images/638164839869779969/_wEpzvEH_normal.jpg</v>
      </c>
      <c r="W44" s="83">
        <v>44288.72038194445</v>
      </c>
      <c r="X44" s="88">
        <v>44288</v>
      </c>
      <c r="Y44" s="86" t="s">
        <v>360</v>
      </c>
      <c r="Z44" s="84" t="str">
        <f>HYPERLINK("https://twitter.com/christelbinnie/status/1378033826736267265")</f>
        <v>https://twitter.com/christelbinnie/status/1378033826736267265</v>
      </c>
      <c r="AA44" s="81"/>
      <c r="AB44" s="81"/>
      <c r="AC44" s="86" t="s">
        <v>418</v>
      </c>
      <c r="AD44" s="81"/>
      <c r="AE44" s="81" t="b">
        <v>0</v>
      </c>
      <c r="AF44" s="81">
        <v>0</v>
      </c>
      <c r="AG44" s="86" t="s">
        <v>462</v>
      </c>
      <c r="AH44" s="81" t="b">
        <v>0</v>
      </c>
      <c r="AI44" s="81" t="s">
        <v>467</v>
      </c>
      <c r="AJ44" s="81"/>
      <c r="AK44" s="86" t="s">
        <v>462</v>
      </c>
      <c r="AL44" s="81" t="b">
        <v>0</v>
      </c>
      <c r="AM44" s="81">
        <v>7</v>
      </c>
      <c r="AN44" s="86" t="s">
        <v>438</v>
      </c>
      <c r="AO44" s="86" t="s">
        <v>471</v>
      </c>
      <c r="AP44" s="81" t="b">
        <v>0</v>
      </c>
      <c r="AQ44" s="86" t="s">
        <v>438</v>
      </c>
      <c r="AR44" s="81"/>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c r="BG44" s="50"/>
      <c r="BH44" s="49"/>
      <c r="BI44" s="50"/>
      <c r="BJ44" s="49"/>
      <c r="BK44" s="50"/>
      <c r="BL44" s="49"/>
      <c r="BM44" s="50"/>
      <c r="BN44" s="49"/>
    </row>
    <row r="45" spans="1:66" ht="15">
      <c r="A45" s="66" t="s">
        <v>269</v>
      </c>
      <c r="B45" s="66" t="s">
        <v>288</v>
      </c>
      <c r="C45" s="67" t="s">
        <v>1216</v>
      </c>
      <c r="D45" s="68">
        <v>3</v>
      </c>
      <c r="E45" s="67" t="s">
        <v>132</v>
      </c>
      <c r="F45" s="70">
        <v>32</v>
      </c>
      <c r="G45" s="67"/>
      <c r="H45" s="71"/>
      <c r="I45" s="72"/>
      <c r="J45" s="72"/>
      <c r="K45" s="35" t="s">
        <v>65</v>
      </c>
      <c r="L45" s="73">
        <v>45</v>
      </c>
      <c r="M45" s="73"/>
      <c r="N45" s="74"/>
      <c r="O45" s="81" t="s">
        <v>315</v>
      </c>
      <c r="P45" s="83">
        <v>44288.72038194445</v>
      </c>
      <c r="Q45" s="81" t="s">
        <v>319</v>
      </c>
      <c r="R45" s="84" t="str">
        <f>HYPERLINK("https://www.bmj.com/content/372/bmj.n742")</f>
        <v>https://www.bmj.com/content/372/bmj.n742</v>
      </c>
      <c r="S45" s="81" t="s">
        <v>337</v>
      </c>
      <c r="T45" s="86" t="s">
        <v>339</v>
      </c>
      <c r="U45" s="81"/>
      <c r="V45" s="84" t="str">
        <f>HYPERLINK("https://pbs.twimg.com/profile_images/638164839869779969/_wEpzvEH_normal.jpg")</f>
        <v>https://pbs.twimg.com/profile_images/638164839869779969/_wEpzvEH_normal.jpg</v>
      </c>
      <c r="W45" s="83">
        <v>44288.72038194445</v>
      </c>
      <c r="X45" s="88">
        <v>44288</v>
      </c>
      <c r="Y45" s="86" t="s">
        <v>360</v>
      </c>
      <c r="Z45" s="84" t="str">
        <f>HYPERLINK("https://twitter.com/christelbinnie/status/1378033826736267265")</f>
        <v>https://twitter.com/christelbinnie/status/1378033826736267265</v>
      </c>
      <c r="AA45" s="81"/>
      <c r="AB45" s="81"/>
      <c r="AC45" s="86" t="s">
        <v>418</v>
      </c>
      <c r="AD45" s="81"/>
      <c r="AE45" s="81" t="b">
        <v>0</v>
      </c>
      <c r="AF45" s="81">
        <v>0</v>
      </c>
      <c r="AG45" s="86" t="s">
        <v>462</v>
      </c>
      <c r="AH45" s="81" t="b">
        <v>0</v>
      </c>
      <c r="AI45" s="81" t="s">
        <v>467</v>
      </c>
      <c r="AJ45" s="81"/>
      <c r="AK45" s="86" t="s">
        <v>462</v>
      </c>
      <c r="AL45" s="81" t="b">
        <v>0</v>
      </c>
      <c r="AM45" s="81">
        <v>7</v>
      </c>
      <c r="AN45" s="86" t="s">
        <v>438</v>
      </c>
      <c r="AO45" s="86" t="s">
        <v>471</v>
      </c>
      <c r="AP45" s="81" t="b">
        <v>0</v>
      </c>
      <c r="AQ45" s="86" t="s">
        <v>438</v>
      </c>
      <c r="AR45" s="81"/>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1</v>
      </c>
      <c r="BF45" s="49">
        <v>1</v>
      </c>
      <c r="BG45" s="50">
        <v>2.9411764705882355</v>
      </c>
      <c r="BH45" s="49">
        <v>1</v>
      </c>
      <c r="BI45" s="50">
        <v>2.9411764705882355</v>
      </c>
      <c r="BJ45" s="49">
        <v>0</v>
      </c>
      <c r="BK45" s="50">
        <v>0</v>
      </c>
      <c r="BL45" s="49">
        <v>32</v>
      </c>
      <c r="BM45" s="50">
        <v>94.11764705882354</v>
      </c>
      <c r="BN45" s="49">
        <v>34</v>
      </c>
    </row>
    <row r="46" spans="1:66" ht="15">
      <c r="A46" s="66" t="s">
        <v>270</v>
      </c>
      <c r="B46" s="66" t="s">
        <v>300</v>
      </c>
      <c r="C46" s="67" t="s">
        <v>1216</v>
      </c>
      <c r="D46" s="68">
        <v>3</v>
      </c>
      <c r="E46" s="67" t="s">
        <v>132</v>
      </c>
      <c r="F46" s="70">
        <v>32</v>
      </c>
      <c r="G46" s="67"/>
      <c r="H46" s="71"/>
      <c r="I46" s="72"/>
      <c r="J46" s="72"/>
      <c r="K46" s="35" t="s">
        <v>65</v>
      </c>
      <c r="L46" s="73">
        <v>46</v>
      </c>
      <c r="M46" s="73"/>
      <c r="N46" s="74"/>
      <c r="O46" s="81" t="s">
        <v>314</v>
      </c>
      <c r="P46" s="83">
        <v>44290.76322916667</v>
      </c>
      <c r="Q46" s="81" t="s">
        <v>318</v>
      </c>
      <c r="R46" s="84" t="str">
        <f>HYPERLINK("https://www.bmj.com/content/372/bmj.n742")</f>
        <v>https://www.bmj.com/content/372/bmj.n742</v>
      </c>
      <c r="S46" s="81" t="s">
        <v>337</v>
      </c>
      <c r="T46" s="81"/>
      <c r="U46" s="81"/>
      <c r="V46" s="84" t="str">
        <f>HYPERLINK("https://pbs.twimg.com/profile_images/934873510568169472/JpHJzOcP_normal.jpg")</f>
        <v>https://pbs.twimg.com/profile_images/934873510568169472/JpHJzOcP_normal.jpg</v>
      </c>
      <c r="W46" s="83">
        <v>44290.76322916667</v>
      </c>
      <c r="X46" s="88">
        <v>44290</v>
      </c>
      <c r="Y46" s="86" t="s">
        <v>361</v>
      </c>
      <c r="Z46" s="84" t="str">
        <f>HYPERLINK("https://twitter.com/jturnesv/status/1378774128661004291")</f>
        <v>https://twitter.com/jturnesv/status/1378774128661004291</v>
      </c>
      <c r="AA46" s="81"/>
      <c r="AB46" s="81"/>
      <c r="AC46" s="86" t="s">
        <v>419</v>
      </c>
      <c r="AD46" s="81"/>
      <c r="AE46" s="81" t="b">
        <v>0</v>
      </c>
      <c r="AF46" s="81">
        <v>0</v>
      </c>
      <c r="AG46" s="86" t="s">
        <v>462</v>
      </c>
      <c r="AH46" s="81" t="b">
        <v>0</v>
      </c>
      <c r="AI46" s="81" t="s">
        <v>467</v>
      </c>
      <c r="AJ46" s="81"/>
      <c r="AK46" s="86" t="s">
        <v>462</v>
      </c>
      <c r="AL46" s="81" t="b">
        <v>0</v>
      </c>
      <c r="AM46" s="81">
        <v>7</v>
      </c>
      <c r="AN46" s="86" t="s">
        <v>440</v>
      </c>
      <c r="AO46" s="86" t="s">
        <v>471</v>
      </c>
      <c r="AP46" s="81" t="b">
        <v>0</v>
      </c>
      <c r="AQ46" s="86" t="s">
        <v>440</v>
      </c>
      <c r="AR46" s="81"/>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6" t="s">
        <v>270</v>
      </c>
      <c r="B47" s="66" t="s">
        <v>289</v>
      </c>
      <c r="C47" s="67" t="s">
        <v>1216</v>
      </c>
      <c r="D47" s="68">
        <v>3</v>
      </c>
      <c r="E47" s="67" t="s">
        <v>132</v>
      </c>
      <c r="F47" s="70">
        <v>32</v>
      </c>
      <c r="G47" s="67"/>
      <c r="H47" s="71"/>
      <c r="I47" s="72"/>
      <c r="J47" s="72"/>
      <c r="K47" s="35" t="s">
        <v>65</v>
      </c>
      <c r="L47" s="73">
        <v>47</v>
      </c>
      <c r="M47" s="73"/>
      <c r="N47" s="74"/>
      <c r="O47" s="81" t="s">
        <v>314</v>
      </c>
      <c r="P47" s="83">
        <v>44290.76322916667</v>
      </c>
      <c r="Q47" s="81" t="s">
        <v>318</v>
      </c>
      <c r="R47" s="84" t="str">
        <f>HYPERLINK("https://www.bmj.com/content/372/bmj.n742")</f>
        <v>https://www.bmj.com/content/372/bmj.n742</v>
      </c>
      <c r="S47" s="81" t="s">
        <v>337</v>
      </c>
      <c r="T47" s="81"/>
      <c r="U47" s="81"/>
      <c r="V47" s="84" t="str">
        <f>HYPERLINK("https://pbs.twimg.com/profile_images/934873510568169472/JpHJzOcP_normal.jpg")</f>
        <v>https://pbs.twimg.com/profile_images/934873510568169472/JpHJzOcP_normal.jpg</v>
      </c>
      <c r="W47" s="83">
        <v>44290.76322916667</v>
      </c>
      <c r="X47" s="88">
        <v>44290</v>
      </c>
      <c r="Y47" s="86" t="s">
        <v>361</v>
      </c>
      <c r="Z47" s="84" t="str">
        <f>HYPERLINK("https://twitter.com/jturnesv/status/1378774128661004291")</f>
        <v>https://twitter.com/jturnesv/status/1378774128661004291</v>
      </c>
      <c r="AA47" s="81"/>
      <c r="AB47" s="81"/>
      <c r="AC47" s="86" t="s">
        <v>419</v>
      </c>
      <c r="AD47" s="81"/>
      <c r="AE47" s="81" t="b">
        <v>0</v>
      </c>
      <c r="AF47" s="81">
        <v>0</v>
      </c>
      <c r="AG47" s="86" t="s">
        <v>462</v>
      </c>
      <c r="AH47" s="81" t="b">
        <v>0</v>
      </c>
      <c r="AI47" s="81" t="s">
        <v>467</v>
      </c>
      <c r="AJ47" s="81"/>
      <c r="AK47" s="86" t="s">
        <v>462</v>
      </c>
      <c r="AL47" s="81" t="b">
        <v>0</v>
      </c>
      <c r="AM47" s="81">
        <v>7</v>
      </c>
      <c r="AN47" s="86" t="s">
        <v>440</v>
      </c>
      <c r="AO47" s="86" t="s">
        <v>471</v>
      </c>
      <c r="AP47" s="81" t="b">
        <v>0</v>
      </c>
      <c r="AQ47" s="86" t="s">
        <v>440</v>
      </c>
      <c r="AR47" s="81"/>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1</v>
      </c>
      <c r="BF47" s="49"/>
      <c r="BG47" s="50"/>
      <c r="BH47" s="49"/>
      <c r="BI47" s="50"/>
      <c r="BJ47" s="49"/>
      <c r="BK47" s="50"/>
      <c r="BL47" s="49"/>
      <c r="BM47" s="50"/>
      <c r="BN47" s="49"/>
    </row>
    <row r="48" spans="1:66" ht="15">
      <c r="A48" s="66" t="s">
        <v>270</v>
      </c>
      <c r="B48" s="66" t="s">
        <v>290</v>
      </c>
      <c r="C48" s="67" t="s">
        <v>1216</v>
      </c>
      <c r="D48" s="68">
        <v>3</v>
      </c>
      <c r="E48" s="67" t="s">
        <v>132</v>
      </c>
      <c r="F48" s="70">
        <v>32</v>
      </c>
      <c r="G48" s="67"/>
      <c r="H48" s="71"/>
      <c r="I48" s="72"/>
      <c r="J48" s="72"/>
      <c r="K48" s="35" t="s">
        <v>65</v>
      </c>
      <c r="L48" s="73">
        <v>48</v>
      </c>
      <c r="M48" s="73"/>
      <c r="N48" s="74"/>
      <c r="O48" s="81" t="s">
        <v>315</v>
      </c>
      <c r="P48" s="83">
        <v>44290.76322916667</v>
      </c>
      <c r="Q48" s="81" t="s">
        <v>318</v>
      </c>
      <c r="R48" s="84" t="str">
        <f>HYPERLINK("https://www.bmj.com/content/372/bmj.n742")</f>
        <v>https://www.bmj.com/content/372/bmj.n742</v>
      </c>
      <c r="S48" s="81" t="s">
        <v>337</v>
      </c>
      <c r="T48" s="81"/>
      <c r="U48" s="81"/>
      <c r="V48" s="84" t="str">
        <f>HYPERLINK("https://pbs.twimg.com/profile_images/934873510568169472/JpHJzOcP_normal.jpg")</f>
        <v>https://pbs.twimg.com/profile_images/934873510568169472/JpHJzOcP_normal.jpg</v>
      </c>
      <c r="W48" s="83">
        <v>44290.76322916667</v>
      </c>
      <c r="X48" s="88">
        <v>44290</v>
      </c>
      <c r="Y48" s="86" t="s">
        <v>361</v>
      </c>
      <c r="Z48" s="84" t="str">
        <f>HYPERLINK("https://twitter.com/jturnesv/status/1378774128661004291")</f>
        <v>https://twitter.com/jturnesv/status/1378774128661004291</v>
      </c>
      <c r="AA48" s="81"/>
      <c r="AB48" s="81"/>
      <c r="AC48" s="86" t="s">
        <v>419</v>
      </c>
      <c r="AD48" s="81"/>
      <c r="AE48" s="81" t="b">
        <v>0</v>
      </c>
      <c r="AF48" s="81">
        <v>0</v>
      </c>
      <c r="AG48" s="86" t="s">
        <v>462</v>
      </c>
      <c r="AH48" s="81" t="b">
        <v>0</v>
      </c>
      <c r="AI48" s="81" t="s">
        <v>467</v>
      </c>
      <c r="AJ48" s="81"/>
      <c r="AK48" s="86" t="s">
        <v>462</v>
      </c>
      <c r="AL48" s="81" t="b">
        <v>0</v>
      </c>
      <c r="AM48" s="81">
        <v>7</v>
      </c>
      <c r="AN48" s="86" t="s">
        <v>440</v>
      </c>
      <c r="AO48" s="86" t="s">
        <v>471</v>
      </c>
      <c r="AP48" s="81" t="b">
        <v>0</v>
      </c>
      <c r="AQ48" s="86" t="s">
        <v>440</v>
      </c>
      <c r="AR48" s="81"/>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v>2</v>
      </c>
      <c r="BG48" s="50">
        <v>5</v>
      </c>
      <c r="BH48" s="49">
        <v>0</v>
      </c>
      <c r="BI48" s="50">
        <v>0</v>
      </c>
      <c r="BJ48" s="49">
        <v>0</v>
      </c>
      <c r="BK48" s="50">
        <v>0</v>
      </c>
      <c r="BL48" s="49">
        <v>38</v>
      </c>
      <c r="BM48" s="50">
        <v>95</v>
      </c>
      <c r="BN48" s="49">
        <v>40</v>
      </c>
    </row>
    <row r="49" spans="1:66" ht="15">
      <c r="A49" s="66" t="s">
        <v>271</v>
      </c>
      <c r="B49" s="66" t="s">
        <v>271</v>
      </c>
      <c r="C49" s="67" t="s">
        <v>1216</v>
      </c>
      <c r="D49" s="68">
        <v>3</v>
      </c>
      <c r="E49" s="67" t="s">
        <v>132</v>
      </c>
      <c r="F49" s="70">
        <v>32</v>
      </c>
      <c r="G49" s="67"/>
      <c r="H49" s="71"/>
      <c r="I49" s="72"/>
      <c r="J49" s="72"/>
      <c r="K49" s="35" t="s">
        <v>65</v>
      </c>
      <c r="L49" s="73">
        <v>49</v>
      </c>
      <c r="M49" s="73"/>
      <c r="N49" s="74"/>
      <c r="O49" s="81" t="s">
        <v>213</v>
      </c>
      <c r="P49" s="83">
        <v>44283.03293981482</v>
      </c>
      <c r="Q49" s="81" t="s">
        <v>326</v>
      </c>
      <c r="R49" s="84" t="str">
        <f>HYPERLINK("https://www.bmj.com/content/372/bmj.n742")</f>
        <v>https://www.bmj.com/content/372/bmj.n742</v>
      </c>
      <c r="S49" s="81" t="s">
        <v>337</v>
      </c>
      <c r="T49" s="81"/>
      <c r="U49" s="81"/>
      <c r="V49" s="84" t="str">
        <f>HYPERLINK("https://pbs.twimg.com/profile_images/1238302600501628933/WG-G4T2u_normal.jpg")</f>
        <v>https://pbs.twimg.com/profile_images/1238302600501628933/WG-G4T2u_normal.jpg</v>
      </c>
      <c r="W49" s="83">
        <v>44283.03293981482</v>
      </c>
      <c r="X49" s="88">
        <v>44283</v>
      </c>
      <c r="Y49" s="86" t="s">
        <v>362</v>
      </c>
      <c r="Z49" s="84" t="str">
        <f>HYPERLINK("https://twitter.com/axxiom/status/1375972767653363717")</f>
        <v>https://twitter.com/axxiom/status/1375972767653363717</v>
      </c>
      <c r="AA49" s="81"/>
      <c r="AB49" s="81"/>
      <c r="AC49" s="86" t="s">
        <v>420</v>
      </c>
      <c r="AD49" s="81"/>
      <c r="AE49" s="81" t="b">
        <v>0</v>
      </c>
      <c r="AF49" s="81">
        <v>0</v>
      </c>
      <c r="AG49" s="86" t="s">
        <v>462</v>
      </c>
      <c r="AH49" s="81" t="b">
        <v>0</v>
      </c>
      <c r="AI49" s="81" t="s">
        <v>467</v>
      </c>
      <c r="AJ49" s="81"/>
      <c r="AK49" s="86" t="s">
        <v>462</v>
      </c>
      <c r="AL49" s="81" t="b">
        <v>0</v>
      </c>
      <c r="AM49" s="81">
        <v>0</v>
      </c>
      <c r="AN49" s="86" t="s">
        <v>462</v>
      </c>
      <c r="AO49" s="86" t="s">
        <v>470</v>
      </c>
      <c r="AP49" s="81" t="b">
        <v>0</v>
      </c>
      <c r="AQ49" s="86" t="s">
        <v>420</v>
      </c>
      <c r="AR49" s="81"/>
      <c r="AS49" s="81">
        <v>0</v>
      </c>
      <c r="AT49" s="81">
        <v>0</v>
      </c>
      <c r="AU49" s="81"/>
      <c r="AV49" s="81"/>
      <c r="AW49" s="81"/>
      <c r="AX49" s="81"/>
      <c r="AY49" s="81"/>
      <c r="AZ49" s="81"/>
      <c r="BA49" s="81"/>
      <c r="BB49" s="81"/>
      <c r="BC49">
        <v>1</v>
      </c>
      <c r="BD49" s="80" t="str">
        <f>REPLACE(INDEX(GroupVertices[Group],MATCH(Edges[[#This Row],[Vertex 1]],GroupVertices[Vertex],0)),1,1,"")</f>
        <v>4</v>
      </c>
      <c r="BE49" s="80" t="str">
        <f>REPLACE(INDEX(GroupVertices[Group],MATCH(Edges[[#This Row],[Vertex 2]],GroupVertices[Vertex],0)),1,1,"")</f>
        <v>4</v>
      </c>
      <c r="BF49" s="49">
        <v>0</v>
      </c>
      <c r="BG49" s="50">
        <v>0</v>
      </c>
      <c r="BH49" s="49">
        <v>1</v>
      </c>
      <c r="BI49" s="50">
        <v>12.5</v>
      </c>
      <c r="BJ49" s="49">
        <v>0</v>
      </c>
      <c r="BK49" s="50">
        <v>0</v>
      </c>
      <c r="BL49" s="49">
        <v>7</v>
      </c>
      <c r="BM49" s="50">
        <v>87.5</v>
      </c>
      <c r="BN49" s="49">
        <v>8</v>
      </c>
    </row>
    <row r="50" spans="1:66" ht="15">
      <c r="A50" s="66" t="s">
        <v>272</v>
      </c>
      <c r="B50" s="66" t="s">
        <v>300</v>
      </c>
      <c r="C50" s="67" t="s">
        <v>1216</v>
      </c>
      <c r="D50" s="68">
        <v>3</v>
      </c>
      <c r="E50" s="67" t="s">
        <v>132</v>
      </c>
      <c r="F50" s="70">
        <v>32</v>
      </c>
      <c r="G50" s="67"/>
      <c r="H50" s="71"/>
      <c r="I50" s="72"/>
      <c r="J50" s="72"/>
      <c r="K50" s="35" t="s">
        <v>65</v>
      </c>
      <c r="L50" s="73">
        <v>50</v>
      </c>
      <c r="M50" s="73"/>
      <c r="N50" s="74"/>
      <c r="O50" s="81" t="s">
        <v>314</v>
      </c>
      <c r="P50" s="83">
        <v>44291.385150462964</v>
      </c>
      <c r="Q50" s="81" t="s">
        <v>318</v>
      </c>
      <c r="R50" s="84" t="str">
        <f>HYPERLINK("https://www.bmj.com/content/372/bmj.n742")</f>
        <v>https://www.bmj.com/content/372/bmj.n742</v>
      </c>
      <c r="S50" s="81" t="s">
        <v>337</v>
      </c>
      <c r="T50" s="81"/>
      <c r="U50" s="81"/>
      <c r="V50" s="84" t="str">
        <f>HYPERLINK("https://pbs.twimg.com/profile_images/626755137457917952/vh8ToO1y_normal.jpg")</f>
        <v>https://pbs.twimg.com/profile_images/626755137457917952/vh8ToO1y_normal.jpg</v>
      </c>
      <c r="W50" s="83">
        <v>44291.385150462964</v>
      </c>
      <c r="X50" s="88">
        <v>44291</v>
      </c>
      <c r="Y50" s="86" t="s">
        <v>363</v>
      </c>
      <c r="Z50" s="84" t="str">
        <f>HYPERLINK("https://twitter.com/sminaev2015/status/1378999505538985984")</f>
        <v>https://twitter.com/sminaev2015/status/1378999505538985984</v>
      </c>
      <c r="AA50" s="81"/>
      <c r="AB50" s="81"/>
      <c r="AC50" s="86" t="s">
        <v>421</v>
      </c>
      <c r="AD50" s="81"/>
      <c r="AE50" s="81" t="b">
        <v>0</v>
      </c>
      <c r="AF50" s="81">
        <v>0</v>
      </c>
      <c r="AG50" s="86" t="s">
        <v>462</v>
      </c>
      <c r="AH50" s="81" t="b">
        <v>0</v>
      </c>
      <c r="AI50" s="81" t="s">
        <v>467</v>
      </c>
      <c r="AJ50" s="81"/>
      <c r="AK50" s="86" t="s">
        <v>462</v>
      </c>
      <c r="AL50" s="81" t="b">
        <v>0</v>
      </c>
      <c r="AM50" s="81">
        <v>7</v>
      </c>
      <c r="AN50" s="86" t="s">
        <v>440</v>
      </c>
      <c r="AO50" s="86" t="s">
        <v>470</v>
      </c>
      <c r="AP50" s="81" t="b">
        <v>0</v>
      </c>
      <c r="AQ50" s="86" t="s">
        <v>440</v>
      </c>
      <c r="AR50" s="81"/>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6" t="s">
        <v>272</v>
      </c>
      <c r="B51" s="66" t="s">
        <v>289</v>
      </c>
      <c r="C51" s="67" t="s">
        <v>1216</v>
      </c>
      <c r="D51" s="68">
        <v>3</v>
      </c>
      <c r="E51" s="67" t="s">
        <v>132</v>
      </c>
      <c r="F51" s="70">
        <v>32</v>
      </c>
      <c r="G51" s="67"/>
      <c r="H51" s="71"/>
      <c r="I51" s="72"/>
      <c r="J51" s="72"/>
      <c r="K51" s="35" t="s">
        <v>65</v>
      </c>
      <c r="L51" s="73">
        <v>51</v>
      </c>
      <c r="M51" s="73"/>
      <c r="N51" s="74"/>
      <c r="O51" s="81" t="s">
        <v>314</v>
      </c>
      <c r="P51" s="83">
        <v>44291.385150462964</v>
      </c>
      <c r="Q51" s="81" t="s">
        <v>318</v>
      </c>
      <c r="R51" s="84" t="str">
        <f>HYPERLINK("https://www.bmj.com/content/372/bmj.n742")</f>
        <v>https://www.bmj.com/content/372/bmj.n742</v>
      </c>
      <c r="S51" s="81" t="s">
        <v>337</v>
      </c>
      <c r="T51" s="81"/>
      <c r="U51" s="81"/>
      <c r="V51" s="84" t="str">
        <f>HYPERLINK("https://pbs.twimg.com/profile_images/626755137457917952/vh8ToO1y_normal.jpg")</f>
        <v>https://pbs.twimg.com/profile_images/626755137457917952/vh8ToO1y_normal.jpg</v>
      </c>
      <c r="W51" s="83">
        <v>44291.385150462964</v>
      </c>
      <c r="X51" s="88">
        <v>44291</v>
      </c>
      <c r="Y51" s="86" t="s">
        <v>363</v>
      </c>
      <c r="Z51" s="84" t="str">
        <f>HYPERLINK("https://twitter.com/sminaev2015/status/1378999505538985984")</f>
        <v>https://twitter.com/sminaev2015/status/1378999505538985984</v>
      </c>
      <c r="AA51" s="81"/>
      <c r="AB51" s="81"/>
      <c r="AC51" s="86" t="s">
        <v>421</v>
      </c>
      <c r="AD51" s="81"/>
      <c r="AE51" s="81" t="b">
        <v>0</v>
      </c>
      <c r="AF51" s="81">
        <v>0</v>
      </c>
      <c r="AG51" s="86" t="s">
        <v>462</v>
      </c>
      <c r="AH51" s="81" t="b">
        <v>0</v>
      </c>
      <c r="AI51" s="81" t="s">
        <v>467</v>
      </c>
      <c r="AJ51" s="81"/>
      <c r="AK51" s="86" t="s">
        <v>462</v>
      </c>
      <c r="AL51" s="81" t="b">
        <v>0</v>
      </c>
      <c r="AM51" s="81">
        <v>7</v>
      </c>
      <c r="AN51" s="86" t="s">
        <v>440</v>
      </c>
      <c r="AO51" s="86" t="s">
        <v>470</v>
      </c>
      <c r="AP51" s="81" t="b">
        <v>0</v>
      </c>
      <c r="AQ51" s="86" t="s">
        <v>440</v>
      </c>
      <c r="AR51" s="81"/>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1</v>
      </c>
      <c r="BF51" s="49"/>
      <c r="BG51" s="50"/>
      <c r="BH51" s="49"/>
      <c r="BI51" s="50"/>
      <c r="BJ51" s="49"/>
      <c r="BK51" s="50"/>
      <c r="BL51" s="49"/>
      <c r="BM51" s="50"/>
      <c r="BN51" s="49"/>
    </row>
    <row r="52" spans="1:66" ht="15">
      <c r="A52" s="66" t="s">
        <v>272</v>
      </c>
      <c r="B52" s="66" t="s">
        <v>290</v>
      </c>
      <c r="C52" s="67" t="s">
        <v>1216</v>
      </c>
      <c r="D52" s="68">
        <v>3</v>
      </c>
      <c r="E52" s="67" t="s">
        <v>132</v>
      </c>
      <c r="F52" s="70">
        <v>32</v>
      </c>
      <c r="G52" s="67"/>
      <c r="H52" s="71"/>
      <c r="I52" s="72"/>
      <c r="J52" s="72"/>
      <c r="K52" s="35" t="s">
        <v>65</v>
      </c>
      <c r="L52" s="73">
        <v>52</v>
      </c>
      <c r="M52" s="73"/>
      <c r="N52" s="74"/>
      <c r="O52" s="81" t="s">
        <v>315</v>
      </c>
      <c r="P52" s="83">
        <v>44291.385150462964</v>
      </c>
      <c r="Q52" s="81" t="s">
        <v>318</v>
      </c>
      <c r="R52" s="84" t="str">
        <f>HYPERLINK("https://www.bmj.com/content/372/bmj.n742")</f>
        <v>https://www.bmj.com/content/372/bmj.n742</v>
      </c>
      <c r="S52" s="81" t="s">
        <v>337</v>
      </c>
      <c r="T52" s="81"/>
      <c r="U52" s="81"/>
      <c r="V52" s="84" t="str">
        <f>HYPERLINK("https://pbs.twimg.com/profile_images/626755137457917952/vh8ToO1y_normal.jpg")</f>
        <v>https://pbs.twimg.com/profile_images/626755137457917952/vh8ToO1y_normal.jpg</v>
      </c>
      <c r="W52" s="83">
        <v>44291.385150462964</v>
      </c>
      <c r="X52" s="88">
        <v>44291</v>
      </c>
      <c r="Y52" s="86" t="s">
        <v>363</v>
      </c>
      <c r="Z52" s="84" t="str">
        <f>HYPERLINK("https://twitter.com/sminaev2015/status/1378999505538985984")</f>
        <v>https://twitter.com/sminaev2015/status/1378999505538985984</v>
      </c>
      <c r="AA52" s="81"/>
      <c r="AB52" s="81"/>
      <c r="AC52" s="86" t="s">
        <v>421</v>
      </c>
      <c r="AD52" s="81"/>
      <c r="AE52" s="81" t="b">
        <v>0</v>
      </c>
      <c r="AF52" s="81">
        <v>0</v>
      </c>
      <c r="AG52" s="86" t="s">
        <v>462</v>
      </c>
      <c r="AH52" s="81" t="b">
        <v>0</v>
      </c>
      <c r="AI52" s="81" t="s">
        <v>467</v>
      </c>
      <c r="AJ52" s="81"/>
      <c r="AK52" s="86" t="s">
        <v>462</v>
      </c>
      <c r="AL52" s="81" t="b">
        <v>0</v>
      </c>
      <c r="AM52" s="81">
        <v>7</v>
      </c>
      <c r="AN52" s="86" t="s">
        <v>440</v>
      </c>
      <c r="AO52" s="86" t="s">
        <v>470</v>
      </c>
      <c r="AP52" s="81" t="b">
        <v>0</v>
      </c>
      <c r="AQ52" s="86" t="s">
        <v>440</v>
      </c>
      <c r="AR52" s="81"/>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v>2</v>
      </c>
      <c r="BG52" s="50">
        <v>5</v>
      </c>
      <c r="BH52" s="49">
        <v>0</v>
      </c>
      <c r="BI52" s="50">
        <v>0</v>
      </c>
      <c r="BJ52" s="49">
        <v>0</v>
      </c>
      <c r="BK52" s="50">
        <v>0</v>
      </c>
      <c r="BL52" s="49">
        <v>38</v>
      </c>
      <c r="BM52" s="50">
        <v>95</v>
      </c>
      <c r="BN52" s="49">
        <v>40</v>
      </c>
    </row>
    <row r="53" spans="1:66" ht="15">
      <c r="A53" s="66" t="s">
        <v>273</v>
      </c>
      <c r="B53" s="66" t="s">
        <v>289</v>
      </c>
      <c r="C53" s="67" t="s">
        <v>1216</v>
      </c>
      <c r="D53" s="68">
        <v>3</v>
      </c>
      <c r="E53" s="67" t="s">
        <v>132</v>
      </c>
      <c r="F53" s="70">
        <v>32</v>
      </c>
      <c r="G53" s="67"/>
      <c r="H53" s="71"/>
      <c r="I53" s="72"/>
      <c r="J53" s="72"/>
      <c r="K53" s="35" t="s">
        <v>65</v>
      </c>
      <c r="L53" s="73">
        <v>53</v>
      </c>
      <c r="M53" s="73"/>
      <c r="N53" s="74"/>
      <c r="O53" s="81" t="s">
        <v>314</v>
      </c>
      <c r="P53" s="83">
        <v>44284.67699074074</v>
      </c>
      <c r="Q53" s="81" t="s">
        <v>327</v>
      </c>
      <c r="R53" s="84" t="str">
        <f>HYPERLINK("https://www.bmj.com/content/372/bmj.n742")</f>
        <v>https://www.bmj.com/content/372/bmj.n742</v>
      </c>
      <c r="S53" s="81" t="s">
        <v>337</v>
      </c>
      <c r="T53" s="81"/>
      <c r="U53" s="84" t="str">
        <f>HYPERLINK("https://pbs.twimg.com/media/ExqM_b7XIAspf5d.jpg")</f>
        <v>https://pbs.twimg.com/media/ExqM_b7XIAspf5d.jpg</v>
      </c>
      <c r="V53" s="84" t="str">
        <f>HYPERLINK("https://pbs.twimg.com/media/ExqM_b7XIAspf5d.jpg")</f>
        <v>https://pbs.twimg.com/media/ExqM_b7XIAspf5d.jpg</v>
      </c>
      <c r="W53" s="83">
        <v>44284.67699074074</v>
      </c>
      <c r="X53" s="88">
        <v>44284</v>
      </c>
      <c r="Y53" s="86" t="s">
        <v>364</v>
      </c>
      <c r="Z53" s="84" t="str">
        <f>HYPERLINK("https://twitter.com/abuela_viajera/status/1376568551897763840")</f>
        <v>https://twitter.com/abuela_viajera/status/1376568551897763840</v>
      </c>
      <c r="AA53" s="81"/>
      <c r="AB53" s="81"/>
      <c r="AC53" s="86" t="s">
        <v>422</v>
      </c>
      <c r="AD53" s="81"/>
      <c r="AE53" s="81" t="b">
        <v>0</v>
      </c>
      <c r="AF53" s="81">
        <v>0</v>
      </c>
      <c r="AG53" s="86" t="s">
        <v>462</v>
      </c>
      <c r="AH53" s="81" t="b">
        <v>0</v>
      </c>
      <c r="AI53" s="81" t="s">
        <v>469</v>
      </c>
      <c r="AJ53" s="81"/>
      <c r="AK53" s="86" t="s">
        <v>462</v>
      </c>
      <c r="AL53" s="81" t="b">
        <v>0</v>
      </c>
      <c r="AM53" s="81">
        <v>1</v>
      </c>
      <c r="AN53" s="86" t="s">
        <v>442</v>
      </c>
      <c r="AO53" s="86" t="s">
        <v>471</v>
      </c>
      <c r="AP53" s="81" t="b">
        <v>0</v>
      </c>
      <c r="AQ53" s="86" t="s">
        <v>442</v>
      </c>
      <c r="AR53" s="81"/>
      <c r="AS53" s="81">
        <v>0</v>
      </c>
      <c r="AT53" s="81">
        <v>0</v>
      </c>
      <c r="AU53" s="81"/>
      <c r="AV53" s="81"/>
      <c r="AW53" s="81"/>
      <c r="AX53" s="81"/>
      <c r="AY53" s="81"/>
      <c r="AZ53" s="81"/>
      <c r="BA53" s="81"/>
      <c r="BB53" s="81"/>
      <c r="BC53">
        <v>1</v>
      </c>
      <c r="BD53" s="80" t="str">
        <f>REPLACE(INDEX(GroupVertices[Group],MATCH(Edges[[#This Row],[Vertex 1]],GroupVertices[Vertex],0)),1,1,"")</f>
        <v>6</v>
      </c>
      <c r="BE53" s="80" t="str">
        <f>REPLACE(INDEX(GroupVertices[Group],MATCH(Edges[[#This Row],[Vertex 2]],GroupVertices[Vertex],0)),1,1,"")</f>
        <v>1</v>
      </c>
      <c r="BF53" s="49"/>
      <c r="BG53" s="50"/>
      <c r="BH53" s="49"/>
      <c r="BI53" s="50"/>
      <c r="BJ53" s="49"/>
      <c r="BK53" s="50"/>
      <c r="BL53" s="49"/>
      <c r="BM53" s="50"/>
      <c r="BN53" s="49"/>
    </row>
    <row r="54" spans="1:66" ht="15">
      <c r="A54" s="66" t="s">
        <v>273</v>
      </c>
      <c r="B54" s="66" t="s">
        <v>291</v>
      </c>
      <c r="C54" s="67" t="s">
        <v>1216</v>
      </c>
      <c r="D54" s="68">
        <v>3</v>
      </c>
      <c r="E54" s="67" t="s">
        <v>132</v>
      </c>
      <c r="F54" s="70">
        <v>32</v>
      </c>
      <c r="G54" s="67"/>
      <c r="H54" s="71"/>
      <c r="I54" s="72"/>
      <c r="J54" s="72"/>
      <c r="K54" s="35" t="s">
        <v>65</v>
      </c>
      <c r="L54" s="73">
        <v>54</v>
      </c>
      <c r="M54" s="73"/>
      <c r="N54" s="74"/>
      <c r="O54" s="81" t="s">
        <v>315</v>
      </c>
      <c r="P54" s="83">
        <v>44284.67699074074</v>
      </c>
      <c r="Q54" s="81" t="s">
        <v>327</v>
      </c>
      <c r="R54" s="84" t="str">
        <f>HYPERLINK("https://www.bmj.com/content/372/bmj.n742")</f>
        <v>https://www.bmj.com/content/372/bmj.n742</v>
      </c>
      <c r="S54" s="81" t="s">
        <v>337</v>
      </c>
      <c r="T54" s="81"/>
      <c r="U54" s="84" t="str">
        <f>HYPERLINK("https://pbs.twimg.com/media/ExqM_b7XIAspf5d.jpg")</f>
        <v>https://pbs.twimg.com/media/ExqM_b7XIAspf5d.jpg</v>
      </c>
      <c r="V54" s="84" t="str">
        <f>HYPERLINK("https://pbs.twimg.com/media/ExqM_b7XIAspf5d.jpg")</f>
        <v>https://pbs.twimg.com/media/ExqM_b7XIAspf5d.jpg</v>
      </c>
      <c r="W54" s="83">
        <v>44284.67699074074</v>
      </c>
      <c r="X54" s="88">
        <v>44284</v>
      </c>
      <c r="Y54" s="86" t="s">
        <v>364</v>
      </c>
      <c r="Z54" s="84" t="str">
        <f>HYPERLINK("https://twitter.com/abuela_viajera/status/1376568551897763840")</f>
        <v>https://twitter.com/abuela_viajera/status/1376568551897763840</v>
      </c>
      <c r="AA54" s="81"/>
      <c r="AB54" s="81"/>
      <c r="AC54" s="86" t="s">
        <v>422</v>
      </c>
      <c r="AD54" s="81"/>
      <c r="AE54" s="81" t="b">
        <v>0</v>
      </c>
      <c r="AF54" s="81">
        <v>0</v>
      </c>
      <c r="AG54" s="86" t="s">
        <v>462</v>
      </c>
      <c r="AH54" s="81" t="b">
        <v>0</v>
      </c>
      <c r="AI54" s="81" t="s">
        <v>469</v>
      </c>
      <c r="AJ54" s="81"/>
      <c r="AK54" s="86" t="s">
        <v>462</v>
      </c>
      <c r="AL54" s="81" t="b">
        <v>0</v>
      </c>
      <c r="AM54" s="81">
        <v>1</v>
      </c>
      <c r="AN54" s="86" t="s">
        <v>442</v>
      </c>
      <c r="AO54" s="86" t="s">
        <v>471</v>
      </c>
      <c r="AP54" s="81" t="b">
        <v>0</v>
      </c>
      <c r="AQ54" s="86" t="s">
        <v>442</v>
      </c>
      <c r="AR54" s="81"/>
      <c r="AS54" s="81">
        <v>0</v>
      </c>
      <c r="AT54" s="81">
        <v>0</v>
      </c>
      <c r="AU54" s="81"/>
      <c r="AV54" s="81"/>
      <c r="AW54" s="81"/>
      <c r="AX54" s="81"/>
      <c r="AY54" s="81"/>
      <c r="AZ54" s="81"/>
      <c r="BA54" s="81"/>
      <c r="BB54" s="81"/>
      <c r="BC54">
        <v>1</v>
      </c>
      <c r="BD54" s="80" t="str">
        <f>REPLACE(INDEX(GroupVertices[Group],MATCH(Edges[[#This Row],[Vertex 1]],GroupVertices[Vertex],0)),1,1,"")</f>
        <v>6</v>
      </c>
      <c r="BE54" s="80" t="str">
        <f>REPLACE(INDEX(GroupVertices[Group],MATCH(Edges[[#This Row],[Vertex 2]],GroupVertices[Vertex],0)),1,1,"")</f>
        <v>6</v>
      </c>
      <c r="BF54" s="49"/>
      <c r="BG54" s="50"/>
      <c r="BH54" s="49"/>
      <c r="BI54" s="50"/>
      <c r="BJ54" s="49"/>
      <c r="BK54" s="50"/>
      <c r="BL54" s="49"/>
      <c r="BM54" s="50"/>
      <c r="BN54" s="49"/>
    </row>
    <row r="55" spans="1:66" ht="15">
      <c r="A55" s="66" t="s">
        <v>273</v>
      </c>
      <c r="B55" s="66" t="s">
        <v>307</v>
      </c>
      <c r="C55" s="67" t="s">
        <v>1216</v>
      </c>
      <c r="D55" s="68">
        <v>3</v>
      </c>
      <c r="E55" s="67" t="s">
        <v>132</v>
      </c>
      <c r="F55" s="70">
        <v>32</v>
      </c>
      <c r="G55" s="67"/>
      <c r="H55" s="71"/>
      <c r="I55" s="72"/>
      <c r="J55" s="72"/>
      <c r="K55" s="35" t="s">
        <v>65</v>
      </c>
      <c r="L55" s="73">
        <v>55</v>
      </c>
      <c r="M55" s="73"/>
      <c r="N55" s="74"/>
      <c r="O55" s="81" t="s">
        <v>317</v>
      </c>
      <c r="P55" s="83">
        <v>44284.67699074074</v>
      </c>
      <c r="Q55" s="81" t="s">
        <v>327</v>
      </c>
      <c r="R55" s="84" t="str">
        <f>HYPERLINK("https://www.bmj.com/content/372/bmj.n742")</f>
        <v>https://www.bmj.com/content/372/bmj.n742</v>
      </c>
      <c r="S55" s="81" t="s">
        <v>337</v>
      </c>
      <c r="T55" s="81"/>
      <c r="U55" s="84" t="str">
        <f>HYPERLINK("https://pbs.twimg.com/media/ExqM_b7XIAspf5d.jpg")</f>
        <v>https://pbs.twimg.com/media/ExqM_b7XIAspf5d.jpg</v>
      </c>
      <c r="V55" s="84" t="str">
        <f>HYPERLINK("https://pbs.twimg.com/media/ExqM_b7XIAspf5d.jpg")</f>
        <v>https://pbs.twimg.com/media/ExqM_b7XIAspf5d.jpg</v>
      </c>
      <c r="W55" s="83">
        <v>44284.67699074074</v>
      </c>
      <c r="X55" s="88">
        <v>44284</v>
      </c>
      <c r="Y55" s="86" t="s">
        <v>364</v>
      </c>
      <c r="Z55" s="84" t="str">
        <f>HYPERLINK("https://twitter.com/abuela_viajera/status/1376568551897763840")</f>
        <v>https://twitter.com/abuela_viajera/status/1376568551897763840</v>
      </c>
      <c r="AA55" s="81"/>
      <c r="AB55" s="81"/>
      <c r="AC55" s="86" t="s">
        <v>422</v>
      </c>
      <c r="AD55" s="81"/>
      <c r="AE55" s="81" t="b">
        <v>0</v>
      </c>
      <c r="AF55" s="81">
        <v>0</v>
      </c>
      <c r="AG55" s="86" t="s">
        <v>462</v>
      </c>
      <c r="AH55" s="81" t="b">
        <v>0</v>
      </c>
      <c r="AI55" s="81" t="s">
        <v>469</v>
      </c>
      <c r="AJ55" s="81"/>
      <c r="AK55" s="86" t="s">
        <v>462</v>
      </c>
      <c r="AL55" s="81" t="b">
        <v>0</v>
      </c>
      <c r="AM55" s="81">
        <v>1</v>
      </c>
      <c r="AN55" s="86" t="s">
        <v>442</v>
      </c>
      <c r="AO55" s="86" t="s">
        <v>471</v>
      </c>
      <c r="AP55" s="81" t="b">
        <v>0</v>
      </c>
      <c r="AQ55" s="86" t="s">
        <v>442</v>
      </c>
      <c r="AR55" s="81"/>
      <c r="AS55" s="81">
        <v>0</v>
      </c>
      <c r="AT55" s="81">
        <v>0</v>
      </c>
      <c r="AU55" s="81"/>
      <c r="AV55" s="81"/>
      <c r="AW55" s="81"/>
      <c r="AX55" s="81"/>
      <c r="AY55" s="81"/>
      <c r="AZ55" s="81"/>
      <c r="BA55" s="81"/>
      <c r="BB55" s="81"/>
      <c r="BC55">
        <v>1</v>
      </c>
      <c r="BD55" s="80" t="str">
        <f>REPLACE(INDEX(GroupVertices[Group],MATCH(Edges[[#This Row],[Vertex 1]],GroupVertices[Vertex],0)),1,1,"")</f>
        <v>6</v>
      </c>
      <c r="BE55" s="80" t="str">
        <f>REPLACE(INDEX(GroupVertices[Group],MATCH(Edges[[#This Row],[Vertex 2]],GroupVertices[Vertex],0)),1,1,"")</f>
        <v>6</v>
      </c>
      <c r="BF55" s="49">
        <v>0</v>
      </c>
      <c r="BG55" s="50">
        <v>0</v>
      </c>
      <c r="BH55" s="49">
        <v>0</v>
      </c>
      <c r="BI55" s="50">
        <v>0</v>
      </c>
      <c r="BJ55" s="49">
        <v>0</v>
      </c>
      <c r="BK55" s="50">
        <v>0</v>
      </c>
      <c r="BL55" s="49">
        <v>30</v>
      </c>
      <c r="BM55" s="50">
        <v>100</v>
      </c>
      <c r="BN55" s="49">
        <v>30</v>
      </c>
    </row>
    <row r="56" spans="1:66" ht="15">
      <c r="A56" s="66" t="s">
        <v>274</v>
      </c>
      <c r="B56" s="66" t="s">
        <v>289</v>
      </c>
      <c r="C56" s="67" t="s">
        <v>1216</v>
      </c>
      <c r="D56" s="68">
        <v>3</v>
      </c>
      <c r="E56" s="67" t="s">
        <v>132</v>
      </c>
      <c r="F56" s="70">
        <v>32</v>
      </c>
      <c r="G56" s="67"/>
      <c r="H56" s="71"/>
      <c r="I56" s="72"/>
      <c r="J56" s="72"/>
      <c r="K56" s="35" t="s">
        <v>65</v>
      </c>
      <c r="L56" s="73">
        <v>56</v>
      </c>
      <c r="M56" s="73"/>
      <c r="N56" s="74"/>
      <c r="O56" s="81" t="s">
        <v>314</v>
      </c>
      <c r="P56" s="83">
        <v>44282.784050925926</v>
      </c>
      <c r="Q56" s="81" t="s">
        <v>320</v>
      </c>
      <c r="R56" s="84" t="str">
        <f>HYPERLINK("https://www.bmj.com/content/372/bmj.n742?utm_source=twitter&amp;utm_medium=social&amp;utm_term=hootsuite&amp;utm_content=sme&amp;utm_campaign=usage")</f>
        <v>https://www.bmj.com/content/372/bmj.n742?utm_source=twitter&amp;utm_medium=social&amp;utm_term=hootsuite&amp;utm_content=sme&amp;utm_campaign=usage</v>
      </c>
      <c r="S56" s="81" t="s">
        <v>337</v>
      </c>
      <c r="T56" s="81"/>
      <c r="U56" s="81"/>
      <c r="V56" s="84" t="str">
        <f>HYPERLINK("https://pbs.twimg.com/profile_images/1153839283259629570/OYHwVln6_normal.jpg")</f>
        <v>https://pbs.twimg.com/profile_images/1153839283259629570/OYHwVln6_normal.jpg</v>
      </c>
      <c r="W56" s="83">
        <v>44282.784050925926</v>
      </c>
      <c r="X56" s="88">
        <v>44282</v>
      </c>
      <c r="Y56" s="86" t="s">
        <v>365</v>
      </c>
      <c r="Z56" s="84" t="str">
        <f>HYPERLINK("https://twitter.com/aginnt/status/1375882570404089856")</f>
        <v>https://twitter.com/aginnt/status/1375882570404089856</v>
      </c>
      <c r="AA56" s="81"/>
      <c r="AB56" s="81"/>
      <c r="AC56" s="86" t="s">
        <v>423</v>
      </c>
      <c r="AD56" s="81"/>
      <c r="AE56" s="81" t="b">
        <v>0</v>
      </c>
      <c r="AF56" s="81">
        <v>0</v>
      </c>
      <c r="AG56" s="86" t="s">
        <v>462</v>
      </c>
      <c r="AH56" s="81" t="b">
        <v>0</v>
      </c>
      <c r="AI56" s="81" t="s">
        <v>467</v>
      </c>
      <c r="AJ56" s="81"/>
      <c r="AK56" s="86" t="s">
        <v>462</v>
      </c>
      <c r="AL56" s="81" t="b">
        <v>0</v>
      </c>
      <c r="AM56" s="81">
        <v>16</v>
      </c>
      <c r="AN56" s="86" t="s">
        <v>456</v>
      </c>
      <c r="AO56" s="86" t="s">
        <v>470</v>
      </c>
      <c r="AP56" s="81" t="b">
        <v>0</v>
      </c>
      <c r="AQ56" s="86" t="s">
        <v>456</v>
      </c>
      <c r="AR56" s="81"/>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6" t="s">
        <v>274</v>
      </c>
      <c r="B57" s="66" t="s">
        <v>300</v>
      </c>
      <c r="C57" s="67" t="s">
        <v>1216</v>
      </c>
      <c r="D57" s="68">
        <v>3</v>
      </c>
      <c r="E57" s="67" t="s">
        <v>132</v>
      </c>
      <c r="F57" s="70">
        <v>32</v>
      </c>
      <c r="G57" s="67"/>
      <c r="H57" s="71"/>
      <c r="I57" s="72"/>
      <c r="J57" s="72"/>
      <c r="K57" s="35" t="s">
        <v>65</v>
      </c>
      <c r="L57" s="73">
        <v>57</v>
      </c>
      <c r="M57" s="73"/>
      <c r="N57" s="74"/>
      <c r="O57" s="81" t="s">
        <v>315</v>
      </c>
      <c r="P57" s="83">
        <v>44282.784050925926</v>
      </c>
      <c r="Q57" s="81" t="s">
        <v>320</v>
      </c>
      <c r="R57" s="84" t="str">
        <f>HYPERLINK("https://www.bmj.com/content/372/bmj.n742?utm_source=twitter&amp;utm_medium=social&amp;utm_term=hootsuite&amp;utm_content=sme&amp;utm_campaign=usage")</f>
        <v>https://www.bmj.com/content/372/bmj.n742?utm_source=twitter&amp;utm_medium=social&amp;utm_term=hootsuite&amp;utm_content=sme&amp;utm_campaign=usage</v>
      </c>
      <c r="S57" s="81" t="s">
        <v>337</v>
      </c>
      <c r="T57" s="81"/>
      <c r="U57" s="81"/>
      <c r="V57" s="84" t="str">
        <f>HYPERLINK("https://pbs.twimg.com/profile_images/1153839283259629570/OYHwVln6_normal.jpg")</f>
        <v>https://pbs.twimg.com/profile_images/1153839283259629570/OYHwVln6_normal.jpg</v>
      </c>
      <c r="W57" s="83">
        <v>44282.784050925926</v>
      </c>
      <c r="X57" s="88">
        <v>44282</v>
      </c>
      <c r="Y57" s="86" t="s">
        <v>365</v>
      </c>
      <c r="Z57" s="84" t="str">
        <f>HYPERLINK("https://twitter.com/aginnt/status/1375882570404089856")</f>
        <v>https://twitter.com/aginnt/status/1375882570404089856</v>
      </c>
      <c r="AA57" s="81"/>
      <c r="AB57" s="81"/>
      <c r="AC57" s="86" t="s">
        <v>423</v>
      </c>
      <c r="AD57" s="81"/>
      <c r="AE57" s="81" t="b">
        <v>0</v>
      </c>
      <c r="AF57" s="81">
        <v>0</v>
      </c>
      <c r="AG57" s="86" t="s">
        <v>462</v>
      </c>
      <c r="AH57" s="81" t="b">
        <v>0</v>
      </c>
      <c r="AI57" s="81" t="s">
        <v>467</v>
      </c>
      <c r="AJ57" s="81"/>
      <c r="AK57" s="86" t="s">
        <v>462</v>
      </c>
      <c r="AL57" s="81" t="b">
        <v>0</v>
      </c>
      <c r="AM57" s="81">
        <v>16</v>
      </c>
      <c r="AN57" s="86" t="s">
        <v>456</v>
      </c>
      <c r="AO57" s="86" t="s">
        <v>470</v>
      </c>
      <c r="AP57" s="81" t="b">
        <v>0</v>
      </c>
      <c r="AQ57" s="86" t="s">
        <v>456</v>
      </c>
      <c r="AR57" s="81"/>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2</v>
      </c>
      <c r="BF57" s="49">
        <v>1</v>
      </c>
      <c r="BG57" s="50">
        <v>2.7777777777777777</v>
      </c>
      <c r="BH57" s="49">
        <v>1</v>
      </c>
      <c r="BI57" s="50">
        <v>2.7777777777777777</v>
      </c>
      <c r="BJ57" s="49">
        <v>0</v>
      </c>
      <c r="BK57" s="50">
        <v>0</v>
      </c>
      <c r="BL57" s="49">
        <v>34</v>
      </c>
      <c r="BM57" s="50">
        <v>94.44444444444444</v>
      </c>
      <c r="BN57" s="49">
        <v>36</v>
      </c>
    </row>
    <row r="58" spans="1:66" ht="15">
      <c r="A58" s="66" t="s">
        <v>275</v>
      </c>
      <c r="B58" s="66" t="s">
        <v>289</v>
      </c>
      <c r="C58" s="67" t="s">
        <v>1216</v>
      </c>
      <c r="D58" s="68">
        <v>3</v>
      </c>
      <c r="E58" s="67" t="s">
        <v>132</v>
      </c>
      <c r="F58" s="70">
        <v>32</v>
      </c>
      <c r="G58" s="67"/>
      <c r="H58" s="71"/>
      <c r="I58" s="72"/>
      <c r="J58" s="72"/>
      <c r="K58" s="35" t="s">
        <v>65</v>
      </c>
      <c r="L58" s="73">
        <v>58</v>
      </c>
      <c r="M58" s="73"/>
      <c r="N58" s="74"/>
      <c r="O58" s="81" t="s">
        <v>314</v>
      </c>
      <c r="P58" s="83">
        <v>44288.70673611111</v>
      </c>
      <c r="Q58" s="81" t="s">
        <v>319</v>
      </c>
      <c r="R58" s="84" t="str">
        <f>HYPERLINK("https://www.bmj.com/content/372/bmj.n742")</f>
        <v>https://www.bmj.com/content/372/bmj.n742</v>
      </c>
      <c r="S58" s="81" t="s">
        <v>337</v>
      </c>
      <c r="T58" s="86" t="s">
        <v>339</v>
      </c>
      <c r="U58" s="81"/>
      <c r="V58" s="84" t="str">
        <f>HYPERLINK("https://pbs.twimg.com/profile_images/1365490369178181633/OCoArOyq_normal.jpg")</f>
        <v>https://pbs.twimg.com/profile_images/1365490369178181633/OCoArOyq_normal.jpg</v>
      </c>
      <c r="W58" s="83">
        <v>44288.70673611111</v>
      </c>
      <c r="X58" s="88">
        <v>44288</v>
      </c>
      <c r="Y58" s="86" t="s">
        <v>366</v>
      </c>
      <c r="Z58" s="84" t="str">
        <f>HYPERLINK("https://twitter.com/nikkireimer/status/1378028882612260871")</f>
        <v>https://twitter.com/nikkireimer/status/1378028882612260871</v>
      </c>
      <c r="AA58" s="81"/>
      <c r="AB58" s="81"/>
      <c r="AC58" s="86" t="s">
        <v>424</v>
      </c>
      <c r="AD58" s="81"/>
      <c r="AE58" s="81" t="b">
        <v>0</v>
      </c>
      <c r="AF58" s="81">
        <v>0</v>
      </c>
      <c r="AG58" s="86" t="s">
        <v>462</v>
      </c>
      <c r="AH58" s="81" t="b">
        <v>0</v>
      </c>
      <c r="AI58" s="81" t="s">
        <v>467</v>
      </c>
      <c r="AJ58" s="81"/>
      <c r="AK58" s="86" t="s">
        <v>462</v>
      </c>
      <c r="AL58" s="81" t="b">
        <v>0</v>
      </c>
      <c r="AM58" s="81">
        <v>7</v>
      </c>
      <c r="AN58" s="86" t="s">
        <v>438</v>
      </c>
      <c r="AO58" s="86" t="s">
        <v>470</v>
      </c>
      <c r="AP58" s="81" t="b">
        <v>0</v>
      </c>
      <c r="AQ58" s="86" t="s">
        <v>438</v>
      </c>
      <c r="AR58" s="81"/>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6" t="s">
        <v>275</v>
      </c>
      <c r="B59" s="66" t="s">
        <v>288</v>
      </c>
      <c r="C59" s="67" t="s">
        <v>1216</v>
      </c>
      <c r="D59" s="68">
        <v>3</v>
      </c>
      <c r="E59" s="67" t="s">
        <v>132</v>
      </c>
      <c r="F59" s="70">
        <v>32</v>
      </c>
      <c r="G59" s="67"/>
      <c r="H59" s="71"/>
      <c r="I59" s="72"/>
      <c r="J59" s="72"/>
      <c r="K59" s="35" t="s">
        <v>65</v>
      </c>
      <c r="L59" s="73">
        <v>59</v>
      </c>
      <c r="M59" s="73"/>
      <c r="N59" s="74"/>
      <c r="O59" s="81" t="s">
        <v>315</v>
      </c>
      <c r="P59" s="83">
        <v>44288.70673611111</v>
      </c>
      <c r="Q59" s="81" t="s">
        <v>319</v>
      </c>
      <c r="R59" s="84" t="str">
        <f>HYPERLINK("https://www.bmj.com/content/372/bmj.n742")</f>
        <v>https://www.bmj.com/content/372/bmj.n742</v>
      </c>
      <c r="S59" s="81" t="s">
        <v>337</v>
      </c>
      <c r="T59" s="86" t="s">
        <v>339</v>
      </c>
      <c r="U59" s="81"/>
      <c r="V59" s="84" t="str">
        <f>HYPERLINK("https://pbs.twimg.com/profile_images/1365490369178181633/OCoArOyq_normal.jpg")</f>
        <v>https://pbs.twimg.com/profile_images/1365490369178181633/OCoArOyq_normal.jpg</v>
      </c>
      <c r="W59" s="83">
        <v>44288.70673611111</v>
      </c>
      <c r="X59" s="88">
        <v>44288</v>
      </c>
      <c r="Y59" s="86" t="s">
        <v>366</v>
      </c>
      <c r="Z59" s="84" t="str">
        <f>HYPERLINK("https://twitter.com/nikkireimer/status/1378028882612260871")</f>
        <v>https://twitter.com/nikkireimer/status/1378028882612260871</v>
      </c>
      <c r="AA59" s="81"/>
      <c r="AB59" s="81"/>
      <c r="AC59" s="86" t="s">
        <v>424</v>
      </c>
      <c r="AD59" s="81"/>
      <c r="AE59" s="81" t="b">
        <v>0</v>
      </c>
      <c r="AF59" s="81">
        <v>0</v>
      </c>
      <c r="AG59" s="86" t="s">
        <v>462</v>
      </c>
      <c r="AH59" s="81" t="b">
        <v>0</v>
      </c>
      <c r="AI59" s="81" t="s">
        <v>467</v>
      </c>
      <c r="AJ59" s="81"/>
      <c r="AK59" s="86" t="s">
        <v>462</v>
      </c>
      <c r="AL59" s="81" t="b">
        <v>0</v>
      </c>
      <c r="AM59" s="81">
        <v>7</v>
      </c>
      <c r="AN59" s="86" t="s">
        <v>438</v>
      </c>
      <c r="AO59" s="86" t="s">
        <v>470</v>
      </c>
      <c r="AP59" s="81" t="b">
        <v>0</v>
      </c>
      <c r="AQ59" s="86" t="s">
        <v>438</v>
      </c>
      <c r="AR59" s="81"/>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1</v>
      </c>
      <c r="BG59" s="50">
        <v>2.9411764705882355</v>
      </c>
      <c r="BH59" s="49">
        <v>1</v>
      </c>
      <c r="BI59" s="50">
        <v>2.9411764705882355</v>
      </c>
      <c r="BJ59" s="49">
        <v>0</v>
      </c>
      <c r="BK59" s="50">
        <v>0</v>
      </c>
      <c r="BL59" s="49">
        <v>32</v>
      </c>
      <c r="BM59" s="50">
        <v>94.11764705882354</v>
      </c>
      <c r="BN59" s="49">
        <v>34</v>
      </c>
    </row>
    <row r="60" spans="1:66" ht="15">
      <c r="A60" s="66" t="s">
        <v>276</v>
      </c>
      <c r="B60" s="66" t="s">
        <v>289</v>
      </c>
      <c r="C60" s="67" t="s">
        <v>1216</v>
      </c>
      <c r="D60" s="68">
        <v>3</v>
      </c>
      <c r="E60" s="67" t="s">
        <v>132</v>
      </c>
      <c r="F60" s="70">
        <v>32</v>
      </c>
      <c r="G60" s="67"/>
      <c r="H60" s="71"/>
      <c r="I60" s="72"/>
      <c r="J60" s="72"/>
      <c r="K60" s="35" t="s">
        <v>65</v>
      </c>
      <c r="L60" s="73">
        <v>60</v>
      </c>
      <c r="M60" s="73"/>
      <c r="N60" s="74"/>
      <c r="O60" s="81" t="s">
        <v>314</v>
      </c>
      <c r="P60" s="83">
        <v>44282.735763888886</v>
      </c>
      <c r="Q60" s="81" t="s">
        <v>320</v>
      </c>
      <c r="R60" s="84" t="str">
        <f>HYPERLINK("https://www.bmj.com/content/372/bmj.n742?utm_source=twitter&amp;utm_medium=social&amp;utm_term=hootsuite&amp;utm_content=sme&amp;utm_campaign=usage")</f>
        <v>https://www.bmj.com/content/372/bmj.n742?utm_source=twitter&amp;utm_medium=social&amp;utm_term=hootsuite&amp;utm_content=sme&amp;utm_campaign=usage</v>
      </c>
      <c r="S60" s="81" t="s">
        <v>337</v>
      </c>
      <c r="T60" s="81"/>
      <c r="U60" s="81"/>
      <c r="V60" s="84" t="str">
        <f>HYPERLINK("https://pbs.twimg.com/profile_images/422826918929375232/iLLqGdr7_normal.jpeg")</f>
        <v>https://pbs.twimg.com/profile_images/422826918929375232/iLLqGdr7_normal.jpeg</v>
      </c>
      <c r="W60" s="83">
        <v>44282.735763888886</v>
      </c>
      <c r="X60" s="88">
        <v>44282</v>
      </c>
      <c r="Y60" s="86" t="s">
        <v>367</v>
      </c>
      <c r="Z60" s="84" t="str">
        <f>HYPERLINK("https://twitter.com/gabrielazavalaw/status/1375865072749314048")</f>
        <v>https://twitter.com/gabrielazavalaw/status/1375865072749314048</v>
      </c>
      <c r="AA60" s="81"/>
      <c r="AB60" s="81"/>
      <c r="AC60" s="86" t="s">
        <v>425</v>
      </c>
      <c r="AD60" s="81"/>
      <c r="AE60" s="81" t="b">
        <v>0</v>
      </c>
      <c r="AF60" s="81">
        <v>0</v>
      </c>
      <c r="AG60" s="86" t="s">
        <v>462</v>
      </c>
      <c r="AH60" s="81" t="b">
        <v>0</v>
      </c>
      <c r="AI60" s="81" t="s">
        <v>467</v>
      </c>
      <c r="AJ60" s="81"/>
      <c r="AK60" s="86" t="s">
        <v>462</v>
      </c>
      <c r="AL60" s="81" t="b">
        <v>0</v>
      </c>
      <c r="AM60" s="81">
        <v>16</v>
      </c>
      <c r="AN60" s="86" t="s">
        <v>456</v>
      </c>
      <c r="AO60" s="86" t="s">
        <v>471</v>
      </c>
      <c r="AP60" s="81" t="b">
        <v>0</v>
      </c>
      <c r="AQ60" s="86" t="s">
        <v>456</v>
      </c>
      <c r="AR60" s="81"/>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1</v>
      </c>
      <c r="BF60" s="49"/>
      <c r="BG60" s="50"/>
      <c r="BH60" s="49"/>
      <c r="BI60" s="50"/>
      <c r="BJ60" s="49"/>
      <c r="BK60" s="50"/>
      <c r="BL60" s="49"/>
      <c r="BM60" s="50"/>
      <c r="BN60" s="49"/>
    </row>
    <row r="61" spans="1:66" ht="15">
      <c r="A61" s="66" t="s">
        <v>276</v>
      </c>
      <c r="B61" s="66" t="s">
        <v>300</v>
      </c>
      <c r="C61" s="67" t="s">
        <v>1216</v>
      </c>
      <c r="D61" s="68">
        <v>3</v>
      </c>
      <c r="E61" s="67" t="s">
        <v>132</v>
      </c>
      <c r="F61" s="70">
        <v>32</v>
      </c>
      <c r="G61" s="67"/>
      <c r="H61" s="71"/>
      <c r="I61" s="72"/>
      <c r="J61" s="72"/>
      <c r="K61" s="35" t="s">
        <v>65</v>
      </c>
      <c r="L61" s="73">
        <v>61</v>
      </c>
      <c r="M61" s="73"/>
      <c r="N61" s="74"/>
      <c r="O61" s="81" t="s">
        <v>315</v>
      </c>
      <c r="P61" s="83">
        <v>44282.735763888886</v>
      </c>
      <c r="Q61" s="81" t="s">
        <v>320</v>
      </c>
      <c r="R61" s="84" t="str">
        <f>HYPERLINK("https://www.bmj.com/content/372/bmj.n742?utm_source=twitter&amp;utm_medium=social&amp;utm_term=hootsuite&amp;utm_content=sme&amp;utm_campaign=usage")</f>
        <v>https://www.bmj.com/content/372/bmj.n742?utm_source=twitter&amp;utm_medium=social&amp;utm_term=hootsuite&amp;utm_content=sme&amp;utm_campaign=usage</v>
      </c>
      <c r="S61" s="81" t="s">
        <v>337</v>
      </c>
      <c r="T61" s="81"/>
      <c r="U61" s="81"/>
      <c r="V61" s="84" t="str">
        <f>HYPERLINK("https://pbs.twimg.com/profile_images/422826918929375232/iLLqGdr7_normal.jpeg")</f>
        <v>https://pbs.twimg.com/profile_images/422826918929375232/iLLqGdr7_normal.jpeg</v>
      </c>
      <c r="W61" s="83">
        <v>44282.735763888886</v>
      </c>
      <c r="X61" s="88">
        <v>44282</v>
      </c>
      <c r="Y61" s="86" t="s">
        <v>367</v>
      </c>
      <c r="Z61" s="84" t="str">
        <f>HYPERLINK("https://twitter.com/gabrielazavalaw/status/1375865072749314048")</f>
        <v>https://twitter.com/gabrielazavalaw/status/1375865072749314048</v>
      </c>
      <c r="AA61" s="81"/>
      <c r="AB61" s="81"/>
      <c r="AC61" s="86" t="s">
        <v>425</v>
      </c>
      <c r="AD61" s="81"/>
      <c r="AE61" s="81" t="b">
        <v>0</v>
      </c>
      <c r="AF61" s="81">
        <v>0</v>
      </c>
      <c r="AG61" s="86" t="s">
        <v>462</v>
      </c>
      <c r="AH61" s="81" t="b">
        <v>0</v>
      </c>
      <c r="AI61" s="81" t="s">
        <v>467</v>
      </c>
      <c r="AJ61" s="81"/>
      <c r="AK61" s="86" t="s">
        <v>462</v>
      </c>
      <c r="AL61" s="81" t="b">
        <v>0</v>
      </c>
      <c r="AM61" s="81">
        <v>16</v>
      </c>
      <c r="AN61" s="86" t="s">
        <v>456</v>
      </c>
      <c r="AO61" s="86" t="s">
        <v>471</v>
      </c>
      <c r="AP61" s="81" t="b">
        <v>0</v>
      </c>
      <c r="AQ61" s="86" t="s">
        <v>456</v>
      </c>
      <c r="AR61" s="81"/>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v>1</v>
      </c>
      <c r="BG61" s="50">
        <v>2.7777777777777777</v>
      </c>
      <c r="BH61" s="49">
        <v>1</v>
      </c>
      <c r="BI61" s="50">
        <v>2.7777777777777777</v>
      </c>
      <c r="BJ61" s="49">
        <v>0</v>
      </c>
      <c r="BK61" s="50">
        <v>0</v>
      </c>
      <c r="BL61" s="49">
        <v>34</v>
      </c>
      <c r="BM61" s="50">
        <v>94.44444444444444</v>
      </c>
      <c r="BN61" s="49">
        <v>36</v>
      </c>
    </row>
    <row r="62" spans="1:66" ht="15">
      <c r="A62" s="66" t="s">
        <v>277</v>
      </c>
      <c r="B62" s="66" t="s">
        <v>289</v>
      </c>
      <c r="C62" s="67" t="s">
        <v>1216</v>
      </c>
      <c r="D62" s="68">
        <v>3</v>
      </c>
      <c r="E62" s="67" t="s">
        <v>132</v>
      </c>
      <c r="F62" s="70">
        <v>32</v>
      </c>
      <c r="G62" s="67"/>
      <c r="H62" s="71"/>
      <c r="I62" s="72"/>
      <c r="J62" s="72"/>
      <c r="K62" s="35" t="s">
        <v>65</v>
      </c>
      <c r="L62" s="73">
        <v>62</v>
      </c>
      <c r="M62" s="73"/>
      <c r="N62" s="74"/>
      <c r="O62" s="81" t="s">
        <v>314</v>
      </c>
      <c r="P62" s="83">
        <v>44283.4125</v>
      </c>
      <c r="Q62" s="81" t="s">
        <v>320</v>
      </c>
      <c r="R62" s="84" t="str">
        <f>HYPERLINK("https://www.bmj.com/content/372/bmj.n742?utm_source=twitter&amp;utm_medium=social&amp;utm_term=hootsuite&amp;utm_content=sme&amp;utm_campaign=usage")</f>
        <v>https://www.bmj.com/content/372/bmj.n742?utm_source=twitter&amp;utm_medium=social&amp;utm_term=hootsuite&amp;utm_content=sme&amp;utm_campaign=usage</v>
      </c>
      <c r="S62" s="81" t="s">
        <v>337</v>
      </c>
      <c r="T62" s="81"/>
      <c r="U62" s="81"/>
      <c r="V62" s="84" t="str">
        <f>HYPERLINK("https://pbs.twimg.com/profile_images/775404481269882880/n1ulkwIO_normal.jpg")</f>
        <v>https://pbs.twimg.com/profile_images/775404481269882880/n1ulkwIO_normal.jpg</v>
      </c>
      <c r="W62" s="83">
        <v>44283.4125</v>
      </c>
      <c r="X62" s="88">
        <v>44283</v>
      </c>
      <c r="Y62" s="86" t="s">
        <v>368</v>
      </c>
      <c r="Z62" s="84" t="str">
        <f>HYPERLINK("https://twitter.com/macaninch/status/1376110315977506818")</f>
        <v>https://twitter.com/macaninch/status/1376110315977506818</v>
      </c>
      <c r="AA62" s="81"/>
      <c r="AB62" s="81"/>
      <c r="AC62" s="86" t="s">
        <v>426</v>
      </c>
      <c r="AD62" s="81"/>
      <c r="AE62" s="81" t="b">
        <v>0</v>
      </c>
      <c r="AF62" s="81">
        <v>0</v>
      </c>
      <c r="AG62" s="86" t="s">
        <v>462</v>
      </c>
      <c r="AH62" s="81" t="b">
        <v>0</v>
      </c>
      <c r="AI62" s="81" t="s">
        <v>467</v>
      </c>
      <c r="AJ62" s="81"/>
      <c r="AK62" s="86" t="s">
        <v>462</v>
      </c>
      <c r="AL62" s="81" t="b">
        <v>0</v>
      </c>
      <c r="AM62" s="81">
        <v>16</v>
      </c>
      <c r="AN62" s="86" t="s">
        <v>456</v>
      </c>
      <c r="AO62" s="86" t="s">
        <v>472</v>
      </c>
      <c r="AP62" s="81" t="b">
        <v>0</v>
      </c>
      <c r="AQ62" s="86" t="s">
        <v>456</v>
      </c>
      <c r="AR62" s="81"/>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6" t="s">
        <v>277</v>
      </c>
      <c r="B63" s="66" t="s">
        <v>300</v>
      </c>
      <c r="C63" s="67" t="s">
        <v>1216</v>
      </c>
      <c r="D63" s="68">
        <v>3</v>
      </c>
      <c r="E63" s="67" t="s">
        <v>132</v>
      </c>
      <c r="F63" s="70">
        <v>32</v>
      </c>
      <c r="G63" s="67"/>
      <c r="H63" s="71"/>
      <c r="I63" s="72"/>
      <c r="J63" s="72"/>
      <c r="K63" s="35" t="s">
        <v>65</v>
      </c>
      <c r="L63" s="73">
        <v>63</v>
      </c>
      <c r="M63" s="73"/>
      <c r="N63" s="74"/>
      <c r="O63" s="81" t="s">
        <v>315</v>
      </c>
      <c r="P63" s="83">
        <v>44283.4125</v>
      </c>
      <c r="Q63" s="81" t="s">
        <v>320</v>
      </c>
      <c r="R63" s="84" t="str">
        <f>HYPERLINK("https://www.bmj.com/content/372/bmj.n742?utm_source=twitter&amp;utm_medium=social&amp;utm_term=hootsuite&amp;utm_content=sme&amp;utm_campaign=usage")</f>
        <v>https://www.bmj.com/content/372/bmj.n742?utm_source=twitter&amp;utm_medium=social&amp;utm_term=hootsuite&amp;utm_content=sme&amp;utm_campaign=usage</v>
      </c>
      <c r="S63" s="81" t="s">
        <v>337</v>
      </c>
      <c r="T63" s="81"/>
      <c r="U63" s="81"/>
      <c r="V63" s="84" t="str">
        <f>HYPERLINK("https://pbs.twimg.com/profile_images/775404481269882880/n1ulkwIO_normal.jpg")</f>
        <v>https://pbs.twimg.com/profile_images/775404481269882880/n1ulkwIO_normal.jpg</v>
      </c>
      <c r="W63" s="83">
        <v>44283.4125</v>
      </c>
      <c r="X63" s="88">
        <v>44283</v>
      </c>
      <c r="Y63" s="86" t="s">
        <v>368</v>
      </c>
      <c r="Z63" s="84" t="str">
        <f>HYPERLINK("https://twitter.com/macaninch/status/1376110315977506818")</f>
        <v>https://twitter.com/macaninch/status/1376110315977506818</v>
      </c>
      <c r="AA63" s="81"/>
      <c r="AB63" s="81"/>
      <c r="AC63" s="86" t="s">
        <v>426</v>
      </c>
      <c r="AD63" s="81"/>
      <c r="AE63" s="81" t="b">
        <v>0</v>
      </c>
      <c r="AF63" s="81">
        <v>0</v>
      </c>
      <c r="AG63" s="86" t="s">
        <v>462</v>
      </c>
      <c r="AH63" s="81" t="b">
        <v>0</v>
      </c>
      <c r="AI63" s="81" t="s">
        <v>467</v>
      </c>
      <c r="AJ63" s="81"/>
      <c r="AK63" s="86" t="s">
        <v>462</v>
      </c>
      <c r="AL63" s="81" t="b">
        <v>0</v>
      </c>
      <c r="AM63" s="81">
        <v>16</v>
      </c>
      <c r="AN63" s="86" t="s">
        <v>456</v>
      </c>
      <c r="AO63" s="86" t="s">
        <v>472</v>
      </c>
      <c r="AP63" s="81" t="b">
        <v>0</v>
      </c>
      <c r="AQ63" s="86" t="s">
        <v>456</v>
      </c>
      <c r="AR63" s="81"/>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2</v>
      </c>
      <c r="BF63" s="49">
        <v>1</v>
      </c>
      <c r="BG63" s="50">
        <v>2.7777777777777777</v>
      </c>
      <c r="BH63" s="49">
        <v>1</v>
      </c>
      <c r="BI63" s="50">
        <v>2.7777777777777777</v>
      </c>
      <c r="BJ63" s="49">
        <v>0</v>
      </c>
      <c r="BK63" s="50">
        <v>0</v>
      </c>
      <c r="BL63" s="49">
        <v>34</v>
      </c>
      <c r="BM63" s="50">
        <v>94.44444444444444</v>
      </c>
      <c r="BN63" s="49">
        <v>36</v>
      </c>
    </row>
    <row r="64" spans="1:66" ht="15">
      <c r="A64" s="66" t="s">
        <v>278</v>
      </c>
      <c r="B64" s="66" t="s">
        <v>289</v>
      </c>
      <c r="C64" s="67" t="s">
        <v>1216</v>
      </c>
      <c r="D64" s="68">
        <v>3</v>
      </c>
      <c r="E64" s="67" t="s">
        <v>132</v>
      </c>
      <c r="F64" s="70">
        <v>32</v>
      </c>
      <c r="G64" s="67"/>
      <c r="H64" s="71"/>
      <c r="I64" s="72"/>
      <c r="J64" s="72"/>
      <c r="K64" s="35" t="s">
        <v>65</v>
      </c>
      <c r="L64" s="73">
        <v>64</v>
      </c>
      <c r="M64" s="73"/>
      <c r="N64" s="74"/>
      <c r="O64" s="81" t="s">
        <v>314</v>
      </c>
      <c r="P64" s="83">
        <v>44289.54142361111</v>
      </c>
      <c r="Q64" s="81" t="s">
        <v>319</v>
      </c>
      <c r="R64" s="84" t="str">
        <f>HYPERLINK("https://www.bmj.com/content/372/bmj.n742")</f>
        <v>https://www.bmj.com/content/372/bmj.n742</v>
      </c>
      <c r="S64" s="81" t="s">
        <v>337</v>
      </c>
      <c r="T64" s="86" t="s">
        <v>339</v>
      </c>
      <c r="U64" s="81"/>
      <c r="V64" s="84" t="str">
        <f>HYPERLINK("https://pbs.twimg.com/profile_images/455077891542241280/yiicXvaE_normal.jpeg")</f>
        <v>https://pbs.twimg.com/profile_images/455077891542241280/yiicXvaE_normal.jpeg</v>
      </c>
      <c r="W64" s="83">
        <v>44289.54142361111</v>
      </c>
      <c r="X64" s="88">
        <v>44289</v>
      </c>
      <c r="Y64" s="86" t="s">
        <v>369</v>
      </c>
      <c r="Z64" s="84" t="str">
        <f>HYPERLINK("https://twitter.com/gbosslet/status/1378331363917578241")</f>
        <v>https://twitter.com/gbosslet/status/1378331363917578241</v>
      </c>
      <c r="AA64" s="81"/>
      <c r="AB64" s="81"/>
      <c r="AC64" s="86" t="s">
        <v>427</v>
      </c>
      <c r="AD64" s="81"/>
      <c r="AE64" s="81" t="b">
        <v>0</v>
      </c>
      <c r="AF64" s="81">
        <v>0</v>
      </c>
      <c r="AG64" s="86" t="s">
        <v>462</v>
      </c>
      <c r="AH64" s="81" t="b">
        <v>0</v>
      </c>
      <c r="AI64" s="81" t="s">
        <v>467</v>
      </c>
      <c r="AJ64" s="81"/>
      <c r="AK64" s="86" t="s">
        <v>462</v>
      </c>
      <c r="AL64" s="81" t="b">
        <v>0</v>
      </c>
      <c r="AM64" s="81">
        <v>7</v>
      </c>
      <c r="AN64" s="86" t="s">
        <v>438</v>
      </c>
      <c r="AO64" s="86" t="s">
        <v>470</v>
      </c>
      <c r="AP64" s="81" t="b">
        <v>0</v>
      </c>
      <c r="AQ64" s="86" t="s">
        <v>438</v>
      </c>
      <c r="AR64" s="81"/>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6" t="s">
        <v>278</v>
      </c>
      <c r="B65" s="66" t="s">
        <v>288</v>
      </c>
      <c r="C65" s="67" t="s">
        <v>1216</v>
      </c>
      <c r="D65" s="68">
        <v>3</v>
      </c>
      <c r="E65" s="67" t="s">
        <v>132</v>
      </c>
      <c r="F65" s="70">
        <v>32</v>
      </c>
      <c r="G65" s="67"/>
      <c r="H65" s="71"/>
      <c r="I65" s="72"/>
      <c r="J65" s="72"/>
      <c r="K65" s="35" t="s">
        <v>65</v>
      </c>
      <c r="L65" s="73">
        <v>65</v>
      </c>
      <c r="M65" s="73"/>
      <c r="N65" s="74"/>
      <c r="O65" s="81" t="s">
        <v>315</v>
      </c>
      <c r="P65" s="83">
        <v>44289.54142361111</v>
      </c>
      <c r="Q65" s="81" t="s">
        <v>319</v>
      </c>
      <c r="R65" s="84" t="str">
        <f>HYPERLINK("https://www.bmj.com/content/372/bmj.n742")</f>
        <v>https://www.bmj.com/content/372/bmj.n742</v>
      </c>
      <c r="S65" s="81" t="s">
        <v>337</v>
      </c>
      <c r="T65" s="86" t="s">
        <v>339</v>
      </c>
      <c r="U65" s="81"/>
      <c r="V65" s="84" t="str">
        <f>HYPERLINK("https://pbs.twimg.com/profile_images/455077891542241280/yiicXvaE_normal.jpeg")</f>
        <v>https://pbs.twimg.com/profile_images/455077891542241280/yiicXvaE_normal.jpeg</v>
      </c>
      <c r="W65" s="83">
        <v>44289.54142361111</v>
      </c>
      <c r="X65" s="88">
        <v>44289</v>
      </c>
      <c r="Y65" s="86" t="s">
        <v>369</v>
      </c>
      <c r="Z65" s="84" t="str">
        <f>HYPERLINK("https://twitter.com/gbosslet/status/1378331363917578241")</f>
        <v>https://twitter.com/gbosslet/status/1378331363917578241</v>
      </c>
      <c r="AA65" s="81"/>
      <c r="AB65" s="81"/>
      <c r="AC65" s="86" t="s">
        <v>427</v>
      </c>
      <c r="AD65" s="81"/>
      <c r="AE65" s="81" t="b">
        <v>0</v>
      </c>
      <c r="AF65" s="81">
        <v>0</v>
      </c>
      <c r="AG65" s="86" t="s">
        <v>462</v>
      </c>
      <c r="AH65" s="81" t="b">
        <v>0</v>
      </c>
      <c r="AI65" s="81" t="s">
        <v>467</v>
      </c>
      <c r="AJ65" s="81"/>
      <c r="AK65" s="86" t="s">
        <v>462</v>
      </c>
      <c r="AL65" s="81" t="b">
        <v>0</v>
      </c>
      <c r="AM65" s="81">
        <v>7</v>
      </c>
      <c r="AN65" s="86" t="s">
        <v>438</v>
      </c>
      <c r="AO65" s="86" t="s">
        <v>470</v>
      </c>
      <c r="AP65" s="81" t="b">
        <v>0</v>
      </c>
      <c r="AQ65" s="86" t="s">
        <v>438</v>
      </c>
      <c r="AR65" s="81"/>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1</v>
      </c>
      <c r="BG65" s="50">
        <v>2.9411764705882355</v>
      </c>
      <c r="BH65" s="49">
        <v>1</v>
      </c>
      <c r="BI65" s="50">
        <v>2.9411764705882355</v>
      </c>
      <c r="BJ65" s="49">
        <v>0</v>
      </c>
      <c r="BK65" s="50">
        <v>0</v>
      </c>
      <c r="BL65" s="49">
        <v>32</v>
      </c>
      <c r="BM65" s="50">
        <v>94.11764705882354</v>
      </c>
      <c r="BN65" s="49">
        <v>34</v>
      </c>
    </row>
    <row r="66" spans="1:66" ht="15">
      <c r="A66" s="66" t="s">
        <v>279</v>
      </c>
      <c r="B66" s="66" t="s">
        <v>289</v>
      </c>
      <c r="C66" s="67" t="s">
        <v>1216</v>
      </c>
      <c r="D66" s="68">
        <v>3</v>
      </c>
      <c r="E66" s="67" t="s">
        <v>132</v>
      </c>
      <c r="F66" s="70">
        <v>32</v>
      </c>
      <c r="G66" s="67"/>
      <c r="H66" s="71"/>
      <c r="I66" s="72"/>
      <c r="J66" s="72"/>
      <c r="K66" s="35" t="s">
        <v>65</v>
      </c>
      <c r="L66" s="73">
        <v>66</v>
      </c>
      <c r="M66" s="73"/>
      <c r="N66" s="74"/>
      <c r="O66" s="81" t="s">
        <v>314</v>
      </c>
      <c r="P66" s="83">
        <v>44282.7737037037</v>
      </c>
      <c r="Q66" s="81" t="s">
        <v>320</v>
      </c>
      <c r="R66" s="84" t="str">
        <f>HYPERLINK("https://www.bmj.com/content/372/bmj.n742?utm_source=twitter&amp;utm_medium=social&amp;utm_term=hootsuite&amp;utm_content=sme&amp;utm_campaign=usage")</f>
        <v>https://www.bmj.com/content/372/bmj.n742?utm_source=twitter&amp;utm_medium=social&amp;utm_term=hootsuite&amp;utm_content=sme&amp;utm_campaign=usage</v>
      </c>
      <c r="S66" s="81" t="s">
        <v>337</v>
      </c>
      <c r="T66" s="81"/>
      <c r="U66" s="81"/>
      <c r="V66" s="84" t="str">
        <f>HYPERLINK("https://pbs.twimg.com/profile_images/1311599103797866496/qirGFxux_normal.jpg")</f>
        <v>https://pbs.twimg.com/profile_images/1311599103797866496/qirGFxux_normal.jpg</v>
      </c>
      <c r="W66" s="83">
        <v>44282.7737037037</v>
      </c>
      <c r="X66" s="88">
        <v>44282</v>
      </c>
      <c r="Y66" s="86" t="s">
        <v>370</v>
      </c>
      <c r="Z66" s="84" t="str">
        <f>HYPERLINK("https://twitter.com/domcro/status/1375878824072781825")</f>
        <v>https://twitter.com/domcro/status/1375878824072781825</v>
      </c>
      <c r="AA66" s="81"/>
      <c r="AB66" s="81"/>
      <c r="AC66" s="86" t="s">
        <v>428</v>
      </c>
      <c r="AD66" s="81"/>
      <c r="AE66" s="81" t="b">
        <v>0</v>
      </c>
      <c r="AF66" s="81">
        <v>0</v>
      </c>
      <c r="AG66" s="86" t="s">
        <v>462</v>
      </c>
      <c r="AH66" s="81" t="b">
        <v>0</v>
      </c>
      <c r="AI66" s="81" t="s">
        <v>467</v>
      </c>
      <c r="AJ66" s="81"/>
      <c r="AK66" s="86" t="s">
        <v>462</v>
      </c>
      <c r="AL66" s="81" t="b">
        <v>0</v>
      </c>
      <c r="AM66" s="81">
        <v>16</v>
      </c>
      <c r="AN66" s="86" t="s">
        <v>456</v>
      </c>
      <c r="AO66" s="86" t="s">
        <v>470</v>
      </c>
      <c r="AP66" s="81" t="b">
        <v>0</v>
      </c>
      <c r="AQ66" s="86" t="s">
        <v>456</v>
      </c>
      <c r="AR66" s="81"/>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c r="BG66" s="50"/>
      <c r="BH66" s="49"/>
      <c r="BI66" s="50"/>
      <c r="BJ66" s="49"/>
      <c r="BK66" s="50"/>
      <c r="BL66" s="49"/>
      <c r="BM66" s="50"/>
      <c r="BN66" s="49"/>
    </row>
    <row r="67" spans="1:66" ht="15">
      <c r="A67" s="66" t="s">
        <v>279</v>
      </c>
      <c r="B67" s="66" t="s">
        <v>300</v>
      </c>
      <c r="C67" s="67" t="s">
        <v>1216</v>
      </c>
      <c r="D67" s="68">
        <v>3</v>
      </c>
      <c r="E67" s="67" t="s">
        <v>132</v>
      </c>
      <c r="F67" s="70">
        <v>32</v>
      </c>
      <c r="G67" s="67"/>
      <c r="H67" s="71"/>
      <c r="I67" s="72"/>
      <c r="J67" s="72"/>
      <c r="K67" s="35" t="s">
        <v>65</v>
      </c>
      <c r="L67" s="73">
        <v>67</v>
      </c>
      <c r="M67" s="73"/>
      <c r="N67" s="74"/>
      <c r="O67" s="81" t="s">
        <v>315</v>
      </c>
      <c r="P67" s="83">
        <v>44282.7737037037</v>
      </c>
      <c r="Q67" s="81" t="s">
        <v>320</v>
      </c>
      <c r="R67" s="84" t="str">
        <f>HYPERLINK("https://www.bmj.com/content/372/bmj.n742?utm_source=twitter&amp;utm_medium=social&amp;utm_term=hootsuite&amp;utm_content=sme&amp;utm_campaign=usage")</f>
        <v>https://www.bmj.com/content/372/bmj.n742?utm_source=twitter&amp;utm_medium=social&amp;utm_term=hootsuite&amp;utm_content=sme&amp;utm_campaign=usage</v>
      </c>
      <c r="S67" s="81" t="s">
        <v>337</v>
      </c>
      <c r="T67" s="81"/>
      <c r="U67" s="81"/>
      <c r="V67" s="84" t="str">
        <f>HYPERLINK("https://pbs.twimg.com/profile_images/1311599103797866496/qirGFxux_normal.jpg")</f>
        <v>https://pbs.twimg.com/profile_images/1311599103797866496/qirGFxux_normal.jpg</v>
      </c>
      <c r="W67" s="83">
        <v>44282.7737037037</v>
      </c>
      <c r="X67" s="88">
        <v>44282</v>
      </c>
      <c r="Y67" s="86" t="s">
        <v>370</v>
      </c>
      <c r="Z67" s="84" t="str">
        <f>HYPERLINK("https://twitter.com/domcro/status/1375878824072781825")</f>
        <v>https://twitter.com/domcro/status/1375878824072781825</v>
      </c>
      <c r="AA67" s="81"/>
      <c r="AB67" s="81"/>
      <c r="AC67" s="86" t="s">
        <v>428</v>
      </c>
      <c r="AD67" s="81"/>
      <c r="AE67" s="81" t="b">
        <v>0</v>
      </c>
      <c r="AF67" s="81">
        <v>0</v>
      </c>
      <c r="AG67" s="86" t="s">
        <v>462</v>
      </c>
      <c r="AH67" s="81" t="b">
        <v>0</v>
      </c>
      <c r="AI67" s="81" t="s">
        <v>467</v>
      </c>
      <c r="AJ67" s="81"/>
      <c r="AK67" s="86" t="s">
        <v>462</v>
      </c>
      <c r="AL67" s="81" t="b">
        <v>0</v>
      </c>
      <c r="AM67" s="81">
        <v>16</v>
      </c>
      <c r="AN67" s="86" t="s">
        <v>456</v>
      </c>
      <c r="AO67" s="86" t="s">
        <v>470</v>
      </c>
      <c r="AP67" s="81" t="b">
        <v>0</v>
      </c>
      <c r="AQ67" s="86" t="s">
        <v>456</v>
      </c>
      <c r="AR67" s="81"/>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2</v>
      </c>
      <c r="BF67" s="49">
        <v>1</v>
      </c>
      <c r="BG67" s="50">
        <v>2.7777777777777777</v>
      </c>
      <c r="BH67" s="49">
        <v>1</v>
      </c>
      <c r="BI67" s="50">
        <v>2.7777777777777777</v>
      </c>
      <c r="BJ67" s="49">
        <v>0</v>
      </c>
      <c r="BK67" s="50">
        <v>0</v>
      </c>
      <c r="BL67" s="49">
        <v>34</v>
      </c>
      <c r="BM67" s="50">
        <v>94.44444444444444</v>
      </c>
      <c r="BN67" s="49">
        <v>36</v>
      </c>
    </row>
    <row r="68" spans="1:66" ht="15">
      <c r="A68" s="66" t="s">
        <v>280</v>
      </c>
      <c r="B68" s="66" t="s">
        <v>280</v>
      </c>
      <c r="C68" s="67" t="s">
        <v>1216</v>
      </c>
      <c r="D68" s="68">
        <v>3</v>
      </c>
      <c r="E68" s="67" t="s">
        <v>132</v>
      </c>
      <c r="F68" s="70">
        <v>32</v>
      </c>
      <c r="G68" s="67"/>
      <c r="H68" s="71"/>
      <c r="I68" s="72"/>
      <c r="J68" s="72"/>
      <c r="K68" s="35" t="s">
        <v>65</v>
      </c>
      <c r="L68" s="73">
        <v>68</v>
      </c>
      <c r="M68" s="73"/>
      <c r="N68" s="74"/>
      <c r="O68" s="81" t="s">
        <v>213</v>
      </c>
      <c r="P68" s="83">
        <v>44289.39627314815</v>
      </c>
      <c r="Q68" s="81" t="s">
        <v>328</v>
      </c>
      <c r="R68" s="84" t="str">
        <f>HYPERLINK("https://www.bmj.com/content/372/bmj.n742")</f>
        <v>https://www.bmj.com/content/372/bmj.n742</v>
      </c>
      <c r="S68" s="81" t="s">
        <v>337</v>
      </c>
      <c r="T68" s="81"/>
      <c r="U68" s="81"/>
      <c r="V68" s="84" t="str">
        <f>HYPERLINK("https://pbs.twimg.com/profile_images/1281905842225180675/3UAR5Y-E_normal.jpg")</f>
        <v>https://pbs.twimg.com/profile_images/1281905842225180675/3UAR5Y-E_normal.jpg</v>
      </c>
      <c r="W68" s="83">
        <v>44289.39627314815</v>
      </c>
      <c r="X68" s="88">
        <v>44289</v>
      </c>
      <c r="Y68" s="86" t="s">
        <v>371</v>
      </c>
      <c r="Z68" s="84" t="str">
        <f>HYPERLINK("https://twitter.com/gonggasgirl/status/1378278759615229955")</f>
        <v>https://twitter.com/gonggasgirl/status/1378278759615229955</v>
      </c>
      <c r="AA68" s="81"/>
      <c r="AB68" s="81"/>
      <c r="AC68" s="86" t="s">
        <v>429</v>
      </c>
      <c r="AD68" s="81"/>
      <c r="AE68" s="81" t="b">
        <v>0</v>
      </c>
      <c r="AF68" s="81">
        <v>1</v>
      </c>
      <c r="AG68" s="86" t="s">
        <v>462</v>
      </c>
      <c r="AH68" s="81" t="b">
        <v>0</v>
      </c>
      <c r="AI68" s="81" t="s">
        <v>467</v>
      </c>
      <c r="AJ68" s="81"/>
      <c r="AK68" s="86" t="s">
        <v>462</v>
      </c>
      <c r="AL68" s="81" t="b">
        <v>0</v>
      </c>
      <c r="AM68" s="81">
        <v>0</v>
      </c>
      <c r="AN68" s="86" t="s">
        <v>462</v>
      </c>
      <c r="AO68" s="86" t="s">
        <v>470</v>
      </c>
      <c r="AP68" s="81" t="b">
        <v>0</v>
      </c>
      <c r="AQ68" s="86" t="s">
        <v>429</v>
      </c>
      <c r="AR68" s="81"/>
      <c r="AS68" s="81">
        <v>0</v>
      </c>
      <c r="AT68" s="81">
        <v>0</v>
      </c>
      <c r="AU68" s="81"/>
      <c r="AV68" s="81"/>
      <c r="AW68" s="81"/>
      <c r="AX68" s="81"/>
      <c r="AY68" s="81"/>
      <c r="AZ68" s="81"/>
      <c r="BA68" s="81"/>
      <c r="BB68" s="81"/>
      <c r="BC68">
        <v>1</v>
      </c>
      <c r="BD68" s="80" t="str">
        <f>REPLACE(INDEX(GroupVertices[Group],MATCH(Edges[[#This Row],[Vertex 1]],GroupVertices[Vertex],0)),1,1,"")</f>
        <v>4</v>
      </c>
      <c r="BE68" s="80" t="str">
        <f>REPLACE(INDEX(GroupVertices[Group],MATCH(Edges[[#This Row],[Vertex 2]],GroupVertices[Vertex],0)),1,1,"")</f>
        <v>4</v>
      </c>
      <c r="BF68" s="49">
        <v>0</v>
      </c>
      <c r="BG68" s="50">
        <v>0</v>
      </c>
      <c r="BH68" s="49">
        <v>1</v>
      </c>
      <c r="BI68" s="50">
        <v>12.5</v>
      </c>
      <c r="BJ68" s="49">
        <v>0</v>
      </c>
      <c r="BK68" s="50">
        <v>0</v>
      </c>
      <c r="BL68" s="49">
        <v>7</v>
      </c>
      <c r="BM68" s="50">
        <v>87.5</v>
      </c>
      <c r="BN68" s="49">
        <v>8</v>
      </c>
    </row>
    <row r="69" spans="1:66" ht="15">
      <c r="A69" s="66" t="s">
        <v>281</v>
      </c>
      <c r="B69" s="66" t="s">
        <v>300</v>
      </c>
      <c r="C69" s="67" t="s">
        <v>1216</v>
      </c>
      <c r="D69" s="68">
        <v>3</v>
      </c>
      <c r="E69" s="67" t="s">
        <v>132</v>
      </c>
      <c r="F69" s="70">
        <v>32</v>
      </c>
      <c r="G69" s="67"/>
      <c r="H69" s="71"/>
      <c r="I69" s="72"/>
      <c r="J69" s="72"/>
      <c r="K69" s="35" t="s">
        <v>65</v>
      </c>
      <c r="L69" s="73">
        <v>69</v>
      </c>
      <c r="M69" s="73"/>
      <c r="N69" s="74"/>
      <c r="O69" s="81" t="s">
        <v>314</v>
      </c>
      <c r="P69" s="83">
        <v>44290.77748842593</v>
      </c>
      <c r="Q69" s="81" t="s">
        <v>318</v>
      </c>
      <c r="R69" s="84" t="str">
        <f>HYPERLINK("https://www.bmj.com/content/372/bmj.n742")</f>
        <v>https://www.bmj.com/content/372/bmj.n742</v>
      </c>
      <c r="S69" s="81" t="s">
        <v>337</v>
      </c>
      <c r="T69" s="81"/>
      <c r="U69" s="81"/>
      <c r="V69" s="84" t="str">
        <f>HYPERLINK("https://pbs.twimg.com/profile_images/1272238245733072897/i-3PCAjk_normal.jpg")</f>
        <v>https://pbs.twimg.com/profile_images/1272238245733072897/i-3PCAjk_normal.jpg</v>
      </c>
      <c r="W69" s="83">
        <v>44290.77748842593</v>
      </c>
      <c r="X69" s="88">
        <v>44290</v>
      </c>
      <c r="Y69" s="86" t="s">
        <v>372</v>
      </c>
      <c r="Z69" s="84" t="str">
        <f>HYPERLINK("https://twitter.com/kavitha_nades/status/1378779297423429632")</f>
        <v>https://twitter.com/kavitha_nades/status/1378779297423429632</v>
      </c>
      <c r="AA69" s="81"/>
      <c r="AB69" s="81"/>
      <c r="AC69" s="86" t="s">
        <v>430</v>
      </c>
      <c r="AD69" s="81"/>
      <c r="AE69" s="81" t="b">
        <v>0</v>
      </c>
      <c r="AF69" s="81">
        <v>0</v>
      </c>
      <c r="AG69" s="86" t="s">
        <v>462</v>
      </c>
      <c r="AH69" s="81" t="b">
        <v>0</v>
      </c>
      <c r="AI69" s="81" t="s">
        <v>467</v>
      </c>
      <c r="AJ69" s="81"/>
      <c r="AK69" s="86" t="s">
        <v>462</v>
      </c>
      <c r="AL69" s="81" t="b">
        <v>0</v>
      </c>
      <c r="AM69" s="81">
        <v>7</v>
      </c>
      <c r="AN69" s="86" t="s">
        <v>440</v>
      </c>
      <c r="AO69" s="86" t="s">
        <v>470</v>
      </c>
      <c r="AP69" s="81" t="b">
        <v>0</v>
      </c>
      <c r="AQ69" s="86" t="s">
        <v>440</v>
      </c>
      <c r="AR69" s="81"/>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c r="BG69" s="50"/>
      <c r="BH69" s="49"/>
      <c r="BI69" s="50"/>
      <c r="BJ69" s="49"/>
      <c r="BK69" s="50"/>
      <c r="BL69" s="49"/>
      <c r="BM69" s="50"/>
      <c r="BN69" s="49"/>
    </row>
    <row r="70" spans="1:66" ht="15">
      <c r="A70" s="66" t="s">
        <v>281</v>
      </c>
      <c r="B70" s="66" t="s">
        <v>289</v>
      </c>
      <c r="C70" s="67" t="s">
        <v>1216</v>
      </c>
      <c r="D70" s="68">
        <v>3</v>
      </c>
      <c r="E70" s="67" t="s">
        <v>132</v>
      </c>
      <c r="F70" s="70">
        <v>32</v>
      </c>
      <c r="G70" s="67"/>
      <c r="H70" s="71"/>
      <c r="I70" s="72"/>
      <c r="J70" s="72"/>
      <c r="K70" s="35" t="s">
        <v>65</v>
      </c>
      <c r="L70" s="73">
        <v>70</v>
      </c>
      <c r="M70" s="73"/>
      <c r="N70" s="74"/>
      <c r="O70" s="81" t="s">
        <v>314</v>
      </c>
      <c r="P70" s="83">
        <v>44290.77748842593</v>
      </c>
      <c r="Q70" s="81" t="s">
        <v>318</v>
      </c>
      <c r="R70" s="84" t="str">
        <f>HYPERLINK("https://www.bmj.com/content/372/bmj.n742")</f>
        <v>https://www.bmj.com/content/372/bmj.n742</v>
      </c>
      <c r="S70" s="81" t="s">
        <v>337</v>
      </c>
      <c r="T70" s="81"/>
      <c r="U70" s="81"/>
      <c r="V70" s="84" t="str">
        <f>HYPERLINK("https://pbs.twimg.com/profile_images/1272238245733072897/i-3PCAjk_normal.jpg")</f>
        <v>https://pbs.twimg.com/profile_images/1272238245733072897/i-3PCAjk_normal.jpg</v>
      </c>
      <c r="W70" s="83">
        <v>44290.77748842593</v>
      </c>
      <c r="X70" s="88">
        <v>44290</v>
      </c>
      <c r="Y70" s="86" t="s">
        <v>372</v>
      </c>
      <c r="Z70" s="84" t="str">
        <f>HYPERLINK("https://twitter.com/kavitha_nades/status/1378779297423429632")</f>
        <v>https://twitter.com/kavitha_nades/status/1378779297423429632</v>
      </c>
      <c r="AA70" s="81"/>
      <c r="AB70" s="81"/>
      <c r="AC70" s="86" t="s">
        <v>430</v>
      </c>
      <c r="AD70" s="81"/>
      <c r="AE70" s="81" t="b">
        <v>0</v>
      </c>
      <c r="AF70" s="81">
        <v>0</v>
      </c>
      <c r="AG70" s="86" t="s">
        <v>462</v>
      </c>
      <c r="AH70" s="81" t="b">
        <v>0</v>
      </c>
      <c r="AI70" s="81" t="s">
        <v>467</v>
      </c>
      <c r="AJ70" s="81"/>
      <c r="AK70" s="86" t="s">
        <v>462</v>
      </c>
      <c r="AL70" s="81" t="b">
        <v>0</v>
      </c>
      <c r="AM70" s="81">
        <v>7</v>
      </c>
      <c r="AN70" s="86" t="s">
        <v>440</v>
      </c>
      <c r="AO70" s="86" t="s">
        <v>470</v>
      </c>
      <c r="AP70" s="81" t="b">
        <v>0</v>
      </c>
      <c r="AQ70" s="86" t="s">
        <v>440</v>
      </c>
      <c r="AR70" s="81"/>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1</v>
      </c>
      <c r="BF70" s="49"/>
      <c r="BG70" s="50"/>
      <c r="BH70" s="49"/>
      <c r="BI70" s="50"/>
      <c r="BJ70" s="49"/>
      <c r="BK70" s="50"/>
      <c r="BL70" s="49"/>
      <c r="BM70" s="50"/>
      <c r="BN70" s="49"/>
    </row>
    <row r="71" spans="1:66" ht="15">
      <c r="A71" s="66" t="s">
        <v>281</v>
      </c>
      <c r="B71" s="66" t="s">
        <v>290</v>
      </c>
      <c r="C71" s="67" t="s">
        <v>1216</v>
      </c>
      <c r="D71" s="68">
        <v>3</v>
      </c>
      <c r="E71" s="67" t="s">
        <v>132</v>
      </c>
      <c r="F71" s="70">
        <v>32</v>
      </c>
      <c r="G71" s="67"/>
      <c r="H71" s="71"/>
      <c r="I71" s="72"/>
      <c r="J71" s="72"/>
      <c r="K71" s="35" t="s">
        <v>65</v>
      </c>
      <c r="L71" s="73">
        <v>71</v>
      </c>
      <c r="M71" s="73"/>
      <c r="N71" s="74"/>
      <c r="O71" s="81" t="s">
        <v>315</v>
      </c>
      <c r="P71" s="83">
        <v>44290.77748842593</v>
      </c>
      <c r="Q71" s="81" t="s">
        <v>318</v>
      </c>
      <c r="R71" s="84" t="str">
        <f>HYPERLINK("https://www.bmj.com/content/372/bmj.n742")</f>
        <v>https://www.bmj.com/content/372/bmj.n742</v>
      </c>
      <c r="S71" s="81" t="s">
        <v>337</v>
      </c>
      <c r="T71" s="81"/>
      <c r="U71" s="81"/>
      <c r="V71" s="84" t="str">
        <f>HYPERLINK("https://pbs.twimg.com/profile_images/1272238245733072897/i-3PCAjk_normal.jpg")</f>
        <v>https://pbs.twimg.com/profile_images/1272238245733072897/i-3PCAjk_normal.jpg</v>
      </c>
      <c r="W71" s="83">
        <v>44290.77748842593</v>
      </c>
      <c r="X71" s="88">
        <v>44290</v>
      </c>
      <c r="Y71" s="86" t="s">
        <v>372</v>
      </c>
      <c r="Z71" s="84" t="str">
        <f>HYPERLINK("https://twitter.com/kavitha_nades/status/1378779297423429632")</f>
        <v>https://twitter.com/kavitha_nades/status/1378779297423429632</v>
      </c>
      <c r="AA71" s="81"/>
      <c r="AB71" s="81"/>
      <c r="AC71" s="86" t="s">
        <v>430</v>
      </c>
      <c r="AD71" s="81"/>
      <c r="AE71" s="81" t="b">
        <v>0</v>
      </c>
      <c r="AF71" s="81">
        <v>0</v>
      </c>
      <c r="AG71" s="86" t="s">
        <v>462</v>
      </c>
      <c r="AH71" s="81" t="b">
        <v>0</v>
      </c>
      <c r="AI71" s="81" t="s">
        <v>467</v>
      </c>
      <c r="AJ71" s="81"/>
      <c r="AK71" s="86" t="s">
        <v>462</v>
      </c>
      <c r="AL71" s="81" t="b">
        <v>0</v>
      </c>
      <c r="AM71" s="81">
        <v>7</v>
      </c>
      <c r="AN71" s="86" t="s">
        <v>440</v>
      </c>
      <c r="AO71" s="86" t="s">
        <v>470</v>
      </c>
      <c r="AP71" s="81" t="b">
        <v>0</v>
      </c>
      <c r="AQ71" s="86" t="s">
        <v>440</v>
      </c>
      <c r="AR71" s="81"/>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2</v>
      </c>
      <c r="BF71" s="49">
        <v>2</v>
      </c>
      <c r="BG71" s="50">
        <v>5</v>
      </c>
      <c r="BH71" s="49">
        <v>0</v>
      </c>
      <c r="BI71" s="50">
        <v>0</v>
      </c>
      <c r="BJ71" s="49">
        <v>0</v>
      </c>
      <c r="BK71" s="50">
        <v>0</v>
      </c>
      <c r="BL71" s="49">
        <v>38</v>
      </c>
      <c r="BM71" s="50">
        <v>95</v>
      </c>
      <c r="BN71" s="49">
        <v>40</v>
      </c>
    </row>
    <row r="72" spans="1:66" ht="15">
      <c r="A72" s="66" t="s">
        <v>282</v>
      </c>
      <c r="B72" s="66" t="s">
        <v>300</v>
      </c>
      <c r="C72" s="67" t="s">
        <v>1216</v>
      </c>
      <c r="D72" s="68">
        <v>3</v>
      </c>
      <c r="E72" s="67" t="s">
        <v>132</v>
      </c>
      <c r="F72" s="70">
        <v>32</v>
      </c>
      <c r="G72" s="67"/>
      <c r="H72" s="71"/>
      <c r="I72" s="72"/>
      <c r="J72" s="72"/>
      <c r="K72" s="35" t="s">
        <v>65</v>
      </c>
      <c r="L72" s="73">
        <v>72</v>
      </c>
      <c r="M72" s="73"/>
      <c r="N72" s="74"/>
      <c r="O72" s="81" t="s">
        <v>314</v>
      </c>
      <c r="P72" s="83">
        <v>44291.383576388886</v>
      </c>
      <c r="Q72" s="81" t="s">
        <v>318</v>
      </c>
      <c r="R72" s="84" t="str">
        <f>HYPERLINK("https://www.bmj.com/content/372/bmj.n742")</f>
        <v>https://www.bmj.com/content/372/bmj.n742</v>
      </c>
      <c r="S72" s="81" t="s">
        <v>337</v>
      </c>
      <c r="T72" s="81"/>
      <c r="U72" s="81"/>
      <c r="V72" s="84" t="str">
        <f>HYPERLINK("https://pbs.twimg.com/profile_images/906420504969351168/bCTa3IFo_normal.jpg")</f>
        <v>https://pbs.twimg.com/profile_images/906420504969351168/bCTa3IFo_normal.jpg</v>
      </c>
      <c r="W72" s="83">
        <v>44291.383576388886</v>
      </c>
      <c r="X72" s="88">
        <v>44291</v>
      </c>
      <c r="Y72" s="86" t="s">
        <v>373</v>
      </c>
      <c r="Z72" s="84" t="str">
        <f>HYPERLINK("https://twitter.com/raj_psyc/status/1378998935402987524")</f>
        <v>https://twitter.com/raj_psyc/status/1378998935402987524</v>
      </c>
      <c r="AA72" s="81"/>
      <c r="AB72" s="81"/>
      <c r="AC72" s="86" t="s">
        <v>431</v>
      </c>
      <c r="AD72" s="81"/>
      <c r="AE72" s="81" t="b">
        <v>0</v>
      </c>
      <c r="AF72" s="81">
        <v>0</v>
      </c>
      <c r="AG72" s="86" t="s">
        <v>462</v>
      </c>
      <c r="AH72" s="81" t="b">
        <v>0</v>
      </c>
      <c r="AI72" s="81" t="s">
        <v>467</v>
      </c>
      <c r="AJ72" s="81"/>
      <c r="AK72" s="86" t="s">
        <v>462</v>
      </c>
      <c r="AL72" s="81" t="b">
        <v>0</v>
      </c>
      <c r="AM72" s="81">
        <v>7</v>
      </c>
      <c r="AN72" s="86" t="s">
        <v>440</v>
      </c>
      <c r="AO72" s="86" t="s">
        <v>470</v>
      </c>
      <c r="AP72" s="81" t="b">
        <v>0</v>
      </c>
      <c r="AQ72" s="86" t="s">
        <v>440</v>
      </c>
      <c r="AR72" s="81"/>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c r="BG72" s="50"/>
      <c r="BH72" s="49"/>
      <c r="BI72" s="50"/>
      <c r="BJ72" s="49"/>
      <c r="BK72" s="50"/>
      <c r="BL72" s="49"/>
      <c r="BM72" s="50"/>
      <c r="BN72" s="49"/>
    </row>
    <row r="73" spans="1:66" ht="15">
      <c r="A73" s="66" t="s">
        <v>282</v>
      </c>
      <c r="B73" s="66" t="s">
        <v>289</v>
      </c>
      <c r="C73" s="67" t="s">
        <v>1216</v>
      </c>
      <c r="D73" s="68">
        <v>3</v>
      </c>
      <c r="E73" s="67" t="s">
        <v>132</v>
      </c>
      <c r="F73" s="70">
        <v>32</v>
      </c>
      <c r="G73" s="67"/>
      <c r="H73" s="71"/>
      <c r="I73" s="72"/>
      <c r="J73" s="72"/>
      <c r="K73" s="35" t="s">
        <v>65</v>
      </c>
      <c r="L73" s="73">
        <v>73</v>
      </c>
      <c r="M73" s="73"/>
      <c r="N73" s="74"/>
      <c r="O73" s="81" t="s">
        <v>314</v>
      </c>
      <c r="P73" s="83">
        <v>44291.383576388886</v>
      </c>
      <c r="Q73" s="81" t="s">
        <v>318</v>
      </c>
      <c r="R73" s="84" t="str">
        <f>HYPERLINK("https://www.bmj.com/content/372/bmj.n742")</f>
        <v>https://www.bmj.com/content/372/bmj.n742</v>
      </c>
      <c r="S73" s="81" t="s">
        <v>337</v>
      </c>
      <c r="T73" s="81"/>
      <c r="U73" s="81"/>
      <c r="V73" s="84" t="str">
        <f>HYPERLINK("https://pbs.twimg.com/profile_images/906420504969351168/bCTa3IFo_normal.jpg")</f>
        <v>https://pbs.twimg.com/profile_images/906420504969351168/bCTa3IFo_normal.jpg</v>
      </c>
      <c r="W73" s="83">
        <v>44291.383576388886</v>
      </c>
      <c r="X73" s="88">
        <v>44291</v>
      </c>
      <c r="Y73" s="86" t="s">
        <v>373</v>
      </c>
      <c r="Z73" s="84" t="str">
        <f>HYPERLINK("https://twitter.com/raj_psyc/status/1378998935402987524")</f>
        <v>https://twitter.com/raj_psyc/status/1378998935402987524</v>
      </c>
      <c r="AA73" s="81"/>
      <c r="AB73" s="81"/>
      <c r="AC73" s="86" t="s">
        <v>431</v>
      </c>
      <c r="AD73" s="81"/>
      <c r="AE73" s="81" t="b">
        <v>0</v>
      </c>
      <c r="AF73" s="81">
        <v>0</v>
      </c>
      <c r="AG73" s="86" t="s">
        <v>462</v>
      </c>
      <c r="AH73" s="81" t="b">
        <v>0</v>
      </c>
      <c r="AI73" s="81" t="s">
        <v>467</v>
      </c>
      <c r="AJ73" s="81"/>
      <c r="AK73" s="86" t="s">
        <v>462</v>
      </c>
      <c r="AL73" s="81" t="b">
        <v>0</v>
      </c>
      <c r="AM73" s="81">
        <v>7</v>
      </c>
      <c r="AN73" s="86" t="s">
        <v>440</v>
      </c>
      <c r="AO73" s="86" t="s">
        <v>470</v>
      </c>
      <c r="AP73" s="81" t="b">
        <v>0</v>
      </c>
      <c r="AQ73" s="86" t="s">
        <v>440</v>
      </c>
      <c r="AR73" s="81"/>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1</v>
      </c>
      <c r="BF73" s="49"/>
      <c r="BG73" s="50"/>
      <c r="BH73" s="49"/>
      <c r="BI73" s="50"/>
      <c r="BJ73" s="49"/>
      <c r="BK73" s="50"/>
      <c r="BL73" s="49"/>
      <c r="BM73" s="50"/>
      <c r="BN73" s="49"/>
    </row>
    <row r="74" spans="1:66" ht="15">
      <c r="A74" s="66" t="s">
        <v>282</v>
      </c>
      <c r="B74" s="66" t="s">
        <v>290</v>
      </c>
      <c r="C74" s="67" t="s">
        <v>1216</v>
      </c>
      <c r="D74" s="68">
        <v>3</v>
      </c>
      <c r="E74" s="67" t="s">
        <v>132</v>
      </c>
      <c r="F74" s="70">
        <v>32</v>
      </c>
      <c r="G74" s="67"/>
      <c r="H74" s="71"/>
      <c r="I74" s="72"/>
      <c r="J74" s="72"/>
      <c r="K74" s="35" t="s">
        <v>65</v>
      </c>
      <c r="L74" s="73">
        <v>74</v>
      </c>
      <c r="M74" s="73"/>
      <c r="N74" s="74"/>
      <c r="O74" s="81" t="s">
        <v>315</v>
      </c>
      <c r="P74" s="83">
        <v>44291.383576388886</v>
      </c>
      <c r="Q74" s="81" t="s">
        <v>318</v>
      </c>
      <c r="R74" s="84" t="str">
        <f>HYPERLINK("https://www.bmj.com/content/372/bmj.n742")</f>
        <v>https://www.bmj.com/content/372/bmj.n742</v>
      </c>
      <c r="S74" s="81" t="s">
        <v>337</v>
      </c>
      <c r="T74" s="81"/>
      <c r="U74" s="81"/>
      <c r="V74" s="84" t="str">
        <f>HYPERLINK("https://pbs.twimg.com/profile_images/906420504969351168/bCTa3IFo_normal.jpg")</f>
        <v>https://pbs.twimg.com/profile_images/906420504969351168/bCTa3IFo_normal.jpg</v>
      </c>
      <c r="W74" s="83">
        <v>44291.383576388886</v>
      </c>
      <c r="X74" s="88">
        <v>44291</v>
      </c>
      <c r="Y74" s="86" t="s">
        <v>373</v>
      </c>
      <c r="Z74" s="84" t="str">
        <f>HYPERLINK("https://twitter.com/raj_psyc/status/1378998935402987524")</f>
        <v>https://twitter.com/raj_psyc/status/1378998935402987524</v>
      </c>
      <c r="AA74" s="81"/>
      <c r="AB74" s="81"/>
      <c r="AC74" s="86" t="s">
        <v>431</v>
      </c>
      <c r="AD74" s="81"/>
      <c r="AE74" s="81" t="b">
        <v>0</v>
      </c>
      <c r="AF74" s="81">
        <v>0</v>
      </c>
      <c r="AG74" s="86" t="s">
        <v>462</v>
      </c>
      <c r="AH74" s="81" t="b">
        <v>0</v>
      </c>
      <c r="AI74" s="81" t="s">
        <v>467</v>
      </c>
      <c r="AJ74" s="81"/>
      <c r="AK74" s="86" t="s">
        <v>462</v>
      </c>
      <c r="AL74" s="81" t="b">
        <v>0</v>
      </c>
      <c r="AM74" s="81">
        <v>7</v>
      </c>
      <c r="AN74" s="86" t="s">
        <v>440</v>
      </c>
      <c r="AO74" s="86" t="s">
        <v>470</v>
      </c>
      <c r="AP74" s="81" t="b">
        <v>0</v>
      </c>
      <c r="AQ74" s="86" t="s">
        <v>440</v>
      </c>
      <c r="AR74" s="81"/>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v>2</v>
      </c>
      <c r="BG74" s="50">
        <v>5</v>
      </c>
      <c r="BH74" s="49">
        <v>0</v>
      </c>
      <c r="BI74" s="50">
        <v>0</v>
      </c>
      <c r="BJ74" s="49">
        <v>0</v>
      </c>
      <c r="BK74" s="50">
        <v>0</v>
      </c>
      <c r="BL74" s="49">
        <v>38</v>
      </c>
      <c r="BM74" s="50">
        <v>95</v>
      </c>
      <c r="BN74" s="49">
        <v>40</v>
      </c>
    </row>
    <row r="75" spans="1:66" ht="15">
      <c r="A75" s="66" t="s">
        <v>283</v>
      </c>
      <c r="B75" s="66" t="s">
        <v>308</v>
      </c>
      <c r="C75" s="67" t="s">
        <v>1216</v>
      </c>
      <c r="D75" s="68">
        <v>3</v>
      </c>
      <c r="E75" s="67" t="s">
        <v>132</v>
      </c>
      <c r="F75" s="70">
        <v>32</v>
      </c>
      <c r="G75" s="67"/>
      <c r="H75" s="71"/>
      <c r="I75" s="72"/>
      <c r="J75" s="72"/>
      <c r="K75" s="35" t="s">
        <v>65</v>
      </c>
      <c r="L75" s="73">
        <v>75</v>
      </c>
      <c r="M75" s="73"/>
      <c r="N75" s="74"/>
      <c r="O75" s="81" t="s">
        <v>316</v>
      </c>
      <c r="P75" s="83">
        <v>44286.23616898148</v>
      </c>
      <c r="Q75" s="81" t="s">
        <v>329</v>
      </c>
      <c r="R75" s="84" t="str">
        <f>HYPERLINK("https://www.bmj.com/content/372/bmj.n742")</f>
        <v>https://www.bmj.com/content/372/bmj.n742</v>
      </c>
      <c r="S75" s="81" t="s">
        <v>337</v>
      </c>
      <c r="T75" s="81"/>
      <c r="U75" s="81"/>
      <c r="V75" s="84" t="str">
        <f>HYPERLINK("https://abs.twimg.com/sticky/default_profile_images/default_profile_normal.png")</f>
        <v>https://abs.twimg.com/sticky/default_profile_images/default_profile_normal.png</v>
      </c>
      <c r="W75" s="83">
        <v>44286.23616898148</v>
      </c>
      <c r="X75" s="88">
        <v>44286</v>
      </c>
      <c r="Y75" s="86" t="s">
        <v>374</v>
      </c>
      <c r="Z75" s="84" t="str">
        <f>HYPERLINK("https://twitter.com/erdonnachie/status/1377133577851170817")</f>
        <v>https://twitter.com/erdonnachie/status/1377133577851170817</v>
      </c>
      <c r="AA75" s="81"/>
      <c r="AB75" s="81"/>
      <c r="AC75" s="86" t="s">
        <v>432</v>
      </c>
      <c r="AD75" s="86" t="s">
        <v>460</v>
      </c>
      <c r="AE75" s="81" t="b">
        <v>0</v>
      </c>
      <c r="AF75" s="81">
        <v>1</v>
      </c>
      <c r="AG75" s="86" t="s">
        <v>464</v>
      </c>
      <c r="AH75" s="81" t="b">
        <v>0</v>
      </c>
      <c r="AI75" s="81" t="s">
        <v>467</v>
      </c>
      <c r="AJ75" s="81"/>
      <c r="AK75" s="86" t="s">
        <v>462</v>
      </c>
      <c r="AL75" s="81" t="b">
        <v>0</v>
      </c>
      <c r="AM75" s="81">
        <v>0</v>
      </c>
      <c r="AN75" s="86" t="s">
        <v>462</v>
      </c>
      <c r="AO75" s="86" t="s">
        <v>472</v>
      </c>
      <c r="AP75" s="81" t="b">
        <v>0</v>
      </c>
      <c r="AQ75" s="86" t="s">
        <v>460</v>
      </c>
      <c r="AR75" s="81"/>
      <c r="AS75" s="81">
        <v>0</v>
      </c>
      <c r="AT75" s="81">
        <v>0</v>
      </c>
      <c r="AU75" s="81"/>
      <c r="AV75" s="81"/>
      <c r="AW75" s="81"/>
      <c r="AX75" s="81"/>
      <c r="AY75" s="81"/>
      <c r="AZ75" s="81"/>
      <c r="BA75" s="81"/>
      <c r="BB75" s="81"/>
      <c r="BC75">
        <v>1</v>
      </c>
      <c r="BD75" s="80" t="str">
        <f>REPLACE(INDEX(GroupVertices[Group],MATCH(Edges[[#This Row],[Vertex 1]],GroupVertices[Vertex],0)),1,1,"")</f>
        <v>3</v>
      </c>
      <c r="BE75" s="80" t="str">
        <f>REPLACE(INDEX(GroupVertices[Group],MATCH(Edges[[#This Row],[Vertex 2]],GroupVertices[Vertex],0)),1,1,"")</f>
        <v>3</v>
      </c>
      <c r="BF75" s="49"/>
      <c r="BG75" s="50"/>
      <c r="BH75" s="49"/>
      <c r="BI75" s="50"/>
      <c r="BJ75" s="49"/>
      <c r="BK75" s="50"/>
      <c r="BL75" s="49"/>
      <c r="BM75" s="50"/>
      <c r="BN75" s="49"/>
    </row>
    <row r="76" spans="1:66" ht="15">
      <c r="A76" s="66" t="s">
        <v>283</v>
      </c>
      <c r="B76" s="66" t="s">
        <v>309</v>
      </c>
      <c r="C76" s="67" t="s">
        <v>1216</v>
      </c>
      <c r="D76" s="68">
        <v>3</v>
      </c>
      <c r="E76" s="67" t="s">
        <v>132</v>
      </c>
      <c r="F76" s="70">
        <v>32</v>
      </c>
      <c r="G76" s="67"/>
      <c r="H76" s="71"/>
      <c r="I76" s="72"/>
      <c r="J76" s="72"/>
      <c r="K76" s="35" t="s">
        <v>65</v>
      </c>
      <c r="L76" s="73">
        <v>76</v>
      </c>
      <c r="M76" s="73"/>
      <c r="N76" s="74"/>
      <c r="O76" s="81" t="s">
        <v>316</v>
      </c>
      <c r="P76" s="83">
        <v>44286.23616898148</v>
      </c>
      <c r="Q76" s="81" t="s">
        <v>329</v>
      </c>
      <c r="R76" s="84" t="str">
        <f>HYPERLINK("https://www.bmj.com/content/372/bmj.n742")</f>
        <v>https://www.bmj.com/content/372/bmj.n742</v>
      </c>
      <c r="S76" s="81" t="s">
        <v>337</v>
      </c>
      <c r="T76" s="81"/>
      <c r="U76" s="81"/>
      <c r="V76" s="84" t="str">
        <f>HYPERLINK("https://abs.twimg.com/sticky/default_profile_images/default_profile_normal.png")</f>
        <v>https://abs.twimg.com/sticky/default_profile_images/default_profile_normal.png</v>
      </c>
      <c r="W76" s="83">
        <v>44286.23616898148</v>
      </c>
      <c r="X76" s="88">
        <v>44286</v>
      </c>
      <c r="Y76" s="86" t="s">
        <v>374</v>
      </c>
      <c r="Z76" s="84" t="str">
        <f>HYPERLINK("https://twitter.com/erdonnachie/status/1377133577851170817")</f>
        <v>https://twitter.com/erdonnachie/status/1377133577851170817</v>
      </c>
      <c r="AA76" s="81"/>
      <c r="AB76" s="81"/>
      <c r="AC76" s="86" t="s">
        <v>432</v>
      </c>
      <c r="AD76" s="86" t="s">
        <v>460</v>
      </c>
      <c r="AE76" s="81" t="b">
        <v>0</v>
      </c>
      <c r="AF76" s="81">
        <v>1</v>
      </c>
      <c r="AG76" s="86" t="s">
        <v>464</v>
      </c>
      <c r="AH76" s="81" t="b">
        <v>0</v>
      </c>
      <c r="AI76" s="81" t="s">
        <v>467</v>
      </c>
      <c r="AJ76" s="81"/>
      <c r="AK76" s="86" t="s">
        <v>462</v>
      </c>
      <c r="AL76" s="81" t="b">
        <v>0</v>
      </c>
      <c r="AM76" s="81">
        <v>0</v>
      </c>
      <c r="AN76" s="86" t="s">
        <v>462</v>
      </c>
      <c r="AO76" s="86" t="s">
        <v>472</v>
      </c>
      <c r="AP76" s="81" t="b">
        <v>0</v>
      </c>
      <c r="AQ76" s="86" t="s">
        <v>460</v>
      </c>
      <c r="AR76" s="81"/>
      <c r="AS76" s="81">
        <v>0</v>
      </c>
      <c r="AT76" s="81">
        <v>0</v>
      </c>
      <c r="AU76" s="81"/>
      <c r="AV76" s="81"/>
      <c r="AW76" s="81"/>
      <c r="AX76" s="81"/>
      <c r="AY76" s="81"/>
      <c r="AZ76" s="81"/>
      <c r="BA76" s="81"/>
      <c r="BB76" s="81"/>
      <c r="BC76">
        <v>1</v>
      </c>
      <c r="BD76" s="80" t="str">
        <f>REPLACE(INDEX(GroupVertices[Group],MATCH(Edges[[#This Row],[Vertex 1]],GroupVertices[Vertex],0)),1,1,"")</f>
        <v>3</v>
      </c>
      <c r="BE76" s="80" t="str">
        <f>REPLACE(INDEX(GroupVertices[Group],MATCH(Edges[[#This Row],[Vertex 2]],GroupVertices[Vertex],0)),1,1,"")</f>
        <v>3</v>
      </c>
      <c r="BF76" s="49"/>
      <c r="BG76" s="50"/>
      <c r="BH76" s="49"/>
      <c r="BI76" s="50"/>
      <c r="BJ76" s="49"/>
      <c r="BK76" s="50"/>
      <c r="BL76" s="49"/>
      <c r="BM76" s="50"/>
      <c r="BN76" s="49"/>
    </row>
    <row r="77" spans="1:66" ht="15">
      <c r="A77" s="66" t="s">
        <v>283</v>
      </c>
      <c r="B77" s="66" t="s">
        <v>310</v>
      </c>
      <c r="C77" s="67" t="s">
        <v>1216</v>
      </c>
      <c r="D77" s="68">
        <v>3</v>
      </c>
      <c r="E77" s="67" t="s">
        <v>132</v>
      </c>
      <c r="F77" s="70">
        <v>32</v>
      </c>
      <c r="G77" s="67"/>
      <c r="H77" s="71"/>
      <c r="I77" s="72"/>
      <c r="J77" s="72"/>
      <c r="K77" s="35" t="s">
        <v>65</v>
      </c>
      <c r="L77" s="73">
        <v>77</v>
      </c>
      <c r="M77" s="73"/>
      <c r="N77" s="74"/>
      <c r="O77" s="81" t="s">
        <v>316</v>
      </c>
      <c r="P77" s="83">
        <v>44286.23616898148</v>
      </c>
      <c r="Q77" s="81" t="s">
        <v>329</v>
      </c>
      <c r="R77" s="84" t="str">
        <f>HYPERLINK("https://www.bmj.com/content/372/bmj.n742")</f>
        <v>https://www.bmj.com/content/372/bmj.n742</v>
      </c>
      <c r="S77" s="81" t="s">
        <v>337</v>
      </c>
      <c r="T77" s="81"/>
      <c r="U77" s="81"/>
      <c r="V77" s="84" t="str">
        <f>HYPERLINK("https://abs.twimg.com/sticky/default_profile_images/default_profile_normal.png")</f>
        <v>https://abs.twimg.com/sticky/default_profile_images/default_profile_normal.png</v>
      </c>
      <c r="W77" s="83">
        <v>44286.23616898148</v>
      </c>
      <c r="X77" s="88">
        <v>44286</v>
      </c>
      <c r="Y77" s="86" t="s">
        <v>374</v>
      </c>
      <c r="Z77" s="84" t="str">
        <f>HYPERLINK("https://twitter.com/erdonnachie/status/1377133577851170817")</f>
        <v>https://twitter.com/erdonnachie/status/1377133577851170817</v>
      </c>
      <c r="AA77" s="81"/>
      <c r="AB77" s="81"/>
      <c r="AC77" s="86" t="s">
        <v>432</v>
      </c>
      <c r="AD77" s="86" t="s">
        <v>460</v>
      </c>
      <c r="AE77" s="81" t="b">
        <v>0</v>
      </c>
      <c r="AF77" s="81">
        <v>1</v>
      </c>
      <c r="AG77" s="86" t="s">
        <v>464</v>
      </c>
      <c r="AH77" s="81" t="b">
        <v>0</v>
      </c>
      <c r="AI77" s="81" t="s">
        <v>467</v>
      </c>
      <c r="AJ77" s="81"/>
      <c r="AK77" s="86" t="s">
        <v>462</v>
      </c>
      <c r="AL77" s="81" t="b">
        <v>0</v>
      </c>
      <c r="AM77" s="81">
        <v>0</v>
      </c>
      <c r="AN77" s="86" t="s">
        <v>462</v>
      </c>
      <c r="AO77" s="86" t="s">
        <v>472</v>
      </c>
      <c r="AP77" s="81" t="b">
        <v>0</v>
      </c>
      <c r="AQ77" s="86" t="s">
        <v>460</v>
      </c>
      <c r="AR77" s="81"/>
      <c r="AS77" s="81">
        <v>0</v>
      </c>
      <c r="AT77" s="81">
        <v>0</v>
      </c>
      <c r="AU77" s="81"/>
      <c r="AV77" s="81"/>
      <c r="AW77" s="81"/>
      <c r="AX77" s="81"/>
      <c r="AY77" s="81"/>
      <c r="AZ77" s="81"/>
      <c r="BA77" s="81"/>
      <c r="BB77" s="81"/>
      <c r="BC77">
        <v>1</v>
      </c>
      <c r="BD77" s="80" t="str">
        <f>REPLACE(INDEX(GroupVertices[Group],MATCH(Edges[[#This Row],[Vertex 1]],GroupVertices[Vertex],0)),1,1,"")</f>
        <v>3</v>
      </c>
      <c r="BE77" s="80" t="str">
        <f>REPLACE(INDEX(GroupVertices[Group],MATCH(Edges[[#This Row],[Vertex 2]],GroupVertices[Vertex],0)),1,1,"")</f>
        <v>3</v>
      </c>
      <c r="BF77" s="49"/>
      <c r="BG77" s="50"/>
      <c r="BH77" s="49"/>
      <c r="BI77" s="50"/>
      <c r="BJ77" s="49"/>
      <c r="BK77" s="50"/>
      <c r="BL77" s="49"/>
      <c r="BM77" s="50"/>
      <c r="BN77" s="49"/>
    </row>
    <row r="78" spans="1:66" ht="15">
      <c r="A78" s="66" t="s">
        <v>283</v>
      </c>
      <c r="B78" s="66" t="s">
        <v>311</v>
      </c>
      <c r="C78" s="67" t="s">
        <v>1216</v>
      </c>
      <c r="D78" s="68">
        <v>3</v>
      </c>
      <c r="E78" s="67" t="s">
        <v>132</v>
      </c>
      <c r="F78" s="70">
        <v>32</v>
      </c>
      <c r="G78" s="67"/>
      <c r="H78" s="71"/>
      <c r="I78" s="72"/>
      <c r="J78" s="72"/>
      <c r="K78" s="35" t="s">
        <v>65</v>
      </c>
      <c r="L78" s="73">
        <v>78</v>
      </c>
      <c r="M78" s="73"/>
      <c r="N78" s="74"/>
      <c r="O78" s="81" t="s">
        <v>316</v>
      </c>
      <c r="P78" s="83">
        <v>44286.23616898148</v>
      </c>
      <c r="Q78" s="81" t="s">
        <v>329</v>
      </c>
      <c r="R78" s="84" t="str">
        <f>HYPERLINK("https://www.bmj.com/content/372/bmj.n742")</f>
        <v>https://www.bmj.com/content/372/bmj.n742</v>
      </c>
      <c r="S78" s="81" t="s">
        <v>337</v>
      </c>
      <c r="T78" s="81"/>
      <c r="U78" s="81"/>
      <c r="V78" s="84" t="str">
        <f>HYPERLINK("https://abs.twimg.com/sticky/default_profile_images/default_profile_normal.png")</f>
        <v>https://abs.twimg.com/sticky/default_profile_images/default_profile_normal.png</v>
      </c>
      <c r="W78" s="83">
        <v>44286.23616898148</v>
      </c>
      <c r="X78" s="88">
        <v>44286</v>
      </c>
      <c r="Y78" s="86" t="s">
        <v>374</v>
      </c>
      <c r="Z78" s="84" t="str">
        <f>HYPERLINK("https://twitter.com/erdonnachie/status/1377133577851170817")</f>
        <v>https://twitter.com/erdonnachie/status/1377133577851170817</v>
      </c>
      <c r="AA78" s="81"/>
      <c r="AB78" s="81"/>
      <c r="AC78" s="86" t="s">
        <v>432</v>
      </c>
      <c r="AD78" s="86" t="s">
        <v>460</v>
      </c>
      <c r="AE78" s="81" t="b">
        <v>0</v>
      </c>
      <c r="AF78" s="81">
        <v>1</v>
      </c>
      <c r="AG78" s="86" t="s">
        <v>464</v>
      </c>
      <c r="AH78" s="81" t="b">
        <v>0</v>
      </c>
      <c r="AI78" s="81" t="s">
        <v>467</v>
      </c>
      <c r="AJ78" s="81"/>
      <c r="AK78" s="86" t="s">
        <v>462</v>
      </c>
      <c r="AL78" s="81" t="b">
        <v>0</v>
      </c>
      <c r="AM78" s="81">
        <v>0</v>
      </c>
      <c r="AN78" s="86" t="s">
        <v>462</v>
      </c>
      <c r="AO78" s="86" t="s">
        <v>472</v>
      </c>
      <c r="AP78" s="81" t="b">
        <v>0</v>
      </c>
      <c r="AQ78" s="86" t="s">
        <v>460</v>
      </c>
      <c r="AR78" s="81"/>
      <c r="AS78" s="81">
        <v>0</v>
      </c>
      <c r="AT78" s="81">
        <v>0</v>
      </c>
      <c r="AU78" s="81"/>
      <c r="AV78" s="81"/>
      <c r="AW78" s="81"/>
      <c r="AX78" s="81"/>
      <c r="AY78" s="81"/>
      <c r="AZ78" s="81"/>
      <c r="BA78" s="81"/>
      <c r="BB78" s="81"/>
      <c r="BC78">
        <v>1</v>
      </c>
      <c r="BD78" s="80" t="str">
        <f>REPLACE(INDEX(GroupVertices[Group],MATCH(Edges[[#This Row],[Vertex 1]],GroupVertices[Vertex],0)),1,1,"")</f>
        <v>3</v>
      </c>
      <c r="BE78" s="80" t="str">
        <f>REPLACE(INDEX(GroupVertices[Group],MATCH(Edges[[#This Row],[Vertex 2]],GroupVertices[Vertex],0)),1,1,"")</f>
        <v>3</v>
      </c>
      <c r="BF78" s="49"/>
      <c r="BG78" s="50"/>
      <c r="BH78" s="49"/>
      <c r="BI78" s="50"/>
      <c r="BJ78" s="49"/>
      <c r="BK78" s="50"/>
      <c r="BL78" s="49"/>
      <c r="BM78" s="50"/>
      <c r="BN78" s="49"/>
    </row>
    <row r="79" spans="1:66" ht="15">
      <c r="A79" s="66" t="s">
        <v>283</v>
      </c>
      <c r="B79" s="66" t="s">
        <v>312</v>
      </c>
      <c r="C79" s="67" t="s">
        <v>1216</v>
      </c>
      <c r="D79" s="68">
        <v>3</v>
      </c>
      <c r="E79" s="67" t="s">
        <v>132</v>
      </c>
      <c r="F79" s="70">
        <v>32</v>
      </c>
      <c r="G79" s="67"/>
      <c r="H79" s="71"/>
      <c r="I79" s="72"/>
      <c r="J79" s="72"/>
      <c r="K79" s="35" t="s">
        <v>65</v>
      </c>
      <c r="L79" s="73">
        <v>79</v>
      </c>
      <c r="M79" s="73"/>
      <c r="N79" s="74"/>
      <c r="O79" s="81" t="s">
        <v>316</v>
      </c>
      <c r="P79" s="83">
        <v>44286.23616898148</v>
      </c>
      <c r="Q79" s="81" t="s">
        <v>329</v>
      </c>
      <c r="R79" s="84" t="str">
        <f>HYPERLINK("https://www.bmj.com/content/372/bmj.n742")</f>
        <v>https://www.bmj.com/content/372/bmj.n742</v>
      </c>
      <c r="S79" s="81" t="s">
        <v>337</v>
      </c>
      <c r="T79" s="81"/>
      <c r="U79" s="81"/>
      <c r="V79" s="84" t="str">
        <f>HYPERLINK("https://abs.twimg.com/sticky/default_profile_images/default_profile_normal.png")</f>
        <v>https://abs.twimg.com/sticky/default_profile_images/default_profile_normal.png</v>
      </c>
      <c r="W79" s="83">
        <v>44286.23616898148</v>
      </c>
      <c r="X79" s="88">
        <v>44286</v>
      </c>
      <c r="Y79" s="86" t="s">
        <v>374</v>
      </c>
      <c r="Z79" s="84" t="str">
        <f>HYPERLINK("https://twitter.com/erdonnachie/status/1377133577851170817")</f>
        <v>https://twitter.com/erdonnachie/status/1377133577851170817</v>
      </c>
      <c r="AA79" s="81"/>
      <c r="AB79" s="81"/>
      <c r="AC79" s="86" t="s">
        <v>432</v>
      </c>
      <c r="AD79" s="86" t="s">
        <v>460</v>
      </c>
      <c r="AE79" s="81" t="b">
        <v>0</v>
      </c>
      <c r="AF79" s="81">
        <v>1</v>
      </c>
      <c r="AG79" s="86" t="s">
        <v>464</v>
      </c>
      <c r="AH79" s="81" t="b">
        <v>0</v>
      </c>
      <c r="AI79" s="81" t="s">
        <v>467</v>
      </c>
      <c r="AJ79" s="81"/>
      <c r="AK79" s="86" t="s">
        <v>462</v>
      </c>
      <c r="AL79" s="81" t="b">
        <v>0</v>
      </c>
      <c r="AM79" s="81">
        <v>0</v>
      </c>
      <c r="AN79" s="86" t="s">
        <v>462</v>
      </c>
      <c r="AO79" s="86" t="s">
        <v>472</v>
      </c>
      <c r="AP79" s="81" t="b">
        <v>0</v>
      </c>
      <c r="AQ79" s="86" t="s">
        <v>460</v>
      </c>
      <c r="AR79" s="81"/>
      <c r="AS79" s="81">
        <v>0</v>
      </c>
      <c r="AT79" s="81">
        <v>0</v>
      </c>
      <c r="AU79" s="81"/>
      <c r="AV79" s="81"/>
      <c r="AW79" s="81"/>
      <c r="AX79" s="81"/>
      <c r="AY79" s="81"/>
      <c r="AZ79" s="81"/>
      <c r="BA79" s="81"/>
      <c r="BB79" s="81"/>
      <c r="BC79">
        <v>1</v>
      </c>
      <c r="BD79" s="80" t="str">
        <f>REPLACE(INDEX(GroupVertices[Group],MATCH(Edges[[#This Row],[Vertex 1]],GroupVertices[Vertex],0)),1,1,"")</f>
        <v>3</v>
      </c>
      <c r="BE79" s="80" t="str">
        <f>REPLACE(INDEX(GroupVertices[Group],MATCH(Edges[[#This Row],[Vertex 2]],GroupVertices[Vertex],0)),1,1,"")</f>
        <v>3</v>
      </c>
      <c r="BF79" s="49"/>
      <c r="BG79" s="50"/>
      <c r="BH79" s="49"/>
      <c r="BI79" s="50"/>
      <c r="BJ79" s="49"/>
      <c r="BK79" s="50"/>
      <c r="BL79" s="49"/>
      <c r="BM79" s="50"/>
      <c r="BN79" s="49"/>
    </row>
    <row r="80" spans="1:66" ht="15">
      <c r="A80" s="66" t="s">
        <v>283</v>
      </c>
      <c r="B80" s="66" t="s">
        <v>313</v>
      </c>
      <c r="C80" s="67" t="s">
        <v>1216</v>
      </c>
      <c r="D80" s="68">
        <v>3</v>
      </c>
      <c r="E80" s="67" t="s">
        <v>132</v>
      </c>
      <c r="F80" s="70">
        <v>32</v>
      </c>
      <c r="G80" s="67"/>
      <c r="H80" s="71"/>
      <c r="I80" s="72"/>
      <c r="J80" s="72"/>
      <c r="K80" s="35" t="s">
        <v>65</v>
      </c>
      <c r="L80" s="73">
        <v>80</v>
      </c>
      <c r="M80" s="73"/>
      <c r="N80" s="74"/>
      <c r="O80" s="81" t="s">
        <v>317</v>
      </c>
      <c r="P80" s="83">
        <v>44286.23616898148</v>
      </c>
      <c r="Q80" s="81" t="s">
        <v>329</v>
      </c>
      <c r="R80" s="84" t="str">
        <f>HYPERLINK("https://www.bmj.com/content/372/bmj.n742")</f>
        <v>https://www.bmj.com/content/372/bmj.n742</v>
      </c>
      <c r="S80" s="81" t="s">
        <v>337</v>
      </c>
      <c r="T80" s="81"/>
      <c r="U80" s="81"/>
      <c r="V80" s="84" t="str">
        <f>HYPERLINK("https://abs.twimg.com/sticky/default_profile_images/default_profile_normal.png")</f>
        <v>https://abs.twimg.com/sticky/default_profile_images/default_profile_normal.png</v>
      </c>
      <c r="W80" s="83">
        <v>44286.23616898148</v>
      </c>
      <c r="X80" s="88">
        <v>44286</v>
      </c>
      <c r="Y80" s="86" t="s">
        <v>374</v>
      </c>
      <c r="Z80" s="84" t="str">
        <f>HYPERLINK("https://twitter.com/erdonnachie/status/1377133577851170817")</f>
        <v>https://twitter.com/erdonnachie/status/1377133577851170817</v>
      </c>
      <c r="AA80" s="81"/>
      <c r="AB80" s="81"/>
      <c r="AC80" s="86" t="s">
        <v>432</v>
      </c>
      <c r="AD80" s="86" t="s">
        <v>460</v>
      </c>
      <c r="AE80" s="81" t="b">
        <v>0</v>
      </c>
      <c r="AF80" s="81">
        <v>1</v>
      </c>
      <c r="AG80" s="86" t="s">
        <v>464</v>
      </c>
      <c r="AH80" s="81" t="b">
        <v>0</v>
      </c>
      <c r="AI80" s="81" t="s">
        <v>467</v>
      </c>
      <c r="AJ80" s="81"/>
      <c r="AK80" s="86" t="s">
        <v>462</v>
      </c>
      <c r="AL80" s="81" t="b">
        <v>0</v>
      </c>
      <c r="AM80" s="81">
        <v>0</v>
      </c>
      <c r="AN80" s="86" t="s">
        <v>462</v>
      </c>
      <c r="AO80" s="86" t="s">
        <v>472</v>
      </c>
      <c r="AP80" s="81" t="b">
        <v>0</v>
      </c>
      <c r="AQ80" s="86" t="s">
        <v>460</v>
      </c>
      <c r="AR80" s="81"/>
      <c r="AS80" s="81">
        <v>0</v>
      </c>
      <c r="AT80" s="81">
        <v>0</v>
      </c>
      <c r="AU80" s="81"/>
      <c r="AV80" s="81"/>
      <c r="AW80" s="81"/>
      <c r="AX80" s="81"/>
      <c r="AY80" s="81"/>
      <c r="AZ80" s="81"/>
      <c r="BA80" s="81"/>
      <c r="BB80" s="81"/>
      <c r="BC80">
        <v>1</v>
      </c>
      <c r="BD80" s="80" t="str">
        <f>REPLACE(INDEX(GroupVertices[Group],MATCH(Edges[[#This Row],[Vertex 1]],GroupVertices[Vertex],0)),1,1,"")</f>
        <v>3</v>
      </c>
      <c r="BE80" s="80" t="str">
        <f>REPLACE(INDEX(GroupVertices[Group],MATCH(Edges[[#This Row],[Vertex 2]],GroupVertices[Vertex],0)),1,1,"")</f>
        <v>3</v>
      </c>
      <c r="BF80" s="49">
        <v>1</v>
      </c>
      <c r="BG80" s="50">
        <v>2.127659574468085</v>
      </c>
      <c r="BH80" s="49">
        <v>3</v>
      </c>
      <c r="BI80" s="50">
        <v>6.382978723404255</v>
      </c>
      <c r="BJ80" s="49">
        <v>0</v>
      </c>
      <c r="BK80" s="50">
        <v>0</v>
      </c>
      <c r="BL80" s="49">
        <v>43</v>
      </c>
      <c r="BM80" s="50">
        <v>91.48936170212765</v>
      </c>
      <c r="BN80" s="49">
        <v>47</v>
      </c>
    </row>
    <row r="81" spans="1:66" ht="15">
      <c r="A81" s="66" t="s">
        <v>284</v>
      </c>
      <c r="B81" s="66" t="s">
        <v>284</v>
      </c>
      <c r="C81" s="67" t="s">
        <v>1216</v>
      </c>
      <c r="D81" s="68">
        <v>3</v>
      </c>
      <c r="E81" s="67" t="s">
        <v>132</v>
      </c>
      <c r="F81" s="70">
        <v>32</v>
      </c>
      <c r="G81" s="67"/>
      <c r="H81" s="71"/>
      <c r="I81" s="72"/>
      <c r="J81" s="72"/>
      <c r="K81" s="35" t="s">
        <v>65</v>
      </c>
      <c r="L81" s="73">
        <v>81</v>
      </c>
      <c r="M81" s="73"/>
      <c r="N81" s="74"/>
      <c r="O81" s="81" t="s">
        <v>213</v>
      </c>
      <c r="P81" s="83">
        <v>44288.83138888889</v>
      </c>
      <c r="Q81" s="81" t="s">
        <v>330</v>
      </c>
      <c r="R81" s="84" t="str">
        <f>HYPERLINK("https://www.bmj.com/content/372/bmj.n742")</f>
        <v>https://www.bmj.com/content/372/bmj.n742</v>
      </c>
      <c r="S81" s="81" t="s">
        <v>337</v>
      </c>
      <c r="T81" s="81"/>
      <c r="U81" s="81"/>
      <c r="V81" s="84" t="str">
        <f>HYPERLINK("https://pbs.twimg.com/profile_images/2750149639/4eea25bd0508dd560182fcd274401b1f_normal.jpeg")</f>
        <v>https://pbs.twimg.com/profile_images/2750149639/4eea25bd0508dd560182fcd274401b1f_normal.jpeg</v>
      </c>
      <c r="W81" s="83">
        <v>44288.83138888889</v>
      </c>
      <c r="X81" s="88">
        <v>44288</v>
      </c>
      <c r="Y81" s="86" t="s">
        <v>375</v>
      </c>
      <c r="Z81" s="84" t="str">
        <f>HYPERLINK("https://twitter.com/profsarahcowley/status/1378074052619870218")</f>
        <v>https://twitter.com/profsarahcowley/status/1378074052619870218</v>
      </c>
      <c r="AA81" s="81"/>
      <c r="AB81" s="81"/>
      <c r="AC81" s="86" t="s">
        <v>433</v>
      </c>
      <c r="AD81" s="81"/>
      <c r="AE81" s="81" t="b">
        <v>0</v>
      </c>
      <c r="AF81" s="81">
        <v>0</v>
      </c>
      <c r="AG81" s="86" t="s">
        <v>462</v>
      </c>
      <c r="AH81" s="81" t="b">
        <v>0</v>
      </c>
      <c r="AI81" s="81" t="s">
        <v>467</v>
      </c>
      <c r="AJ81" s="81"/>
      <c r="AK81" s="86" t="s">
        <v>462</v>
      </c>
      <c r="AL81" s="81" t="b">
        <v>0</v>
      </c>
      <c r="AM81" s="81">
        <v>0</v>
      </c>
      <c r="AN81" s="86" t="s">
        <v>462</v>
      </c>
      <c r="AO81" s="86" t="s">
        <v>471</v>
      </c>
      <c r="AP81" s="81" t="b">
        <v>0</v>
      </c>
      <c r="AQ81" s="86" t="s">
        <v>433</v>
      </c>
      <c r="AR81" s="81"/>
      <c r="AS81" s="81">
        <v>0</v>
      </c>
      <c r="AT81" s="81">
        <v>0</v>
      </c>
      <c r="AU81" s="81"/>
      <c r="AV81" s="81"/>
      <c r="AW81" s="81"/>
      <c r="AX81" s="81"/>
      <c r="AY81" s="81"/>
      <c r="AZ81" s="81"/>
      <c r="BA81" s="81"/>
      <c r="BB81" s="81"/>
      <c r="BC81">
        <v>1</v>
      </c>
      <c r="BD81" s="80" t="str">
        <f>REPLACE(INDEX(GroupVertices[Group],MATCH(Edges[[#This Row],[Vertex 1]],GroupVertices[Vertex],0)),1,1,"")</f>
        <v>4</v>
      </c>
      <c r="BE81" s="80" t="str">
        <f>REPLACE(INDEX(GroupVertices[Group],MATCH(Edges[[#This Row],[Vertex 2]],GroupVertices[Vertex],0)),1,1,"")</f>
        <v>4</v>
      </c>
      <c r="BF81" s="49">
        <v>2</v>
      </c>
      <c r="BG81" s="50">
        <v>4.878048780487805</v>
      </c>
      <c r="BH81" s="49">
        <v>2</v>
      </c>
      <c r="BI81" s="50">
        <v>4.878048780487805</v>
      </c>
      <c r="BJ81" s="49">
        <v>0</v>
      </c>
      <c r="BK81" s="50">
        <v>0</v>
      </c>
      <c r="BL81" s="49">
        <v>37</v>
      </c>
      <c r="BM81" s="50">
        <v>90.2439024390244</v>
      </c>
      <c r="BN81" s="49">
        <v>41</v>
      </c>
    </row>
    <row r="82" spans="1:66" ht="15">
      <c r="A82" s="66" t="s">
        <v>285</v>
      </c>
      <c r="B82" s="66" t="s">
        <v>289</v>
      </c>
      <c r="C82" s="67" t="s">
        <v>1216</v>
      </c>
      <c r="D82" s="68">
        <v>3</v>
      </c>
      <c r="E82" s="67" t="s">
        <v>132</v>
      </c>
      <c r="F82" s="70">
        <v>32</v>
      </c>
      <c r="G82" s="67"/>
      <c r="H82" s="71"/>
      <c r="I82" s="72"/>
      <c r="J82" s="72"/>
      <c r="K82" s="35" t="s">
        <v>65</v>
      </c>
      <c r="L82" s="73">
        <v>82</v>
      </c>
      <c r="M82" s="73"/>
      <c r="N82" s="74"/>
      <c r="O82" s="81" t="s">
        <v>314</v>
      </c>
      <c r="P82" s="83">
        <v>44282.71420138889</v>
      </c>
      <c r="Q82" s="81" t="s">
        <v>320</v>
      </c>
      <c r="R82" s="84" t="str">
        <f>HYPERLINK("https://www.bmj.com/content/372/bmj.n742?utm_source=twitter&amp;utm_medium=social&amp;utm_term=hootsuite&amp;utm_content=sme&amp;utm_campaign=usage")</f>
        <v>https://www.bmj.com/content/372/bmj.n742?utm_source=twitter&amp;utm_medium=social&amp;utm_term=hootsuite&amp;utm_content=sme&amp;utm_campaign=usage</v>
      </c>
      <c r="S82" s="81" t="s">
        <v>337</v>
      </c>
      <c r="T82" s="81"/>
      <c r="U82" s="81"/>
      <c r="V82" s="84" t="str">
        <f>HYPERLINK("https://pbs.twimg.com/profile_images/1504643826/293227_10150298969603416_546828415_7850996_1250550_n_normal.jpg")</f>
        <v>https://pbs.twimg.com/profile_images/1504643826/293227_10150298969603416_546828415_7850996_1250550_n_normal.jpg</v>
      </c>
      <c r="W82" s="83">
        <v>44282.71420138889</v>
      </c>
      <c r="X82" s="88">
        <v>44282</v>
      </c>
      <c r="Y82" s="86" t="s">
        <v>376</v>
      </c>
      <c r="Z82" s="84" t="str">
        <f>HYPERLINK("https://twitter.com/michaeldavidj/status/1375857257733218308")</f>
        <v>https://twitter.com/michaeldavidj/status/1375857257733218308</v>
      </c>
      <c r="AA82" s="81"/>
      <c r="AB82" s="81"/>
      <c r="AC82" s="86" t="s">
        <v>434</v>
      </c>
      <c r="AD82" s="81"/>
      <c r="AE82" s="81" t="b">
        <v>0</v>
      </c>
      <c r="AF82" s="81">
        <v>0</v>
      </c>
      <c r="AG82" s="86" t="s">
        <v>462</v>
      </c>
      <c r="AH82" s="81" t="b">
        <v>0</v>
      </c>
      <c r="AI82" s="81" t="s">
        <v>467</v>
      </c>
      <c r="AJ82" s="81"/>
      <c r="AK82" s="86" t="s">
        <v>462</v>
      </c>
      <c r="AL82" s="81" t="b">
        <v>0</v>
      </c>
      <c r="AM82" s="81">
        <v>16</v>
      </c>
      <c r="AN82" s="86" t="s">
        <v>456</v>
      </c>
      <c r="AO82" s="86" t="s">
        <v>470</v>
      </c>
      <c r="AP82" s="81" t="b">
        <v>0</v>
      </c>
      <c r="AQ82" s="86" t="s">
        <v>456</v>
      </c>
      <c r="AR82" s="81"/>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6" t="s">
        <v>285</v>
      </c>
      <c r="B83" s="66" t="s">
        <v>300</v>
      </c>
      <c r="C83" s="67" t="s">
        <v>1216</v>
      </c>
      <c r="D83" s="68">
        <v>3</v>
      </c>
      <c r="E83" s="67" t="s">
        <v>132</v>
      </c>
      <c r="F83" s="70">
        <v>32</v>
      </c>
      <c r="G83" s="67"/>
      <c r="H83" s="71"/>
      <c r="I83" s="72"/>
      <c r="J83" s="72"/>
      <c r="K83" s="35" t="s">
        <v>65</v>
      </c>
      <c r="L83" s="73">
        <v>83</v>
      </c>
      <c r="M83" s="73"/>
      <c r="N83" s="74"/>
      <c r="O83" s="81" t="s">
        <v>315</v>
      </c>
      <c r="P83" s="83">
        <v>44282.71420138889</v>
      </c>
      <c r="Q83" s="81" t="s">
        <v>320</v>
      </c>
      <c r="R83" s="84" t="str">
        <f>HYPERLINK("https://www.bmj.com/content/372/bmj.n742?utm_source=twitter&amp;utm_medium=social&amp;utm_term=hootsuite&amp;utm_content=sme&amp;utm_campaign=usage")</f>
        <v>https://www.bmj.com/content/372/bmj.n742?utm_source=twitter&amp;utm_medium=social&amp;utm_term=hootsuite&amp;utm_content=sme&amp;utm_campaign=usage</v>
      </c>
      <c r="S83" s="81" t="s">
        <v>337</v>
      </c>
      <c r="T83" s="81"/>
      <c r="U83" s="81"/>
      <c r="V83" s="84" t="str">
        <f>HYPERLINK("https://pbs.twimg.com/profile_images/1504643826/293227_10150298969603416_546828415_7850996_1250550_n_normal.jpg")</f>
        <v>https://pbs.twimg.com/profile_images/1504643826/293227_10150298969603416_546828415_7850996_1250550_n_normal.jpg</v>
      </c>
      <c r="W83" s="83">
        <v>44282.71420138889</v>
      </c>
      <c r="X83" s="88">
        <v>44282</v>
      </c>
      <c r="Y83" s="86" t="s">
        <v>376</v>
      </c>
      <c r="Z83" s="84" t="str">
        <f>HYPERLINK("https://twitter.com/michaeldavidj/status/1375857257733218308")</f>
        <v>https://twitter.com/michaeldavidj/status/1375857257733218308</v>
      </c>
      <c r="AA83" s="81"/>
      <c r="AB83" s="81"/>
      <c r="AC83" s="86" t="s">
        <v>434</v>
      </c>
      <c r="AD83" s="81"/>
      <c r="AE83" s="81" t="b">
        <v>0</v>
      </c>
      <c r="AF83" s="81">
        <v>0</v>
      </c>
      <c r="AG83" s="86" t="s">
        <v>462</v>
      </c>
      <c r="AH83" s="81" t="b">
        <v>0</v>
      </c>
      <c r="AI83" s="81" t="s">
        <v>467</v>
      </c>
      <c r="AJ83" s="81"/>
      <c r="AK83" s="86" t="s">
        <v>462</v>
      </c>
      <c r="AL83" s="81" t="b">
        <v>0</v>
      </c>
      <c r="AM83" s="81">
        <v>16</v>
      </c>
      <c r="AN83" s="86" t="s">
        <v>456</v>
      </c>
      <c r="AO83" s="86" t="s">
        <v>470</v>
      </c>
      <c r="AP83" s="81" t="b">
        <v>0</v>
      </c>
      <c r="AQ83" s="86" t="s">
        <v>456</v>
      </c>
      <c r="AR83" s="81"/>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2</v>
      </c>
      <c r="BF83" s="49">
        <v>1</v>
      </c>
      <c r="BG83" s="50">
        <v>2.7777777777777777</v>
      </c>
      <c r="BH83" s="49">
        <v>1</v>
      </c>
      <c r="BI83" s="50">
        <v>2.7777777777777777</v>
      </c>
      <c r="BJ83" s="49">
        <v>0</v>
      </c>
      <c r="BK83" s="50">
        <v>0</v>
      </c>
      <c r="BL83" s="49">
        <v>34</v>
      </c>
      <c r="BM83" s="50">
        <v>94.44444444444444</v>
      </c>
      <c r="BN83" s="49">
        <v>36</v>
      </c>
    </row>
    <row r="84" spans="1:66" ht="15">
      <c r="A84" s="66" t="s">
        <v>286</v>
      </c>
      <c r="B84" s="66" t="s">
        <v>289</v>
      </c>
      <c r="C84" s="67" t="s">
        <v>1216</v>
      </c>
      <c r="D84" s="68">
        <v>3</v>
      </c>
      <c r="E84" s="67" t="s">
        <v>132</v>
      </c>
      <c r="F84" s="70">
        <v>32</v>
      </c>
      <c r="G84" s="67"/>
      <c r="H84" s="71"/>
      <c r="I84" s="72"/>
      <c r="J84" s="72"/>
      <c r="K84" s="35" t="s">
        <v>65</v>
      </c>
      <c r="L84" s="73">
        <v>84</v>
      </c>
      <c r="M84" s="73"/>
      <c r="N84" s="74"/>
      <c r="O84" s="81" t="s">
        <v>314</v>
      </c>
      <c r="P84" s="83">
        <v>44282.72950231482</v>
      </c>
      <c r="Q84" s="81" t="s">
        <v>320</v>
      </c>
      <c r="R84" s="84" t="str">
        <f>HYPERLINK("https://www.bmj.com/content/372/bmj.n742?utm_source=twitter&amp;utm_medium=social&amp;utm_term=hootsuite&amp;utm_content=sme&amp;utm_campaign=usage")</f>
        <v>https://www.bmj.com/content/372/bmj.n742?utm_source=twitter&amp;utm_medium=social&amp;utm_term=hootsuite&amp;utm_content=sme&amp;utm_campaign=usage</v>
      </c>
      <c r="S84" s="81" t="s">
        <v>337</v>
      </c>
      <c r="T84" s="81"/>
      <c r="U84" s="81"/>
      <c r="V84" s="84" t="str">
        <f>HYPERLINK("https://pbs.twimg.com/profile_images/1208933177689067522/v68lF0zl_normal.jpg")</f>
        <v>https://pbs.twimg.com/profile_images/1208933177689067522/v68lF0zl_normal.jpg</v>
      </c>
      <c r="W84" s="83">
        <v>44282.72950231482</v>
      </c>
      <c r="X84" s="88">
        <v>44282</v>
      </c>
      <c r="Y84" s="86" t="s">
        <v>377</v>
      </c>
      <c r="Z84" s="84" t="str">
        <f>HYPERLINK("https://twitter.com/jamesonvoss/status/1375862806323560459")</f>
        <v>https://twitter.com/jamesonvoss/status/1375862806323560459</v>
      </c>
      <c r="AA84" s="81"/>
      <c r="AB84" s="81"/>
      <c r="AC84" s="86" t="s">
        <v>435</v>
      </c>
      <c r="AD84" s="81"/>
      <c r="AE84" s="81" t="b">
        <v>0</v>
      </c>
      <c r="AF84" s="81">
        <v>0</v>
      </c>
      <c r="AG84" s="86" t="s">
        <v>462</v>
      </c>
      <c r="AH84" s="81" t="b">
        <v>0</v>
      </c>
      <c r="AI84" s="81" t="s">
        <v>467</v>
      </c>
      <c r="AJ84" s="81"/>
      <c r="AK84" s="86" t="s">
        <v>462</v>
      </c>
      <c r="AL84" s="81" t="b">
        <v>0</v>
      </c>
      <c r="AM84" s="81">
        <v>16</v>
      </c>
      <c r="AN84" s="86" t="s">
        <v>456</v>
      </c>
      <c r="AO84" s="86" t="s">
        <v>471</v>
      </c>
      <c r="AP84" s="81" t="b">
        <v>0</v>
      </c>
      <c r="AQ84" s="86" t="s">
        <v>456</v>
      </c>
      <c r="AR84" s="81"/>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6" t="s">
        <v>286</v>
      </c>
      <c r="B85" s="66" t="s">
        <v>300</v>
      </c>
      <c r="C85" s="67" t="s">
        <v>1216</v>
      </c>
      <c r="D85" s="68">
        <v>3</v>
      </c>
      <c r="E85" s="67" t="s">
        <v>132</v>
      </c>
      <c r="F85" s="70">
        <v>32</v>
      </c>
      <c r="G85" s="67"/>
      <c r="H85" s="71"/>
      <c r="I85" s="72"/>
      <c r="J85" s="72"/>
      <c r="K85" s="35" t="s">
        <v>65</v>
      </c>
      <c r="L85" s="73">
        <v>85</v>
      </c>
      <c r="M85" s="73"/>
      <c r="N85" s="74"/>
      <c r="O85" s="81" t="s">
        <v>315</v>
      </c>
      <c r="P85" s="83">
        <v>44282.72950231482</v>
      </c>
      <c r="Q85" s="81" t="s">
        <v>320</v>
      </c>
      <c r="R85" s="84" t="str">
        <f>HYPERLINK("https://www.bmj.com/content/372/bmj.n742?utm_source=twitter&amp;utm_medium=social&amp;utm_term=hootsuite&amp;utm_content=sme&amp;utm_campaign=usage")</f>
        <v>https://www.bmj.com/content/372/bmj.n742?utm_source=twitter&amp;utm_medium=social&amp;utm_term=hootsuite&amp;utm_content=sme&amp;utm_campaign=usage</v>
      </c>
      <c r="S85" s="81" t="s">
        <v>337</v>
      </c>
      <c r="T85" s="81"/>
      <c r="U85" s="81"/>
      <c r="V85" s="84" t="str">
        <f>HYPERLINK("https://pbs.twimg.com/profile_images/1208933177689067522/v68lF0zl_normal.jpg")</f>
        <v>https://pbs.twimg.com/profile_images/1208933177689067522/v68lF0zl_normal.jpg</v>
      </c>
      <c r="W85" s="83">
        <v>44282.72950231482</v>
      </c>
      <c r="X85" s="88">
        <v>44282</v>
      </c>
      <c r="Y85" s="86" t="s">
        <v>377</v>
      </c>
      <c r="Z85" s="84" t="str">
        <f>HYPERLINK("https://twitter.com/jamesonvoss/status/1375862806323560459")</f>
        <v>https://twitter.com/jamesonvoss/status/1375862806323560459</v>
      </c>
      <c r="AA85" s="81"/>
      <c r="AB85" s="81"/>
      <c r="AC85" s="86" t="s">
        <v>435</v>
      </c>
      <c r="AD85" s="81"/>
      <c r="AE85" s="81" t="b">
        <v>0</v>
      </c>
      <c r="AF85" s="81">
        <v>0</v>
      </c>
      <c r="AG85" s="86" t="s">
        <v>462</v>
      </c>
      <c r="AH85" s="81" t="b">
        <v>0</v>
      </c>
      <c r="AI85" s="81" t="s">
        <v>467</v>
      </c>
      <c r="AJ85" s="81"/>
      <c r="AK85" s="86" t="s">
        <v>462</v>
      </c>
      <c r="AL85" s="81" t="b">
        <v>0</v>
      </c>
      <c r="AM85" s="81">
        <v>16</v>
      </c>
      <c r="AN85" s="86" t="s">
        <v>456</v>
      </c>
      <c r="AO85" s="86" t="s">
        <v>471</v>
      </c>
      <c r="AP85" s="81" t="b">
        <v>0</v>
      </c>
      <c r="AQ85" s="86" t="s">
        <v>456</v>
      </c>
      <c r="AR85" s="81"/>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2</v>
      </c>
      <c r="BF85" s="49">
        <v>1</v>
      </c>
      <c r="BG85" s="50">
        <v>2.7777777777777777</v>
      </c>
      <c r="BH85" s="49">
        <v>1</v>
      </c>
      <c r="BI85" s="50">
        <v>2.7777777777777777</v>
      </c>
      <c r="BJ85" s="49">
        <v>0</v>
      </c>
      <c r="BK85" s="50">
        <v>0</v>
      </c>
      <c r="BL85" s="49">
        <v>34</v>
      </c>
      <c r="BM85" s="50">
        <v>94.44444444444444</v>
      </c>
      <c r="BN85" s="49">
        <v>36</v>
      </c>
    </row>
    <row r="86" spans="1:66" ht="15">
      <c r="A86" s="66" t="s">
        <v>287</v>
      </c>
      <c r="B86" s="66" t="s">
        <v>298</v>
      </c>
      <c r="C86" s="67" t="s">
        <v>1217</v>
      </c>
      <c r="D86" s="68">
        <v>3</v>
      </c>
      <c r="E86" s="67" t="s">
        <v>136</v>
      </c>
      <c r="F86" s="70">
        <v>19</v>
      </c>
      <c r="G86" s="67"/>
      <c r="H86" s="71"/>
      <c r="I86" s="72"/>
      <c r="J86" s="72"/>
      <c r="K86" s="35" t="s">
        <v>65</v>
      </c>
      <c r="L86" s="73">
        <v>86</v>
      </c>
      <c r="M86" s="73"/>
      <c r="N86" s="74"/>
      <c r="O86" s="81" t="s">
        <v>315</v>
      </c>
      <c r="P86" s="83">
        <v>44284.96884259259</v>
      </c>
      <c r="Q86" s="81" t="s">
        <v>331</v>
      </c>
      <c r="R86" s="84" t="str">
        <f>HYPERLINK("https://www.bmj.com/content/372/bmj.n742")</f>
        <v>https://www.bmj.com/content/372/bmj.n742</v>
      </c>
      <c r="S86" s="81" t="s">
        <v>337</v>
      </c>
      <c r="T86" s="86" t="s">
        <v>341</v>
      </c>
      <c r="U86" s="84" t="str">
        <f>HYPERLINK("https://pbs.twimg.com/media/Exrt-L8WUAAuswf.png")</f>
        <v>https://pbs.twimg.com/media/Exrt-L8WUAAuswf.png</v>
      </c>
      <c r="V86" s="84" t="str">
        <f>HYPERLINK("https://pbs.twimg.com/media/Exrt-L8WUAAuswf.png")</f>
        <v>https://pbs.twimg.com/media/Exrt-L8WUAAuswf.png</v>
      </c>
      <c r="W86" s="83">
        <v>44284.96884259259</v>
      </c>
      <c r="X86" s="88">
        <v>44284</v>
      </c>
      <c r="Y86" s="86" t="s">
        <v>378</v>
      </c>
      <c r="Z86" s="84" t="str">
        <f>HYPERLINK("https://twitter.com/b0tsci/status/1376674314771173379")</f>
        <v>https://twitter.com/b0tsci/status/1376674314771173379</v>
      </c>
      <c r="AA86" s="81"/>
      <c r="AB86" s="81"/>
      <c r="AC86" s="86" t="s">
        <v>436</v>
      </c>
      <c r="AD86" s="81"/>
      <c r="AE86" s="81" t="b">
        <v>0</v>
      </c>
      <c r="AF86" s="81">
        <v>0</v>
      </c>
      <c r="AG86" s="86" t="s">
        <v>462</v>
      </c>
      <c r="AH86" s="81" t="b">
        <v>0</v>
      </c>
      <c r="AI86" s="81" t="s">
        <v>467</v>
      </c>
      <c r="AJ86" s="81"/>
      <c r="AK86" s="86" t="s">
        <v>462</v>
      </c>
      <c r="AL86" s="81" t="b">
        <v>0</v>
      </c>
      <c r="AM86" s="81">
        <v>1</v>
      </c>
      <c r="AN86" s="86" t="s">
        <v>452</v>
      </c>
      <c r="AO86" s="81"/>
      <c r="AP86" s="81" t="b">
        <v>0</v>
      </c>
      <c r="AQ86" s="86" t="s">
        <v>452</v>
      </c>
      <c r="AR86" s="81"/>
      <c r="AS86" s="81">
        <v>0</v>
      </c>
      <c r="AT86" s="81">
        <v>0</v>
      </c>
      <c r="AU86" s="81"/>
      <c r="AV86" s="81"/>
      <c r="AW86" s="81"/>
      <c r="AX86" s="81"/>
      <c r="AY86" s="81"/>
      <c r="AZ86" s="81"/>
      <c r="BA86" s="81"/>
      <c r="BB86" s="81"/>
      <c r="BC86">
        <v>2</v>
      </c>
      <c r="BD86" s="80" t="str">
        <f>REPLACE(INDEX(GroupVertices[Group],MATCH(Edges[[#This Row],[Vertex 1]],GroupVertices[Vertex],0)),1,1,"")</f>
        <v>8</v>
      </c>
      <c r="BE86" s="80" t="str">
        <f>REPLACE(INDEX(GroupVertices[Group],MATCH(Edges[[#This Row],[Vertex 2]],GroupVertices[Vertex],0)),1,1,"")</f>
        <v>8</v>
      </c>
      <c r="BF86" s="49">
        <v>0</v>
      </c>
      <c r="BG86" s="50">
        <v>0</v>
      </c>
      <c r="BH86" s="49">
        <v>1</v>
      </c>
      <c r="BI86" s="50">
        <v>10</v>
      </c>
      <c r="BJ86" s="49">
        <v>0</v>
      </c>
      <c r="BK86" s="50">
        <v>0</v>
      </c>
      <c r="BL86" s="49">
        <v>9</v>
      </c>
      <c r="BM86" s="50">
        <v>90</v>
      </c>
      <c r="BN86" s="49">
        <v>10</v>
      </c>
    </row>
    <row r="87" spans="1:66" ht="15">
      <c r="A87" s="66" t="s">
        <v>287</v>
      </c>
      <c r="B87" s="66" t="s">
        <v>298</v>
      </c>
      <c r="C87" s="67" t="s">
        <v>1217</v>
      </c>
      <c r="D87" s="68">
        <v>3</v>
      </c>
      <c r="E87" s="67" t="s">
        <v>136</v>
      </c>
      <c r="F87" s="70">
        <v>19</v>
      </c>
      <c r="G87" s="67"/>
      <c r="H87" s="71"/>
      <c r="I87" s="72"/>
      <c r="J87" s="72"/>
      <c r="K87" s="35" t="s">
        <v>65</v>
      </c>
      <c r="L87" s="73">
        <v>87</v>
      </c>
      <c r="M87" s="73"/>
      <c r="N87" s="74"/>
      <c r="O87" s="81" t="s">
        <v>315</v>
      </c>
      <c r="P87" s="83">
        <v>44288.06259259259</v>
      </c>
      <c r="Q87" s="81" t="s">
        <v>332</v>
      </c>
      <c r="R87" s="84" t="str">
        <f>HYPERLINK("https://www.bmj.com/content/372/bmj.n742")</f>
        <v>https://www.bmj.com/content/372/bmj.n742</v>
      </c>
      <c r="S87" s="81" t="s">
        <v>337</v>
      </c>
      <c r="T87" s="86" t="s">
        <v>341</v>
      </c>
      <c r="U87" s="84" t="str">
        <f>HYPERLINK("https://pbs.twimg.com/media/Ex7pozjWEAAqwdN.png")</f>
        <v>https://pbs.twimg.com/media/Ex7pozjWEAAqwdN.png</v>
      </c>
      <c r="V87" s="84" t="str">
        <f>HYPERLINK("https://pbs.twimg.com/media/Ex7pozjWEAAqwdN.png")</f>
        <v>https://pbs.twimg.com/media/Ex7pozjWEAAqwdN.png</v>
      </c>
      <c r="W87" s="83">
        <v>44288.06259259259</v>
      </c>
      <c r="X87" s="88">
        <v>44288</v>
      </c>
      <c r="Y87" s="86" t="s">
        <v>379</v>
      </c>
      <c r="Z87" s="84" t="str">
        <f>HYPERLINK("https://twitter.com/b0tsci/status/1377795449659273218")</f>
        <v>https://twitter.com/b0tsci/status/1377795449659273218</v>
      </c>
      <c r="AA87" s="81"/>
      <c r="AB87" s="81"/>
      <c r="AC87" s="86" t="s">
        <v>437</v>
      </c>
      <c r="AD87" s="81"/>
      <c r="AE87" s="81" t="b">
        <v>0</v>
      </c>
      <c r="AF87" s="81">
        <v>0</v>
      </c>
      <c r="AG87" s="86" t="s">
        <v>462</v>
      </c>
      <c r="AH87" s="81" t="b">
        <v>0</v>
      </c>
      <c r="AI87" s="81" t="s">
        <v>467</v>
      </c>
      <c r="AJ87" s="81"/>
      <c r="AK87" s="86" t="s">
        <v>462</v>
      </c>
      <c r="AL87" s="81" t="b">
        <v>0</v>
      </c>
      <c r="AM87" s="81">
        <v>2</v>
      </c>
      <c r="AN87" s="86" t="s">
        <v>451</v>
      </c>
      <c r="AO87" s="81"/>
      <c r="AP87" s="81" t="b">
        <v>0</v>
      </c>
      <c r="AQ87" s="86" t="s">
        <v>451</v>
      </c>
      <c r="AR87" s="81"/>
      <c r="AS87" s="81">
        <v>0</v>
      </c>
      <c r="AT87" s="81">
        <v>0</v>
      </c>
      <c r="AU87" s="81"/>
      <c r="AV87" s="81"/>
      <c r="AW87" s="81"/>
      <c r="AX87" s="81"/>
      <c r="AY87" s="81"/>
      <c r="AZ87" s="81"/>
      <c r="BA87" s="81"/>
      <c r="BB87" s="81"/>
      <c r="BC87">
        <v>2</v>
      </c>
      <c r="BD87" s="80" t="str">
        <f>REPLACE(INDEX(GroupVertices[Group],MATCH(Edges[[#This Row],[Vertex 1]],GroupVertices[Vertex],0)),1,1,"")</f>
        <v>8</v>
      </c>
      <c r="BE87" s="80" t="str">
        <f>REPLACE(INDEX(GroupVertices[Group],MATCH(Edges[[#This Row],[Vertex 2]],GroupVertices[Vertex],0)),1,1,"")</f>
        <v>8</v>
      </c>
      <c r="BF87" s="49">
        <v>0</v>
      </c>
      <c r="BG87" s="50">
        <v>0</v>
      </c>
      <c r="BH87" s="49">
        <v>1</v>
      </c>
      <c r="BI87" s="50">
        <v>10</v>
      </c>
      <c r="BJ87" s="49">
        <v>0</v>
      </c>
      <c r="BK87" s="50">
        <v>0</v>
      </c>
      <c r="BL87" s="49">
        <v>9</v>
      </c>
      <c r="BM87" s="50">
        <v>90</v>
      </c>
      <c r="BN87" s="49">
        <v>10</v>
      </c>
    </row>
    <row r="88" spans="1:66" ht="15">
      <c r="A88" s="66" t="s">
        <v>288</v>
      </c>
      <c r="B88" s="66" t="s">
        <v>289</v>
      </c>
      <c r="C88" s="67" t="s">
        <v>1216</v>
      </c>
      <c r="D88" s="68">
        <v>3</v>
      </c>
      <c r="E88" s="67" t="s">
        <v>132</v>
      </c>
      <c r="F88" s="70">
        <v>32</v>
      </c>
      <c r="G88" s="67"/>
      <c r="H88" s="71"/>
      <c r="I88" s="72"/>
      <c r="J88" s="72"/>
      <c r="K88" s="35" t="s">
        <v>66</v>
      </c>
      <c r="L88" s="73">
        <v>88</v>
      </c>
      <c r="M88" s="73"/>
      <c r="N88" s="74"/>
      <c r="O88" s="81" t="s">
        <v>316</v>
      </c>
      <c r="P88" s="83">
        <v>44288.68814814815</v>
      </c>
      <c r="Q88" s="81" t="s">
        <v>319</v>
      </c>
      <c r="R88" s="84" t="str">
        <f>HYPERLINK("https://www.bmj.com/content/372/bmj.n742")</f>
        <v>https://www.bmj.com/content/372/bmj.n742</v>
      </c>
      <c r="S88" s="81" t="s">
        <v>337</v>
      </c>
      <c r="T88" s="86" t="s">
        <v>339</v>
      </c>
      <c r="U88" s="81"/>
      <c r="V88" s="84" t="str">
        <f>HYPERLINK("https://pbs.twimg.com/profile_images/1229896041064845313/fQd8tE8e_normal.jpg")</f>
        <v>https://pbs.twimg.com/profile_images/1229896041064845313/fQd8tE8e_normal.jpg</v>
      </c>
      <c r="W88" s="83">
        <v>44288.68814814815</v>
      </c>
      <c r="X88" s="88">
        <v>44288</v>
      </c>
      <c r="Y88" s="86" t="s">
        <v>380</v>
      </c>
      <c r="Z88" s="84" t="str">
        <f>HYPERLINK("https://twitter.com/caulfieldtim/status/1378022146039943171")</f>
        <v>https://twitter.com/caulfieldtim/status/1378022146039943171</v>
      </c>
      <c r="AA88" s="81"/>
      <c r="AB88" s="81"/>
      <c r="AC88" s="86" t="s">
        <v>438</v>
      </c>
      <c r="AD88" s="81"/>
      <c r="AE88" s="81" t="b">
        <v>0</v>
      </c>
      <c r="AF88" s="81">
        <v>13</v>
      </c>
      <c r="AG88" s="86" t="s">
        <v>462</v>
      </c>
      <c r="AH88" s="81" t="b">
        <v>0</v>
      </c>
      <c r="AI88" s="81" t="s">
        <v>467</v>
      </c>
      <c r="AJ88" s="81"/>
      <c r="AK88" s="86" t="s">
        <v>462</v>
      </c>
      <c r="AL88" s="81" t="b">
        <v>0</v>
      </c>
      <c r="AM88" s="81">
        <v>7</v>
      </c>
      <c r="AN88" s="86" t="s">
        <v>462</v>
      </c>
      <c r="AO88" s="86" t="s">
        <v>471</v>
      </c>
      <c r="AP88" s="81" t="b">
        <v>0</v>
      </c>
      <c r="AQ88" s="86" t="s">
        <v>438</v>
      </c>
      <c r="AR88" s="81"/>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v>1</v>
      </c>
      <c r="BG88" s="50">
        <v>2.9411764705882355</v>
      </c>
      <c r="BH88" s="49">
        <v>1</v>
      </c>
      <c r="BI88" s="50">
        <v>2.9411764705882355</v>
      </c>
      <c r="BJ88" s="49">
        <v>0</v>
      </c>
      <c r="BK88" s="50">
        <v>0</v>
      </c>
      <c r="BL88" s="49">
        <v>32</v>
      </c>
      <c r="BM88" s="50">
        <v>94.11764705882354</v>
      </c>
      <c r="BN88" s="49">
        <v>34</v>
      </c>
    </row>
    <row r="89" spans="1:66" ht="15">
      <c r="A89" s="66" t="s">
        <v>289</v>
      </c>
      <c r="B89" s="66" t="s">
        <v>288</v>
      </c>
      <c r="C89" s="67" t="s">
        <v>1216</v>
      </c>
      <c r="D89" s="68">
        <v>3</v>
      </c>
      <c r="E89" s="67" t="s">
        <v>132</v>
      </c>
      <c r="F89" s="70">
        <v>32</v>
      </c>
      <c r="G89" s="67"/>
      <c r="H89" s="71"/>
      <c r="I89" s="72"/>
      <c r="J89" s="72"/>
      <c r="K89" s="35" t="s">
        <v>66</v>
      </c>
      <c r="L89" s="73">
        <v>89</v>
      </c>
      <c r="M89" s="73"/>
      <c r="N89" s="74"/>
      <c r="O89" s="81" t="s">
        <v>315</v>
      </c>
      <c r="P89" s="83">
        <v>44289.52862268518</v>
      </c>
      <c r="Q89" s="81" t="s">
        <v>319</v>
      </c>
      <c r="R89" s="84" t="str">
        <f>HYPERLINK("https://www.bmj.com/content/372/bmj.n742")</f>
        <v>https://www.bmj.com/content/372/bmj.n742</v>
      </c>
      <c r="S89" s="81" t="s">
        <v>337</v>
      </c>
      <c r="T89" s="86" t="s">
        <v>339</v>
      </c>
      <c r="U89" s="81"/>
      <c r="V89" s="84" t="str">
        <f>HYPERLINK("https://pbs.twimg.com/profile_images/1112065617438355458/Kl1aYTIX_normal.jpg")</f>
        <v>https://pbs.twimg.com/profile_images/1112065617438355458/Kl1aYTIX_normal.jpg</v>
      </c>
      <c r="W89" s="83">
        <v>44289.52862268518</v>
      </c>
      <c r="X89" s="88">
        <v>44289</v>
      </c>
      <c r="Y89" s="86" t="s">
        <v>381</v>
      </c>
      <c r="Z89" s="84" t="str">
        <f>HYPERLINK("https://twitter.com/apsmunro/status/1378326723826188291")</f>
        <v>https://twitter.com/apsmunro/status/1378326723826188291</v>
      </c>
      <c r="AA89" s="81"/>
      <c r="AB89" s="81"/>
      <c r="AC89" s="86" t="s">
        <v>439</v>
      </c>
      <c r="AD89" s="81"/>
      <c r="AE89" s="81" t="b">
        <v>0</v>
      </c>
      <c r="AF89" s="81">
        <v>0</v>
      </c>
      <c r="AG89" s="86" t="s">
        <v>462</v>
      </c>
      <c r="AH89" s="81" t="b">
        <v>0</v>
      </c>
      <c r="AI89" s="81" t="s">
        <v>467</v>
      </c>
      <c r="AJ89" s="81"/>
      <c r="AK89" s="86" t="s">
        <v>462</v>
      </c>
      <c r="AL89" s="81" t="b">
        <v>0</v>
      </c>
      <c r="AM89" s="81">
        <v>7</v>
      </c>
      <c r="AN89" s="86" t="s">
        <v>438</v>
      </c>
      <c r="AO89" s="86" t="s">
        <v>471</v>
      </c>
      <c r="AP89" s="81" t="b">
        <v>0</v>
      </c>
      <c r="AQ89" s="86" t="s">
        <v>438</v>
      </c>
      <c r="AR89" s="81"/>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v>1</v>
      </c>
      <c r="BG89" s="50">
        <v>2.9411764705882355</v>
      </c>
      <c r="BH89" s="49">
        <v>1</v>
      </c>
      <c r="BI89" s="50">
        <v>2.9411764705882355</v>
      </c>
      <c r="BJ89" s="49">
        <v>0</v>
      </c>
      <c r="BK89" s="50">
        <v>0</v>
      </c>
      <c r="BL89" s="49">
        <v>32</v>
      </c>
      <c r="BM89" s="50">
        <v>94.11764705882354</v>
      </c>
      <c r="BN89" s="49">
        <v>34</v>
      </c>
    </row>
    <row r="90" spans="1:66" ht="15">
      <c r="A90" s="66" t="s">
        <v>290</v>
      </c>
      <c r="B90" s="66" t="s">
        <v>300</v>
      </c>
      <c r="C90" s="67" t="s">
        <v>1216</v>
      </c>
      <c r="D90" s="68">
        <v>3</v>
      </c>
      <c r="E90" s="67" t="s">
        <v>132</v>
      </c>
      <c r="F90" s="70">
        <v>32</v>
      </c>
      <c r="G90" s="67"/>
      <c r="H90" s="71"/>
      <c r="I90" s="72"/>
      <c r="J90" s="72"/>
      <c r="K90" s="35" t="s">
        <v>65</v>
      </c>
      <c r="L90" s="73">
        <v>90</v>
      </c>
      <c r="M90" s="73"/>
      <c r="N90" s="74"/>
      <c r="O90" s="81" t="s">
        <v>316</v>
      </c>
      <c r="P90" s="83">
        <v>44290.75177083333</v>
      </c>
      <c r="Q90" s="81" t="s">
        <v>318</v>
      </c>
      <c r="R90" s="84" t="str">
        <f>HYPERLINK("https://www.bmj.com/content/372/bmj.n742")</f>
        <v>https://www.bmj.com/content/372/bmj.n742</v>
      </c>
      <c r="S90" s="81" t="s">
        <v>337</v>
      </c>
      <c r="T90" s="81"/>
      <c r="U90" s="81"/>
      <c r="V90" s="84" t="str">
        <f>HYPERLINK("https://pbs.twimg.com/profile_images/1368649481000992772/wv7dIPgZ_normal.jpg")</f>
        <v>https://pbs.twimg.com/profile_images/1368649481000992772/wv7dIPgZ_normal.jpg</v>
      </c>
      <c r="W90" s="83">
        <v>44290.75177083333</v>
      </c>
      <c r="X90" s="88">
        <v>44290</v>
      </c>
      <c r="Y90" s="86" t="s">
        <v>382</v>
      </c>
      <c r="Z90" s="84" t="str">
        <f>HYPERLINK("https://twitter.com/gmacscotland/status/1378769975767400448")</f>
        <v>https://twitter.com/gmacscotland/status/1378769975767400448</v>
      </c>
      <c r="AA90" s="81"/>
      <c r="AB90" s="81"/>
      <c r="AC90" s="86" t="s">
        <v>440</v>
      </c>
      <c r="AD90" s="81"/>
      <c r="AE90" s="81" t="b">
        <v>0</v>
      </c>
      <c r="AF90" s="81">
        <v>18</v>
      </c>
      <c r="AG90" s="86" t="s">
        <v>462</v>
      </c>
      <c r="AH90" s="81" t="b">
        <v>0</v>
      </c>
      <c r="AI90" s="81" t="s">
        <v>467</v>
      </c>
      <c r="AJ90" s="81"/>
      <c r="AK90" s="86" t="s">
        <v>462</v>
      </c>
      <c r="AL90" s="81" t="b">
        <v>0</v>
      </c>
      <c r="AM90" s="81">
        <v>7</v>
      </c>
      <c r="AN90" s="86" t="s">
        <v>462</v>
      </c>
      <c r="AO90" s="86" t="s">
        <v>471</v>
      </c>
      <c r="AP90" s="81" t="b">
        <v>0</v>
      </c>
      <c r="AQ90" s="86" t="s">
        <v>440</v>
      </c>
      <c r="AR90" s="81"/>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9"/>
      <c r="BG90" s="50"/>
      <c r="BH90" s="49"/>
      <c r="BI90" s="50"/>
      <c r="BJ90" s="49"/>
      <c r="BK90" s="50"/>
      <c r="BL90" s="49"/>
      <c r="BM90" s="50"/>
      <c r="BN90" s="49"/>
    </row>
    <row r="91" spans="1:66" ht="15">
      <c r="A91" s="66" t="s">
        <v>290</v>
      </c>
      <c r="B91" s="66" t="s">
        <v>289</v>
      </c>
      <c r="C91" s="67" t="s">
        <v>1216</v>
      </c>
      <c r="D91" s="68">
        <v>3</v>
      </c>
      <c r="E91" s="67" t="s">
        <v>132</v>
      </c>
      <c r="F91" s="70">
        <v>32</v>
      </c>
      <c r="G91" s="67"/>
      <c r="H91" s="71"/>
      <c r="I91" s="72"/>
      <c r="J91" s="72"/>
      <c r="K91" s="35" t="s">
        <v>66</v>
      </c>
      <c r="L91" s="73">
        <v>91</v>
      </c>
      <c r="M91" s="73"/>
      <c r="N91" s="74"/>
      <c r="O91" s="81" t="s">
        <v>316</v>
      </c>
      <c r="P91" s="83">
        <v>44290.75177083333</v>
      </c>
      <c r="Q91" s="81" t="s">
        <v>318</v>
      </c>
      <c r="R91" s="84" t="str">
        <f>HYPERLINK("https://www.bmj.com/content/372/bmj.n742")</f>
        <v>https://www.bmj.com/content/372/bmj.n742</v>
      </c>
      <c r="S91" s="81" t="s">
        <v>337</v>
      </c>
      <c r="T91" s="81"/>
      <c r="U91" s="81"/>
      <c r="V91" s="84" t="str">
        <f>HYPERLINK("https://pbs.twimg.com/profile_images/1368649481000992772/wv7dIPgZ_normal.jpg")</f>
        <v>https://pbs.twimg.com/profile_images/1368649481000992772/wv7dIPgZ_normal.jpg</v>
      </c>
      <c r="W91" s="83">
        <v>44290.75177083333</v>
      </c>
      <c r="X91" s="88">
        <v>44290</v>
      </c>
      <c r="Y91" s="86" t="s">
        <v>382</v>
      </c>
      <c r="Z91" s="84" t="str">
        <f>HYPERLINK("https://twitter.com/gmacscotland/status/1378769975767400448")</f>
        <v>https://twitter.com/gmacscotland/status/1378769975767400448</v>
      </c>
      <c r="AA91" s="81"/>
      <c r="AB91" s="81"/>
      <c r="AC91" s="86" t="s">
        <v>440</v>
      </c>
      <c r="AD91" s="81"/>
      <c r="AE91" s="81" t="b">
        <v>0</v>
      </c>
      <c r="AF91" s="81">
        <v>18</v>
      </c>
      <c r="AG91" s="86" t="s">
        <v>462</v>
      </c>
      <c r="AH91" s="81" t="b">
        <v>0</v>
      </c>
      <c r="AI91" s="81" t="s">
        <v>467</v>
      </c>
      <c r="AJ91" s="81"/>
      <c r="AK91" s="86" t="s">
        <v>462</v>
      </c>
      <c r="AL91" s="81" t="b">
        <v>0</v>
      </c>
      <c r="AM91" s="81">
        <v>7</v>
      </c>
      <c r="AN91" s="86" t="s">
        <v>462</v>
      </c>
      <c r="AO91" s="86" t="s">
        <v>471</v>
      </c>
      <c r="AP91" s="81" t="b">
        <v>0</v>
      </c>
      <c r="AQ91" s="86" t="s">
        <v>440</v>
      </c>
      <c r="AR91" s="81"/>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1</v>
      </c>
      <c r="BF91" s="49">
        <v>2</v>
      </c>
      <c r="BG91" s="50">
        <v>5</v>
      </c>
      <c r="BH91" s="49">
        <v>0</v>
      </c>
      <c r="BI91" s="50">
        <v>0</v>
      </c>
      <c r="BJ91" s="49">
        <v>0</v>
      </c>
      <c r="BK91" s="50">
        <v>0</v>
      </c>
      <c r="BL91" s="49">
        <v>38</v>
      </c>
      <c r="BM91" s="50">
        <v>95</v>
      </c>
      <c r="BN91" s="49">
        <v>40</v>
      </c>
    </row>
    <row r="92" spans="1:66" ht="15">
      <c r="A92" s="66" t="s">
        <v>289</v>
      </c>
      <c r="B92" s="66" t="s">
        <v>290</v>
      </c>
      <c r="C92" s="67" t="s">
        <v>1216</v>
      </c>
      <c r="D92" s="68">
        <v>3</v>
      </c>
      <c r="E92" s="67" t="s">
        <v>132</v>
      </c>
      <c r="F92" s="70">
        <v>32</v>
      </c>
      <c r="G92" s="67"/>
      <c r="H92" s="71"/>
      <c r="I92" s="72"/>
      <c r="J92" s="72"/>
      <c r="K92" s="35" t="s">
        <v>66</v>
      </c>
      <c r="L92" s="73">
        <v>92</v>
      </c>
      <c r="M92" s="73"/>
      <c r="N92" s="74"/>
      <c r="O92" s="81" t="s">
        <v>315</v>
      </c>
      <c r="P92" s="83">
        <v>44290.76912037037</v>
      </c>
      <c r="Q92" s="81" t="s">
        <v>318</v>
      </c>
      <c r="R92" s="84" t="str">
        <f>HYPERLINK("https://www.bmj.com/content/372/bmj.n742")</f>
        <v>https://www.bmj.com/content/372/bmj.n742</v>
      </c>
      <c r="S92" s="81" t="s">
        <v>337</v>
      </c>
      <c r="T92" s="81"/>
      <c r="U92" s="81"/>
      <c r="V92" s="84" t="str">
        <f>HYPERLINK("https://pbs.twimg.com/profile_images/1112065617438355458/Kl1aYTIX_normal.jpg")</f>
        <v>https://pbs.twimg.com/profile_images/1112065617438355458/Kl1aYTIX_normal.jpg</v>
      </c>
      <c r="W92" s="83">
        <v>44290.76912037037</v>
      </c>
      <c r="X92" s="88">
        <v>44290</v>
      </c>
      <c r="Y92" s="86" t="s">
        <v>383</v>
      </c>
      <c r="Z92" s="84" t="str">
        <f>HYPERLINK("https://twitter.com/apsmunro/status/1378776265457557506")</f>
        <v>https://twitter.com/apsmunro/status/1378776265457557506</v>
      </c>
      <c r="AA92" s="81"/>
      <c r="AB92" s="81"/>
      <c r="AC92" s="86" t="s">
        <v>441</v>
      </c>
      <c r="AD92" s="81"/>
      <c r="AE92" s="81" t="b">
        <v>0</v>
      </c>
      <c r="AF92" s="81">
        <v>0</v>
      </c>
      <c r="AG92" s="86" t="s">
        <v>462</v>
      </c>
      <c r="AH92" s="81" t="b">
        <v>0</v>
      </c>
      <c r="AI92" s="81" t="s">
        <v>467</v>
      </c>
      <c r="AJ92" s="81"/>
      <c r="AK92" s="86" t="s">
        <v>462</v>
      </c>
      <c r="AL92" s="81" t="b">
        <v>0</v>
      </c>
      <c r="AM92" s="81">
        <v>7</v>
      </c>
      <c r="AN92" s="86" t="s">
        <v>440</v>
      </c>
      <c r="AO92" s="86" t="s">
        <v>471</v>
      </c>
      <c r="AP92" s="81" t="b">
        <v>0</v>
      </c>
      <c r="AQ92" s="86" t="s">
        <v>440</v>
      </c>
      <c r="AR92" s="81"/>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2</v>
      </c>
      <c r="BF92" s="49">
        <v>2</v>
      </c>
      <c r="BG92" s="50">
        <v>5</v>
      </c>
      <c r="BH92" s="49">
        <v>0</v>
      </c>
      <c r="BI92" s="50">
        <v>0</v>
      </c>
      <c r="BJ92" s="49">
        <v>0</v>
      </c>
      <c r="BK92" s="50">
        <v>0</v>
      </c>
      <c r="BL92" s="49">
        <v>38</v>
      </c>
      <c r="BM92" s="50">
        <v>95</v>
      </c>
      <c r="BN92" s="49">
        <v>40</v>
      </c>
    </row>
    <row r="93" spans="1:66" ht="15">
      <c r="A93" s="66" t="s">
        <v>291</v>
      </c>
      <c r="B93" s="66" t="s">
        <v>307</v>
      </c>
      <c r="C93" s="67" t="s">
        <v>1216</v>
      </c>
      <c r="D93" s="68">
        <v>3</v>
      </c>
      <c r="E93" s="67" t="s">
        <v>132</v>
      </c>
      <c r="F93" s="70">
        <v>32</v>
      </c>
      <c r="G93" s="67"/>
      <c r="H93" s="71"/>
      <c r="I93" s="72"/>
      <c r="J93" s="72"/>
      <c r="K93" s="35" t="s">
        <v>65</v>
      </c>
      <c r="L93" s="73">
        <v>93</v>
      </c>
      <c r="M93" s="73"/>
      <c r="N93" s="74"/>
      <c r="O93" s="81" t="s">
        <v>317</v>
      </c>
      <c r="P93" s="83">
        <v>44284.67453703703</v>
      </c>
      <c r="Q93" s="81" t="s">
        <v>327</v>
      </c>
      <c r="R93" s="84" t="str">
        <f>HYPERLINK("https://www.bmj.com/content/372/bmj.n742")</f>
        <v>https://www.bmj.com/content/372/bmj.n742</v>
      </c>
      <c r="S93" s="81" t="s">
        <v>337</v>
      </c>
      <c r="T93" s="81"/>
      <c r="U93" s="84" t="str">
        <f>HYPERLINK("https://pbs.twimg.com/media/ExqM_b7XIAspf5d.jpg")</f>
        <v>https://pbs.twimg.com/media/ExqM_b7XIAspf5d.jpg</v>
      </c>
      <c r="V93" s="84" t="str">
        <f>HYPERLINK("https://pbs.twimg.com/media/ExqM_b7XIAspf5d.jpg")</f>
        <v>https://pbs.twimg.com/media/ExqM_b7XIAspf5d.jpg</v>
      </c>
      <c r="W93" s="83">
        <v>44284.67453703703</v>
      </c>
      <c r="X93" s="88">
        <v>44284</v>
      </c>
      <c r="Y93" s="86" t="s">
        <v>384</v>
      </c>
      <c r="Z93" s="84" t="str">
        <f>HYPERLINK("https://twitter.com/jschmukler/status/1376567660490674176")</f>
        <v>https://twitter.com/jschmukler/status/1376567660490674176</v>
      </c>
      <c r="AA93" s="81"/>
      <c r="AB93" s="81"/>
      <c r="AC93" s="86" t="s">
        <v>442</v>
      </c>
      <c r="AD93" s="81"/>
      <c r="AE93" s="81" t="b">
        <v>0</v>
      </c>
      <c r="AF93" s="81">
        <v>7</v>
      </c>
      <c r="AG93" s="86" t="s">
        <v>465</v>
      </c>
      <c r="AH93" s="81" t="b">
        <v>0</v>
      </c>
      <c r="AI93" s="81" t="s">
        <v>469</v>
      </c>
      <c r="AJ93" s="81"/>
      <c r="AK93" s="86" t="s">
        <v>462</v>
      </c>
      <c r="AL93" s="81" t="b">
        <v>0</v>
      </c>
      <c r="AM93" s="81">
        <v>1</v>
      </c>
      <c r="AN93" s="86" t="s">
        <v>462</v>
      </c>
      <c r="AO93" s="86" t="s">
        <v>470</v>
      </c>
      <c r="AP93" s="81" t="b">
        <v>0</v>
      </c>
      <c r="AQ93" s="86" t="s">
        <v>442</v>
      </c>
      <c r="AR93" s="81"/>
      <c r="AS93" s="81">
        <v>0</v>
      </c>
      <c r="AT93" s="81">
        <v>0</v>
      </c>
      <c r="AU93" s="81"/>
      <c r="AV93" s="81"/>
      <c r="AW93" s="81"/>
      <c r="AX93" s="81"/>
      <c r="AY93" s="81"/>
      <c r="AZ93" s="81"/>
      <c r="BA93" s="81"/>
      <c r="BB93" s="81"/>
      <c r="BC93">
        <v>1</v>
      </c>
      <c r="BD93" s="80" t="str">
        <f>REPLACE(INDEX(GroupVertices[Group],MATCH(Edges[[#This Row],[Vertex 1]],GroupVertices[Vertex],0)),1,1,"")</f>
        <v>6</v>
      </c>
      <c r="BE93" s="80" t="str">
        <f>REPLACE(INDEX(GroupVertices[Group],MATCH(Edges[[#This Row],[Vertex 2]],GroupVertices[Vertex],0)),1,1,"")</f>
        <v>6</v>
      </c>
      <c r="BF93" s="49">
        <v>0</v>
      </c>
      <c r="BG93" s="50">
        <v>0</v>
      </c>
      <c r="BH93" s="49">
        <v>0</v>
      </c>
      <c r="BI93" s="50">
        <v>0</v>
      </c>
      <c r="BJ93" s="49">
        <v>0</v>
      </c>
      <c r="BK93" s="50">
        <v>0</v>
      </c>
      <c r="BL93" s="49">
        <v>30</v>
      </c>
      <c r="BM93" s="50">
        <v>100</v>
      </c>
      <c r="BN93" s="49">
        <v>30</v>
      </c>
    </row>
    <row r="94" spans="1:66" ht="15">
      <c r="A94" s="66" t="s">
        <v>291</v>
      </c>
      <c r="B94" s="66" t="s">
        <v>307</v>
      </c>
      <c r="C94" s="67" t="s">
        <v>1216</v>
      </c>
      <c r="D94" s="68">
        <v>3</v>
      </c>
      <c r="E94" s="67" t="s">
        <v>132</v>
      </c>
      <c r="F94" s="70">
        <v>32</v>
      </c>
      <c r="G94" s="67"/>
      <c r="H94" s="71"/>
      <c r="I94" s="72"/>
      <c r="J94" s="72"/>
      <c r="K94" s="35" t="s">
        <v>65</v>
      </c>
      <c r="L94" s="73">
        <v>94</v>
      </c>
      <c r="M94" s="73"/>
      <c r="N94" s="74"/>
      <c r="O94" s="81" t="s">
        <v>316</v>
      </c>
      <c r="P94" s="83">
        <v>44284.742256944446</v>
      </c>
      <c r="Q94" s="81" t="s">
        <v>333</v>
      </c>
      <c r="R94" s="84" t="str">
        <f>HYPERLINK("https://www.bmj.com/content/372/bmj.n742")</f>
        <v>https://www.bmj.com/content/372/bmj.n742</v>
      </c>
      <c r="S94" s="81" t="s">
        <v>337</v>
      </c>
      <c r="T94" s="81"/>
      <c r="U94" s="81"/>
      <c r="V94" s="84" t="str">
        <f>HYPERLINK("https://pbs.twimg.com/profile_images/1278852771274514434/Py0ZTxME_normal.jpg")</f>
        <v>https://pbs.twimg.com/profile_images/1278852771274514434/Py0ZTxME_normal.jpg</v>
      </c>
      <c r="W94" s="83">
        <v>44284.742256944446</v>
      </c>
      <c r="X94" s="88">
        <v>44284</v>
      </c>
      <c r="Y94" s="86" t="s">
        <v>385</v>
      </c>
      <c r="Z94" s="84" t="str">
        <f>HYPERLINK("https://twitter.com/jschmukler/status/1376592202722390021")</f>
        <v>https://twitter.com/jschmukler/status/1376592202722390021</v>
      </c>
      <c r="AA94" s="81"/>
      <c r="AB94" s="81"/>
      <c r="AC94" s="86" t="s">
        <v>443</v>
      </c>
      <c r="AD94" s="86" t="s">
        <v>461</v>
      </c>
      <c r="AE94" s="81" t="b">
        <v>0</v>
      </c>
      <c r="AF94" s="81">
        <v>2</v>
      </c>
      <c r="AG94" s="86" t="s">
        <v>466</v>
      </c>
      <c r="AH94" s="81" t="b">
        <v>0</v>
      </c>
      <c r="AI94" s="81" t="s">
        <v>468</v>
      </c>
      <c r="AJ94" s="81"/>
      <c r="AK94" s="86" t="s">
        <v>462</v>
      </c>
      <c r="AL94" s="81" t="b">
        <v>0</v>
      </c>
      <c r="AM94" s="81">
        <v>1</v>
      </c>
      <c r="AN94" s="86" t="s">
        <v>462</v>
      </c>
      <c r="AO94" s="86" t="s">
        <v>470</v>
      </c>
      <c r="AP94" s="81" t="b">
        <v>0</v>
      </c>
      <c r="AQ94" s="86" t="s">
        <v>461</v>
      </c>
      <c r="AR94" s="81"/>
      <c r="AS94" s="81">
        <v>0</v>
      </c>
      <c r="AT94" s="81">
        <v>0</v>
      </c>
      <c r="AU94" s="81"/>
      <c r="AV94" s="81"/>
      <c r="AW94" s="81"/>
      <c r="AX94" s="81"/>
      <c r="AY94" s="81"/>
      <c r="AZ94" s="81"/>
      <c r="BA94" s="81"/>
      <c r="BB94" s="81"/>
      <c r="BC94">
        <v>1</v>
      </c>
      <c r="BD94" s="80" t="str">
        <f>REPLACE(INDEX(GroupVertices[Group],MATCH(Edges[[#This Row],[Vertex 1]],GroupVertices[Vertex],0)),1,1,"")</f>
        <v>6</v>
      </c>
      <c r="BE94" s="80" t="str">
        <f>REPLACE(INDEX(GroupVertices[Group],MATCH(Edges[[#This Row],[Vertex 2]],GroupVertices[Vertex],0)),1,1,"")</f>
        <v>6</v>
      </c>
      <c r="BF94" s="49"/>
      <c r="BG94" s="50"/>
      <c r="BH94" s="49"/>
      <c r="BI94" s="50"/>
      <c r="BJ94" s="49"/>
      <c r="BK94" s="50"/>
      <c r="BL94" s="49"/>
      <c r="BM94" s="50"/>
      <c r="BN94" s="49"/>
    </row>
    <row r="95" spans="1:66" ht="15">
      <c r="A95" s="66" t="s">
        <v>292</v>
      </c>
      <c r="B95" s="66" t="s">
        <v>307</v>
      </c>
      <c r="C95" s="67" t="s">
        <v>1216</v>
      </c>
      <c r="D95" s="68">
        <v>3</v>
      </c>
      <c r="E95" s="67" t="s">
        <v>132</v>
      </c>
      <c r="F95" s="70">
        <v>32</v>
      </c>
      <c r="G95" s="67"/>
      <c r="H95" s="71"/>
      <c r="I95" s="72"/>
      <c r="J95" s="72"/>
      <c r="K95" s="35" t="s">
        <v>65</v>
      </c>
      <c r="L95" s="73">
        <v>95</v>
      </c>
      <c r="M95" s="73"/>
      <c r="N95" s="74"/>
      <c r="O95" s="81" t="s">
        <v>314</v>
      </c>
      <c r="P95" s="83">
        <v>44285.130891203706</v>
      </c>
      <c r="Q95" s="81" t="s">
        <v>333</v>
      </c>
      <c r="R95" s="84" t="str">
        <f>HYPERLINK("https://www.bmj.com/content/372/bmj.n742")</f>
        <v>https://www.bmj.com/content/372/bmj.n742</v>
      </c>
      <c r="S95" s="81" t="s">
        <v>337</v>
      </c>
      <c r="T95" s="81"/>
      <c r="U95" s="81"/>
      <c r="V95" s="84" t="str">
        <f>HYPERLINK("https://pbs.twimg.com/profile_images/1087159707998011393/24f2Vo_D_normal.jpg")</f>
        <v>https://pbs.twimg.com/profile_images/1087159707998011393/24f2Vo_D_normal.jpg</v>
      </c>
      <c r="W95" s="83">
        <v>44285.130891203706</v>
      </c>
      <c r="X95" s="88">
        <v>44285</v>
      </c>
      <c r="Y95" s="86" t="s">
        <v>386</v>
      </c>
      <c r="Z95" s="84" t="str">
        <f>HYPERLINK("https://twitter.com/lasorsalautaro/status/1376733037958946816")</f>
        <v>https://twitter.com/lasorsalautaro/status/1376733037958946816</v>
      </c>
      <c r="AA95" s="81"/>
      <c r="AB95" s="81"/>
      <c r="AC95" s="86" t="s">
        <v>444</v>
      </c>
      <c r="AD95" s="81"/>
      <c r="AE95" s="81" t="b">
        <v>0</v>
      </c>
      <c r="AF95" s="81">
        <v>0</v>
      </c>
      <c r="AG95" s="86" t="s">
        <v>462</v>
      </c>
      <c r="AH95" s="81" t="b">
        <v>0</v>
      </c>
      <c r="AI95" s="81" t="s">
        <v>468</v>
      </c>
      <c r="AJ95" s="81"/>
      <c r="AK95" s="86" t="s">
        <v>462</v>
      </c>
      <c r="AL95" s="81" t="b">
        <v>0</v>
      </c>
      <c r="AM95" s="81">
        <v>1</v>
      </c>
      <c r="AN95" s="86" t="s">
        <v>443</v>
      </c>
      <c r="AO95" s="86" t="s">
        <v>471</v>
      </c>
      <c r="AP95" s="81" t="b">
        <v>0</v>
      </c>
      <c r="AQ95" s="86" t="s">
        <v>443</v>
      </c>
      <c r="AR95" s="81"/>
      <c r="AS95" s="81">
        <v>0</v>
      </c>
      <c r="AT95" s="81">
        <v>0</v>
      </c>
      <c r="AU95" s="81"/>
      <c r="AV95" s="81"/>
      <c r="AW95" s="81"/>
      <c r="AX95" s="81"/>
      <c r="AY95" s="81"/>
      <c r="AZ95" s="81"/>
      <c r="BA95" s="81"/>
      <c r="BB95" s="81"/>
      <c r="BC95">
        <v>1</v>
      </c>
      <c r="BD95" s="80" t="str">
        <f>REPLACE(INDEX(GroupVertices[Group],MATCH(Edges[[#This Row],[Vertex 1]],GroupVertices[Vertex],0)),1,1,"")</f>
        <v>6</v>
      </c>
      <c r="BE95" s="80" t="str">
        <f>REPLACE(INDEX(GroupVertices[Group],MATCH(Edges[[#This Row],[Vertex 2]],GroupVertices[Vertex],0)),1,1,"")</f>
        <v>6</v>
      </c>
      <c r="BF95" s="49"/>
      <c r="BG95" s="50"/>
      <c r="BH95" s="49"/>
      <c r="BI95" s="50"/>
      <c r="BJ95" s="49"/>
      <c r="BK95" s="50"/>
      <c r="BL95" s="49"/>
      <c r="BM95" s="50"/>
      <c r="BN95" s="49"/>
    </row>
    <row r="96" spans="1:66" ht="15">
      <c r="A96" s="66" t="s">
        <v>291</v>
      </c>
      <c r="B96" s="66" t="s">
        <v>289</v>
      </c>
      <c r="C96" s="67" t="s">
        <v>1217</v>
      </c>
      <c r="D96" s="68">
        <v>3</v>
      </c>
      <c r="E96" s="67" t="s">
        <v>136</v>
      </c>
      <c r="F96" s="70">
        <v>19</v>
      </c>
      <c r="G96" s="67"/>
      <c r="H96" s="71"/>
      <c r="I96" s="72"/>
      <c r="J96" s="72"/>
      <c r="K96" s="35" t="s">
        <v>65</v>
      </c>
      <c r="L96" s="73">
        <v>96</v>
      </c>
      <c r="M96" s="73"/>
      <c r="N96" s="74"/>
      <c r="O96" s="81" t="s">
        <v>316</v>
      </c>
      <c r="P96" s="83">
        <v>44284.67453703703</v>
      </c>
      <c r="Q96" s="81" t="s">
        <v>327</v>
      </c>
      <c r="R96" s="84" t="str">
        <f>HYPERLINK("https://www.bmj.com/content/372/bmj.n742")</f>
        <v>https://www.bmj.com/content/372/bmj.n742</v>
      </c>
      <c r="S96" s="81" t="s">
        <v>337</v>
      </c>
      <c r="T96" s="81"/>
      <c r="U96" s="84" t="str">
        <f>HYPERLINK("https://pbs.twimg.com/media/ExqM_b7XIAspf5d.jpg")</f>
        <v>https://pbs.twimg.com/media/ExqM_b7XIAspf5d.jpg</v>
      </c>
      <c r="V96" s="84" t="str">
        <f>HYPERLINK("https://pbs.twimg.com/media/ExqM_b7XIAspf5d.jpg")</f>
        <v>https://pbs.twimg.com/media/ExqM_b7XIAspf5d.jpg</v>
      </c>
      <c r="W96" s="83">
        <v>44284.67453703703</v>
      </c>
      <c r="X96" s="88">
        <v>44284</v>
      </c>
      <c r="Y96" s="86" t="s">
        <v>384</v>
      </c>
      <c r="Z96" s="84" t="str">
        <f>HYPERLINK("https://twitter.com/jschmukler/status/1376567660490674176")</f>
        <v>https://twitter.com/jschmukler/status/1376567660490674176</v>
      </c>
      <c r="AA96" s="81"/>
      <c r="AB96" s="81"/>
      <c r="AC96" s="86" t="s">
        <v>442</v>
      </c>
      <c r="AD96" s="81"/>
      <c r="AE96" s="81" t="b">
        <v>0</v>
      </c>
      <c r="AF96" s="81">
        <v>7</v>
      </c>
      <c r="AG96" s="86" t="s">
        <v>465</v>
      </c>
      <c r="AH96" s="81" t="b">
        <v>0</v>
      </c>
      <c r="AI96" s="81" t="s">
        <v>469</v>
      </c>
      <c r="AJ96" s="81"/>
      <c r="AK96" s="86" t="s">
        <v>462</v>
      </c>
      <c r="AL96" s="81" t="b">
        <v>0</v>
      </c>
      <c r="AM96" s="81">
        <v>1</v>
      </c>
      <c r="AN96" s="86" t="s">
        <v>462</v>
      </c>
      <c r="AO96" s="86" t="s">
        <v>470</v>
      </c>
      <c r="AP96" s="81" t="b">
        <v>0</v>
      </c>
      <c r="AQ96" s="86" t="s">
        <v>442</v>
      </c>
      <c r="AR96" s="81"/>
      <c r="AS96" s="81">
        <v>0</v>
      </c>
      <c r="AT96" s="81">
        <v>0</v>
      </c>
      <c r="AU96" s="81"/>
      <c r="AV96" s="81"/>
      <c r="AW96" s="81"/>
      <c r="AX96" s="81"/>
      <c r="AY96" s="81"/>
      <c r="AZ96" s="81"/>
      <c r="BA96" s="81"/>
      <c r="BB96" s="81"/>
      <c r="BC96">
        <v>2</v>
      </c>
      <c r="BD96" s="80" t="str">
        <f>REPLACE(INDEX(GroupVertices[Group],MATCH(Edges[[#This Row],[Vertex 1]],GroupVertices[Vertex],0)),1,1,"")</f>
        <v>6</v>
      </c>
      <c r="BE96" s="80" t="str">
        <f>REPLACE(INDEX(GroupVertices[Group],MATCH(Edges[[#This Row],[Vertex 2]],GroupVertices[Vertex],0)),1,1,"")</f>
        <v>1</v>
      </c>
      <c r="BF96" s="49"/>
      <c r="BG96" s="50"/>
      <c r="BH96" s="49"/>
      <c r="BI96" s="50"/>
      <c r="BJ96" s="49"/>
      <c r="BK96" s="50"/>
      <c r="BL96" s="49"/>
      <c r="BM96" s="50"/>
      <c r="BN96" s="49"/>
    </row>
    <row r="97" spans="1:66" ht="15">
      <c r="A97" s="66" t="s">
        <v>291</v>
      </c>
      <c r="B97" s="66" t="s">
        <v>289</v>
      </c>
      <c r="C97" s="67" t="s">
        <v>1217</v>
      </c>
      <c r="D97" s="68">
        <v>3</v>
      </c>
      <c r="E97" s="67" t="s">
        <v>136</v>
      </c>
      <c r="F97" s="70">
        <v>19</v>
      </c>
      <c r="G97" s="67"/>
      <c r="H97" s="71"/>
      <c r="I97" s="72"/>
      <c r="J97" s="72"/>
      <c r="K97" s="35" t="s">
        <v>65</v>
      </c>
      <c r="L97" s="73">
        <v>97</v>
      </c>
      <c r="M97" s="73"/>
      <c r="N97" s="74"/>
      <c r="O97" s="81" t="s">
        <v>316</v>
      </c>
      <c r="P97" s="83">
        <v>44284.742256944446</v>
      </c>
      <c r="Q97" s="81" t="s">
        <v>333</v>
      </c>
      <c r="R97" s="84" t="str">
        <f>HYPERLINK("https://www.bmj.com/content/372/bmj.n742")</f>
        <v>https://www.bmj.com/content/372/bmj.n742</v>
      </c>
      <c r="S97" s="81" t="s">
        <v>337</v>
      </c>
      <c r="T97" s="81"/>
      <c r="U97" s="81"/>
      <c r="V97" s="84" t="str">
        <f>HYPERLINK("https://pbs.twimg.com/profile_images/1278852771274514434/Py0ZTxME_normal.jpg")</f>
        <v>https://pbs.twimg.com/profile_images/1278852771274514434/Py0ZTxME_normal.jpg</v>
      </c>
      <c r="W97" s="83">
        <v>44284.742256944446</v>
      </c>
      <c r="X97" s="88">
        <v>44284</v>
      </c>
      <c r="Y97" s="86" t="s">
        <v>385</v>
      </c>
      <c r="Z97" s="84" t="str">
        <f>HYPERLINK("https://twitter.com/jschmukler/status/1376592202722390021")</f>
        <v>https://twitter.com/jschmukler/status/1376592202722390021</v>
      </c>
      <c r="AA97" s="81"/>
      <c r="AB97" s="81"/>
      <c r="AC97" s="86" t="s">
        <v>443</v>
      </c>
      <c r="AD97" s="86" t="s">
        <v>461</v>
      </c>
      <c r="AE97" s="81" t="b">
        <v>0</v>
      </c>
      <c r="AF97" s="81">
        <v>2</v>
      </c>
      <c r="AG97" s="86" t="s">
        <v>466</v>
      </c>
      <c r="AH97" s="81" t="b">
        <v>0</v>
      </c>
      <c r="AI97" s="81" t="s">
        <v>468</v>
      </c>
      <c r="AJ97" s="81"/>
      <c r="AK97" s="86" t="s">
        <v>462</v>
      </c>
      <c r="AL97" s="81" t="b">
        <v>0</v>
      </c>
      <c r="AM97" s="81">
        <v>1</v>
      </c>
      <c r="AN97" s="86" t="s">
        <v>462</v>
      </c>
      <c r="AO97" s="86" t="s">
        <v>470</v>
      </c>
      <c r="AP97" s="81" t="b">
        <v>0</v>
      </c>
      <c r="AQ97" s="86" t="s">
        <v>461</v>
      </c>
      <c r="AR97" s="81"/>
      <c r="AS97" s="81">
        <v>0</v>
      </c>
      <c r="AT97" s="81">
        <v>0</v>
      </c>
      <c r="AU97" s="81"/>
      <c r="AV97" s="81"/>
      <c r="AW97" s="81"/>
      <c r="AX97" s="81"/>
      <c r="AY97" s="81"/>
      <c r="AZ97" s="81"/>
      <c r="BA97" s="81"/>
      <c r="BB97" s="81"/>
      <c r="BC97">
        <v>2</v>
      </c>
      <c r="BD97" s="80" t="str">
        <f>REPLACE(INDEX(GroupVertices[Group],MATCH(Edges[[#This Row],[Vertex 1]],GroupVertices[Vertex],0)),1,1,"")</f>
        <v>6</v>
      </c>
      <c r="BE97" s="80" t="str">
        <f>REPLACE(INDEX(GroupVertices[Group],MATCH(Edges[[#This Row],[Vertex 2]],GroupVertices[Vertex],0)),1,1,"")</f>
        <v>1</v>
      </c>
      <c r="BF97" s="49"/>
      <c r="BG97" s="50"/>
      <c r="BH97" s="49"/>
      <c r="BI97" s="50"/>
      <c r="BJ97" s="49"/>
      <c r="BK97" s="50"/>
      <c r="BL97" s="49"/>
      <c r="BM97" s="50"/>
      <c r="BN97" s="49"/>
    </row>
    <row r="98" spans="1:66" ht="15">
      <c r="A98" s="66" t="s">
        <v>291</v>
      </c>
      <c r="B98" s="66" t="s">
        <v>292</v>
      </c>
      <c r="C98" s="67" t="s">
        <v>1216</v>
      </c>
      <c r="D98" s="68">
        <v>3</v>
      </c>
      <c r="E98" s="67" t="s">
        <v>132</v>
      </c>
      <c r="F98" s="70">
        <v>32</v>
      </c>
      <c r="G98" s="67"/>
      <c r="H98" s="71"/>
      <c r="I98" s="72"/>
      <c r="J98" s="72"/>
      <c r="K98" s="35" t="s">
        <v>66</v>
      </c>
      <c r="L98" s="73">
        <v>98</v>
      </c>
      <c r="M98" s="73"/>
      <c r="N98" s="74"/>
      <c r="O98" s="81" t="s">
        <v>317</v>
      </c>
      <c r="P98" s="83">
        <v>44284.742256944446</v>
      </c>
      <c r="Q98" s="81" t="s">
        <v>333</v>
      </c>
      <c r="R98" s="84" t="str">
        <f>HYPERLINK("https://www.bmj.com/content/372/bmj.n742")</f>
        <v>https://www.bmj.com/content/372/bmj.n742</v>
      </c>
      <c r="S98" s="81" t="s">
        <v>337</v>
      </c>
      <c r="T98" s="81"/>
      <c r="U98" s="81"/>
      <c r="V98" s="84" t="str">
        <f>HYPERLINK("https://pbs.twimg.com/profile_images/1278852771274514434/Py0ZTxME_normal.jpg")</f>
        <v>https://pbs.twimg.com/profile_images/1278852771274514434/Py0ZTxME_normal.jpg</v>
      </c>
      <c r="W98" s="83">
        <v>44284.742256944446</v>
      </c>
      <c r="X98" s="88">
        <v>44284</v>
      </c>
      <c r="Y98" s="86" t="s">
        <v>385</v>
      </c>
      <c r="Z98" s="84" t="str">
        <f>HYPERLINK("https://twitter.com/jschmukler/status/1376592202722390021")</f>
        <v>https://twitter.com/jschmukler/status/1376592202722390021</v>
      </c>
      <c r="AA98" s="81"/>
      <c r="AB98" s="81"/>
      <c r="AC98" s="86" t="s">
        <v>443</v>
      </c>
      <c r="AD98" s="86" t="s">
        <v>461</v>
      </c>
      <c r="AE98" s="81" t="b">
        <v>0</v>
      </c>
      <c r="AF98" s="81">
        <v>2</v>
      </c>
      <c r="AG98" s="86" t="s">
        <v>466</v>
      </c>
      <c r="AH98" s="81" t="b">
        <v>0</v>
      </c>
      <c r="AI98" s="81" t="s">
        <v>468</v>
      </c>
      <c r="AJ98" s="81"/>
      <c r="AK98" s="86" t="s">
        <v>462</v>
      </c>
      <c r="AL98" s="81" t="b">
        <v>0</v>
      </c>
      <c r="AM98" s="81">
        <v>1</v>
      </c>
      <c r="AN98" s="86" t="s">
        <v>462</v>
      </c>
      <c r="AO98" s="86" t="s">
        <v>470</v>
      </c>
      <c r="AP98" s="81" t="b">
        <v>0</v>
      </c>
      <c r="AQ98" s="86" t="s">
        <v>461</v>
      </c>
      <c r="AR98" s="81"/>
      <c r="AS98" s="81">
        <v>0</v>
      </c>
      <c r="AT98" s="81">
        <v>0</v>
      </c>
      <c r="AU98" s="81"/>
      <c r="AV98" s="81"/>
      <c r="AW98" s="81"/>
      <c r="AX98" s="81"/>
      <c r="AY98" s="81"/>
      <c r="AZ98" s="81"/>
      <c r="BA98" s="81"/>
      <c r="BB98" s="81"/>
      <c r="BC98">
        <v>1</v>
      </c>
      <c r="BD98" s="80" t="str">
        <f>REPLACE(INDEX(GroupVertices[Group],MATCH(Edges[[#This Row],[Vertex 1]],GroupVertices[Vertex],0)),1,1,"")</f>
        <v>6</v>
      </c>
      <c r="BE98" s="80" t="str">
        <f>REPLACE(INDEX(GroupVertices[Group],MATCH(Edges[[#This Row],[Vertex 2]],GroupVertices[Vertex],0)),1,1,"")</f>
        <v>6</v>
      </c>
      <c r="BF98" s="49">
        <v>0</v>
      </c>
      <c r="BG98" s="50">
        <v>0</v>
      </c>
      <c r="BH98" s="49">
        <v>0</v>
      </c>
      <c r="BI98" s="50">
        <v>0</v>
      </c>
      <c r="BJ98" s="49">
        <v>0</v>
      </c>
      <c r="BK98" s="50">
        <v>0</v>
      </c>
      <c r="BL98" s="49">
        <v>3</v>
      </c>
      <c r="BM98" s="50">
        <v>100</v>
      </c>
      <c r="BN98" s="49">
        <v>3</v>
      </c>
    </row>
    <row r="99" spans="1:66" ht="15">
      <c r="A99" s="66" t="s">
        <v>292</v>
      </c>
      <c r="B99" s="66" t="s">
        <v>291</v>
      </c>
      <c r="C99" s="67" t="s">
        <v>1216</v>
      </c>
      <c r="D99" s="68">
        <v>3</v>
      </c>
      <c r="E99" s="67" t="s">
        <v>132</v>
      </c>
      <c r="F99" s="70">
        <v>32</v>
      </c>
      <c r="G99" s="67"/>
      <c r="H99" s="71"/>
      <c r="I99" s="72"/>
      <c r="J99" s="72"/>
      <c r="K99" s="35" t="s">
        <v>66</v>
      </c>
      <c r="L99" s="73">
        <v>99</v>
      </c>
      <c r="M99" s="73"/>
      <c r="N99" s="74"/>
      <c r="O99" s="81" t="s">
        <v>315</v>
      </c>
      <c r="P99" s="83">
        <v>44285.130891203706</v>
      </c>
      <c r="Q99" s="81" t="s">
        <v>333</v>
      </c>
      <c r="R99" s="84" t="str">
        <f>HYPERLINK("https://www.bmj.com/content/372/bmj.n742")</f>
        <v>https://www.bmj.com/content/372/bmj.n742</v>
      </c>
      <c r="S99" s="81" t="s">
        <v>337</v>
      </c>
      <c r="T99" s="81"/>
      <c r="U99" s="81"/>
      <c r="V99" s="84" t="str">
        <f>HYPERLINK("https://pbs.twimg.com/profile_images/1087159707998011393/24f2Vo_D_normal.jpg")</f>
        <v>https://pbs.twimg.com/profile_images/1087159707998011393/24f2Vo_D_normal.jpg</v>
      </c>
      <c r="W99" s="83">
        <v>44285.130891203706</v>
      </c>
      <c r="X99" s="88">
        <v>44285</v>
      </c>
      <c r="Y99" s="86" t="s">
        <v>386</v>
      </c>
      <c r="Z99" s="84" t="str">
        <f>HYPERLINK("https://twitter.com/lasorsalautaro/status/1376733037958946816")</f>
        <v>https://twitter.com/lasorsalautaro/status/1376733037958946816</v>
      </c>
      <c r="AA99" s="81"/>
      <c r="AB99" s="81"/>
      <c r="AC99" s="86" t="s">
        <v>444</v>
      </c>
      <c r="AD99" s="81"/>
      <c r="AE99" s="81" t="b">
        <v>0</v>
      </c>
      <c r="AF99" s="81">
        <v>0</v>
      </c>
      <c r="AG99" s="86" t="s">
        <v>462</v>
      </c>
      <c r="AH99" s="81" t="b">
        <v>0</v>
      </c>
      <c r="AI99" s="81" t="s">
        <v>468</v>
      </c>
      <c r="AJ99" s="81"/>
      <c r="AK99" s="86" t="s">
        <v>462</v>
      </c>
      <c r="AL99" s="81" t="b">
        <v>0</v>
      </c>
      <c r="AM99" s="81">
        <v>1</v>
      </c>
      <c r="AN99" s="86" t="s">
        <v>443</v>
      </c>
      <c r="AO99" s="86" t="s">
        <v>471</v>
      </c>
      <c r="AP99" s="81" t="b">
        <v>0</v>
      </c>
      <c r="AQ99" s="86" t="s">
        <v>443</v>
      </c>
      <c r="AR99" s="81"/>
      <c r="AS99" s="81">
        <v>0</v>
      </c>
      <c r="AT99" s="81">
        <v>0</v>
      </c>
      <c r="AU99" s="81"/>
      <c r="AV99" s="81"/>
      <c r="AW99" s="81"/>
      <c r="AX99" s="81"/>
      <c r="AY99" s="81"/>
      <c r="AZ99" s="81"/>
      <c r="BA99" s="81"/>
      <c r="BB99" s="81"/>
      <c r="BC99">
        <v>1</v>
      </c>
      <c r="BD99" s="80" t="str">
        <f>REPLACE(INDEX(GroupVertices[Group],MATCH(Edges[[#This Row],[Vertex 1]],GroupVertices[Vertex],0)),1,1,"")</f>
        <v>6</v>
      </c>
      <c r="BE99" s="80" t="str">
        <f>REPLACE(INDEX(GroupVertices[Group],MATCH(Edges[[#This Row],[Vertex 2]],GroupVertices[Vertex],0)),1,1,"")</f>
        <v>6</v>
      </c>
      <c r="BF99" s="49"/>
      <c r="BG99" s="50"/>
      <c r="BH99" s="49"/>
      <c r="BI99" s="50"/>
      <c r="BJ99" s="49"/>
      <c r="BK99" s="50"/>
      <c r="BL99" s="49"/>
      <c r="BM99" s="50"/>
      <c r="BN99" s="49"/>
    </row>
    <row r="100" spans="1:66" ht="15">
      <c r="A100" s="66" t="s">
        <v>292</v>
      </c>
      <c r="B100" s="66" t="s">
        <v>289</v>
      </c>
      <c r="C100" s="67" t="s">
        <v>1216</v>
      </c>
      <c r="D100" s="68">
        <v>3</v>
      </c>
      <c r="E100" s="67" t="s">
        <v>132</v>
      </c>
      <c r="F100" s="70">
        <v>32</v>
      </c>
      <c r="G100" s="67"/>
      <c r="H100" s="71"/>
      <c r="I100" s="72"/>
      <c r="J100" s="72"/>
      <c r="K100" s="35" t="s">
        <v>65</v>
      </c>
      <c r="L100" s="73">
        <v>100</v>
      </c>
      <c r="M100" s="73"/>
      <c r="N100" s="74"/>
      <c r="O100" s="81" t="s">
        <v>314</v>
      </c>
      <c r="P100" s="83">
        <v>44285.130891203706</v>
      </c>
      <c r="Q100" s="81" t="s">
        <v>333</v>
      </c>
      <c r="R100" s="84" t="str">
        <f>HYPERLINK("https://www.bmj.com/content/372/bmj.n742")</f>
        <v>https://www.bmj.com/content/372/bmj.n742</v>
      </c>
      <c r="S100" s="81" t="s">
        <v>337</v>
      </c>
      <c r="T100" s="81"/>
      <c r="U100" s="81"/>
      <c r="V100" s="84" t="str">
        <f>HYPERLINK("https://pbs.twimg.com/profile_images/1087159707998011393/24f2Vo_D_normal.jpg")</f>
        <v>https://pbs.twimg.com/profile_images/1087159707998011393/24f2Vo_D_normal.jpg</v>
      </c>
      <c r="W100" s="83">
        <v>44285.130891203706</v>
      </c>
      <c r="X100" s="88">
        <v>44285</v>
      </c>
      <c r="Y100" s="86" t="s">
        <v>386</v>
      </c>
      <c r="Z100" s="84" t="str">
        <f>HYPERLINK("https://twitter.com/lasorsalautaro/status/1376733037958946816")</f>
        <v>https://twitter.com/lasorsalautaro/status/1376733037958946816</v>
      </c>
      <c r="AA100" s="81"/>
      <c r="AB100" s="81"/>
      <c r="AC100" s="86" t="s">
        <v>444</v>
      </c>
      <c r="AD100" s="81"/>
      <c r="AE100" s="81" t="b">
        <v>0</v>
      </c>
      <c r="AF100" s="81">
        <v>0</v>
      </c>
      <c r="AG100" s="86" t="s">
        <v>462</v>
      </c>
      <c r="AH100" s="81" t="b">
        <v>0</v>
      </c>
      <c r="AI100" s="81" t="s">
        <v>468</v>
      </c>
      <c r="AJ100" s="81"/>
      <c r="AK100" s="86" t="s">
        <v>462</v>
      </c>
      <c r="AL100" s="81" t="b">
        <v>0</v>
      </c>
      <c r="AM100" s="81">
        <v>1</v>
      </c>
      <c r="AN100" s="86" t="s">
        <v>443</v>
      </c>
      <c r="AO100" s="86" t="s">
        <v>471</v>
      </c>
      <c r="AP100" s="81" t="b">
        <v>0</v>
      </c>
      <c r="AQ100" s="86" t="s">
        <v>443</v>
      </c>
      <c r="AR100" s="81"/>
      <c r="AS100" s="81">
        <v>0</v>
      </c>
      <c r="AT100" s="81">
        <v>0</v>
      </c>
      <c r="AU100" s="81"/>
      <c r="AV100" s="81"/>
      <c r="AW100" s="81"/>
      <c r="AX100" s="81"/>
      <c r="AY100" s="81"/>
      <c r="AZ100" s="81"/>
      <c r="BA100" s="81"/>
      <c r="BB100" s="81"/>
      <c r="BC100">
        <v>1</v>
      </c>
      <c r="BD100" s="80" t="str">
        <f>REPLACE(INDEX(GroupVertices[Group],MATCH(Edges[[#This Row],[Vertex 1]],GroupVertices[Vertex],0)),1,1,"")</f>
        <v>6</v>
      </c>
      <c r="BE100" s="80" t="str">
        <f>REPLACE(INDEX(GroupVertices[Group],MATCH(Edges[[#This Row],[Vertex 2]],GroupVertices[Vertex],0)),1,1,"")</f>
        <v>1</v>
      </c>
      <c r="BF100" s="49">
        <v>0</v>
      </c>
      <c r="BG100" s="50">
        <v>0</v>
      </c>
      <c r="BH100" s="49">
        <v>0</v>
      </c>
      <c r="BI100" s="50">
        <v>0</v>
      </c>
      <c r="BJ100" s="49">
        <v>0</v>
      </c>
      <c r="BK100" s="50">
        <v>0</v>
      </c>
      <c r="BL100" s="49">
        <v>3</v>
      </c>
      <c r="BM100" s="50">
        <v>100</v>
      </c>
      <c r="BN100" s="49">
        <v>3</v>
      </c>
    </row>
    <row r="101" spans="1:66" ht="15">
      <c r="A101" s="66" t="s">
        <v>293</v>
      </c>
      <c r="B101" s="66" t="s">
        <v>300</v>
      </c>
      <c r="C101" s="67" t="s">
        <v>1216</v>
      </c>
      <c r="D101" s="68">
        <v>3</v>
      </c>
      <c r="E101" s="67" t="s">
        <v>132</v>
      </c>
      <c r="F101" s="70">
        <v>32</v>
      </c>
      <c r="G101" s="67"/>
      <c r="H101" s="71"/>
      <c r="I101" s="72"/>
      <c r="J101" s="72"/>
      <c r="K101" s="35" t="s">
        <v>65</v>
      </c>
      <c r="L101" s="73">
        <v>101</v>
      </c>
      <c r="M101" s="73"/>
      <c r="N101" s="74"/>
      <c r="O101" s="81" t="s">
        <v>316</v>
      </c>
      <c r="P101" s="83">
        <v>44280.28810185185</v>
      </c>
      <c r="Q101" s="81" t="s">
        <v>334</v>
      </c>
      <c r="R101" s="84" t="str">
        <f>HYPERLINK("https://www.bmj.com/content/372/bmj.n742")</f>
        <v>https://www.bmj.com/content/372/bmj.n742</v>
      </c>
      <c r="S101" s="81" t="s">
        <v>337</v>
      </c>
      <c r="T101" s="81"/>
      <c r="U101" s="81"/>
      <c r="V101" s="84" t="str">
        <f>HYPERLINK("https://pbs.twimg.com/profile_images/1373976686136549381/zhkhixM-_normal.jpg")</f>
        <v>https://pbs.twimg.com/profile_images/1373976686136549381/zhkhixM-_normal.jpg</v>
      </c>
      <c r="W101" s="83">
        <v>44280.28810185185</v>
      </c>
      <c r="X101" s="88">
        <v>44280</v>
      </c>
      <c r="Y101" s="86" t="s">
        <v>387</v>
      </c>
      <c r="Z101" s="84" t="str">
        <f>HYPERLINK("https://twitter.com/abbiewightwick/status/1374978070604566529")</f>
        <v>https://twitter.com/abbiewightwick/status/1374978070604566529</v>
      </c>
      <c r="AA101" s="81"/>
      <c r="AB101" s="81"/>
      <c r="AC101" s="86" t="s">
        <v>445</v>
      </c>
      <c r="AD101" s="81"/>
      <c r="AE101" s="81" t="b">
        <v>0</v>
      </c>
      <c r="AF101" s="81">
        <v>8</v>
      </c>
      <c r="AG101" s="86" t="s">
        <v>462</v>
      </c>
      <c r="AH101" s="81" t="b">
        <v>0</v>
      </c>
      <c r="AI101" s="81" t="s">
        <v>467</v>
      </c>
      <c r="AJ101" s="81"/>
      <c r="AK101" s="86" t="s">
        <v>462</v>
      </c>
      <c r="AL101" s="81" t="b">
        <v>0</v>
      </c>
      <c r="AM101" s="81">
        <v>3</v>
      </c>
      <c r="AN101" s="86" t="s">
        <v>462</v>
      </c>
      <c r="AO101" s="86" t="s">
        <v>470</v>
      </c>
      <c r="AP101" s="81" t="b">
        <v>0</v>
      </c>
      <c r="AQ101" s="86" t="s">
        <v>445</v>
      </c>
      <c r="AR101" s="81" t="s">
        <v>315</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9">
        <v>2</v>
      </c>
      <c r="BG101" s="50">
        <v>16.666666666666668</v>
      </c>
      <c r="BH101" s="49">
        <v>1</v>
      </c>
      <c r="BI101" s="50">
        <v>8.333333333333334</v>
      </c>
      <c r="BJ101" s="49">
        <v>0</v>
      </c>
      <c r="BK101" s="50">
        <v>0</v>
      </c>
      <c r="BL101" s="49">
        <v>9</v>
      </c>
      <c r="BM101" s="50">
        <v>75</v>
      </c>
      <c r="BN101" s="49">
        <v>12</v>
      </c>
    </row>
    <row r="102" spans="1:66" ht="15">
      <c r="A102" s="66" t="s">
        <v>294</v>
      </c>
      <c r="B102" s="66" t="s">
        <v>293</v>
      </c>
      <c r="C102" s="67" t="s">
        <v>1216</v>
      </c>
      <c r="D102" s="68">
        <v>3</v>
      </c>
      <c r="E102" s="67" t="s">
        <v>132</v>
      </c>
      <c r="F102" s="70">
        <v>32</v>
      </c>
      <c r="G102" s="67"/>
      <c r="H102" s="71"/>
      <c r="I102" s="72"/>
      <c r="J102" s="72"/>
      <c r="K102" s="35" t="s">
        <v>65</v>
      </c>
      <c r="L102" s="73">
        <v>102</v>
      </c>
      <c r="M102" s="73"/>
      <c r="N102" s="74"/>
      <c r="O102" s="81" t="s">
        <v>315</v>
      </c>
      <c r="P102" s="83">
        <v>44282.94267361111</v>
      </c>
      <c r="Q102" s="81" t="s">
        <v>334</v>
      </c>
      <c r="R102" s="84" t="str">
        <f>HYPERLINK("https://www.bmj.com/content/372/bmj.n742")</f>
        <v>https://www.bmj.com/content/372/bmj.n742</v>
      </c>
      <c r="S102" s="81" t="s">
        <v>337</v>
      </c>
      <c r="T102" s="81"/>
      <c r="U102" s="81"/>
      <c r="V102" s="84" t="str">
        <f>HYPERLINK("https://pbs.twimg.com/profile_images/1218697779863621633/wNRGqEWw_normal.jpg")</f>
        <v>https://pbs.twimg.com/profile_images/1218697779863621633/wNRGqEWw_normal.jpg</v>
      </c>
      <c r="W102" s="83">
        <v>44282.94267361111</v>
      </c>
      <c r="X102" s="88">
        <v>44282</v>
      </c>
      <c r="Y102" s="86" t="s">
        <v>388</v>
      </c>
      <c r="Z102" s="84" t="str">
        <f>HYPERLINK("https://twitter.com/fundmarksol/status/1375940053034283011")</f>
        <v>https://twitter.com/fundmarksol/status/1375940053034283011</v>
      </c>
      <c r="AA102" s="81"/>
      <c r="AB102" s="81"/>
      <c r="AC102" s="86" t="s">
        <v>446</v>
      </c>
      <c r="AD102" s="81"/>
      <c r="AE102" s="81" t="b">
        <v>0</v>
      </c>
      <c r="AF102" s="81">
        <v>0</v>
      </c>
      <c r="AG102" s="86" t="s">
        <v>462</v>
      </c>
      <c r="AH102" s="81" t="b">
        <v>0</v>
      </c>
      <c r="AI102" s="81" t="s">
        <v>467</v>
      </c>
      <c r="AJ102" s="81"/>
      <c r="AK102" s="86" t="s">
        <v>462</v>
      </c>
      <c r="AL102" s="81" t="b">
        <v>0</v>
      </c>
      <c r="AM102" s="81">
        <v>3</v>
      </c>
      <c r="AN102" s="86" t="s">
        <v>445</v>
      </c>
      <c r="AO102" s="86" t="s">
        <v>471</v>
      </c>
      <c r="AP102" s="81" t="b">
        <v>0</v>
      </c>
      <c r="AQ102" s="86" t="s">
        <v>445</v>
      </c>
      <c r="AR102" s="81"/>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6" t="s">
        <v>294</v>
      </c>
      <c r="B103" s="66" t="s">
        <v>300</v>
      </c>
      <c r="C103" s="67" t="s">
        <v>1216</v>
      </c>
      <c r="D103" s="68">
        <v>3</v>
      </c>
      <c r="E103" s="67" t="s">
        <v>132</v>
      </c>
      <c r="F103" s="70">
        <v>32</v>
      </c>
      <c r="G103" s="67"/>
      <c r="H103" s="71"/>
      <c r="I103" s="72"/>
      <c r="J103" s="72"/>
      <c r="K103" s="35" t="s">
        <v>65</v>
      </c>
      <c r="L103" s="73">
        <v>103</v>
      </c>
      <c r="M103" s="73"/>
      <c r="N103" s="74"/>
      <c r="O103" s="81" t="s">
        <v>314</v>
      </c>
      <c r="P103" s="83">
        <v>44282.94267361111</v>
      </c>
      <c r="Q103" s="81" t="s">
        <v>334</v>
      </c>
      <c r="R103" s="84" t="str">
        <f>HYPERLINK("https://www.bmj.com/content/372/bmj.n742")</f>
        <v>https://www.bmj.com/content/372/bmj.n742</v>
      </c>
      <c r="S103" s="81" t="s">
        <v>337</v>
      </c>
      <c r="T103" s="81"/>
      <c r="U103" s="81"/>
      <c r="V103" s="84" t="str">
        <f>HYPERLINK("https://pbs.twimg.com/profile_images/1218697779863621633/wNRGqEWw_normal.jpg")</f>
        <v>https://pbs.twimg.com/profile_images/1218697779863621633/wNRGqEWw_normal.jpg</v>
      </c>
      <c r="W103" s="83">
        <v>44282.94267361111</v>
      </c>
      <c r="X103" s="88">
        <v>44282</v>
      </c>
      <c r="Y103" s="86" t="s">
        <v>388</v>
      </c>
      <c r="Z103" s="84" t="str">
        <f>HYPERLINK("https://twitter.com/fundmarksol/status/1375940053034283011")</f>
        <v>https://twitter.com/fundmarksol/status/1375940053034283011</v>
      </c>
      <c r="AA103" s="81"/>
      <c r="AB103" s="81"/>
      <c r="AC103" s="86" t="s">
        <v>446</v>
      </c>
      <c r="AD103" s="81"/>
      <c r="AE103" s="81" t="b">
        <v>0</v>
      </c>
      <c r="AF103" s="81">
        <v>0</v>
      </c>
      <c r="AG103" s="86" t="s">
        <v>462</v>
      </c>
      <c r="AH103" s="81" t="b">
        <v>0</v>
      </c>
      <c r="AI103" s="81" t="s">
        <v>467</v>
      </c>
      <c r="AJ103" s="81"/>
      <c r="AK103" s="86" t="s">
        <v>462</v>
      </c>
      <c r="AL103" s="81" t="b">
        <v>0</v>
      </c>
      <c r="AM103" s="81">
        <v>3</v>
      </c>
      <c r="AN103" s="86" t="s">
        <v>445</v>
      </c>
      <c r="AO103" s="86" t="s">
        <v>471</v>
      </c>
      <c r="AP103" s="81" t="b">
        <v>0</v>
      </c>
      <c r="AQ103" s="86" t="s">
        <v>445</v>
      </c>
      <c r="AR103" s="81"/>
      <c r="AS103" s="81">
        <v>0</v>
      </c>
      <c r="AT103" s="81">
        <v>0</v>
      </c>
      <c r="AU103" s="81"/>
      <c r="AV103" s="81"/>
      <c r="AW103" s="81"/>
      <c r="AX103" s="81"/>
      <c r="AY103" s="81"/>
      <c r="AZ103" s="81"/>
      <c r="BA103" s="81"/>
      <c r="BB103" s="81"/>
      <c r="BC103">
        <v>1</v>
      </c>
      <c r="BD103" s="80" t="str">
        <f>REPLACE(INDEX(GroupVertices[Group],MATCH(Edges[[#This Row],[Vertex 1]],GroupVertices[Vertex],0)),1,1,"")</f>
        <v>2</v>
      </c>
      <c r="BE103" s="80" t="str">
        <f>REPLACE(INDEX(GroupVertices[Group],MATCH(Edges[[#This Row],[Vertex 2]],GroupVertices[Vertex],0)),1,1,"")</f>
        <v>2</v>
      </c>
      <c r="BF103" s="49">
        <v>2</v>
      </c>
      <c r="BG103" s="50">
        <v>16.666666666666668</v>
      </c>
      <c r="BH103" s="49">
        <v>1</v>
      </c>
      <c r="BI103" s="50">
        <v>8.333333333333334</v>
      </c>
      <c r="BJ103" s="49">
        <v>0</v>
      </c>
      <c r="BK103" s="50">
        <v>0</v>
      </c>
      <c r="BL103" s="49">
        <v>9</v>
      </c>
      <c r="BM103" s="50">
        <v>75</v>
      </c>
      <c r="BN103" s="49">
        <v>12</v>
      </c>
    </row>
    <row r="104" spans="1:66" ht="15">
      <c r="A104" s="66" t="s">
        <v>295</v>
      </c>
      <c r="B104" s="66" t="s">
        <v>300</v>
      </c>
      <c r="C104" s="67" t="s">
        <v>1216</v>
      </c>
      <c r="D104" s="68">
        <v>3</v>
      </c>
      <c r="E104" s="67" t="s">
        <v>132</v>
      </c>
      <c r="F104" s="70">
        <v>32</v>
      </c>
      <c r="G104" s="67"/>
      <c r="H104" s="71"/>
      <c r="I104" s="72"/>
      <c r="J104" s="72"/>
      <c r="K104" s="35" t="s">
        <v>65</v>
      </c>
      <c r="L104" s="73">
        <v>104</v>
      </c>
      <c r="M104" s="73"/>
      <c r="N104" s="74"/>
      <c r="O104" s="81" t="s">
        <v>314</v>
      </c>
      <c r="P104" s="83">
        <v>44290.62664351852</v>
      </c>
      <c r="Q104" s="81" t="s">
        <v>322</v>
      </c>
      <c r="R104" s="81" t="s">
        <v>336</v>
      </c>
      <c r="S104" s="81" t="s">
        <v>338</v>
      </c>
      <c r="T104" s="81"/>
      <c r="U104" s="81"/>
      <c r="V104" s="84" t="str">
        <f>HYPERLINK("https://pbs.twimg.com/profile_images/794006780212838401/frkGovMb_normal.jpg")</f>
        <v>https://pbs.twimg.com/profile_images/794006780212838401/frkGovMb_normal.jpg</v>
      </c>
      <c r="W104" s="83">
        <v>44290.62664351852</v>
      </c>
      <c r="X104" s="88">
        <v>44290</v>
      </c>
      <c r="Y104" s="86" t="s">
        <v>389</v>
      </c>
      <c r="Z104" s="84" t="str">
        <f>HYPERLINK("https://twitter.com/joaquinbazzano/status/1378724633680171010")</f>
        <v>https://twitter.com/joaquinbazzano/status/1378724633680171010</v>
      </c>
      <c r="AA104" s="81"/>
      <c r="AB104" s="81"/>
      <c r="AC104" s="86" t="s">
        <v>447</v>
      </c>
      <c r="AD104" s="81"/>
      <c r="AE104" s="81" t="b">
        <v>0</v>
      </c>
      <c r="AF104" s="81">
        <v>0</v>
      </c>
      <c r="AG104" s="86" t="s">
        <v>462</v>
      </c>
      <c r="AH104" s="81" t="b">
        <v>0</v>
      </c>
      <c r="AI104" s="81" t="s">
        <v>469</v>
      </c>
      <c r="AJ104" s="81"/>
      <c r="AK104" s="86" t="s">
        <v>462</v>
      </c>
      <c r="AL104" s="81" t="b">
        <v>0</v>
      </c>
      <c r="AM104" s="81">
        <v>4</v>
      </c>
      <c r="AN104" s="86" t="s">
        <v>448</v>
      </c>
      <c r="AO104" s="86" t="s">
        <v>470</v>
      </c>
      <c r="AP104" s="81" t="b">
        <v>0</v>
      </c>
      <c r="AQ104" s="86" t="s">
        <v>448</v>
      </c>
      <c r="AR104" s="81"/>
      <c r="AS104" s="81">
        <v>0</v>
      </c>
      <c r="AT104" s="81">
        <v>0</v>
      </c>
      <c r="AU104" s="81"/>
      <c r="AV104" s="81"/>
      <c r="AW104" s="81"/>
      <c r="AX104" s="81"/>
      <c r="AY104" s="81"/>
      <c r="AZ104" s="81"/>
      <c r="BA104" s="81"/>
      <c r="BB104" s="81"/>
      <c r="BC104">
        <v>1</v>
      </c>
      <c r="BD104" s="80" t="str">
        <f>REPLACE(INDEX(GroupVertices[Group],MATCH(Edges[[#This Row],[Vertex 1]],GroupVertices[Vertex],0)),1,1,"")</f>
        <v>5</v>
      </c>
      <c r="BE104" s="80" t="str">
        <f>REPLACE(INDEX(GroupVertices[Group],MATCH(Edges[[#This Row],[Vertex 2]],GroupVertices[Vertex],0)),1,1,"")</f>
        <v>2</v>
      </c>
      <c r="BF104" s="49"/>
      <c r="BG104" s="50"/>
      <c r="BH104" s="49"/>
      <c r="BI104" s="50"/>
      <c r="BJ104" s="49"/>
      <c r="BK104" s="50"/>
      <c r="BL104" s="49"/>
      <c r="BM104" s="50"/>
      <c r="BN104" s="49"/>
    </row>
    <row r="105" spans="1:66" ht="15">
      <c r="A105" s="66" t="s">
        <v>295</v>
      </c>
      <c r="B105" s="66" t="s">
        <v>297</v>
      </c>
      <c r="C105" s="67" t="s">
        <v>1216</v>
      </c>
      <c r="D105" s="68">
        <v>3</v>
      </c>
      <c r="E105" s="67" t="s">
        <v>132</v>
      </c>
      <c r="F105" s="70">
        <v>32</v>
      </c>
      <c r="G105" s="67"/>
      <c r="H105" s="71"/>
      <c r="I105" s="72"/>
      <c r="J105" s="72"/>
      <c r="K105" s="35" t="s">
        <v>66</v>
      </c>
      <c r="L105" s="73">
        <v>105</v>
      </c>
      <c r="M105" s="73"/>
      <c r="N105" s="74"/>
      <c r="O105" s="81" t="s">
        <v>314</v>
      </c>
      <c r="P105" s="83">
        <v>44290.62664351852</v>
      </c>
      <c r="Q105" s="81" t="s">
        <v>322</v>
      </c>
      <c r="R105" s="81" t="s">
        <v>336</v>
      </c>
      <c r="S105" s="81" t="s">
        <v>338</v>
      </c>
      <c r="T105" s="81"/>
      <c r="U105" s="81"/>
      <c r="V105" s="84" t="str">
        <f>HYPERLINK("https://pbs.twimg.com/profile_images/794006780212838401/frkGovMb_normal.jpg")</f>
        <v>https://pbs.twimg.com/profile_images/794006780212838401/frkGovMb_normal.jpg</v>
      </c>
      <c r="W105" s="83">
        <v>44290.62664351852</v>
      </c>
      <c r="X105" s="88">
        <v>44290</v>
      </c>
      <c r="Y105" s="86" t="s">
        <v>389</v>
      </c>
      <c r="Z105" s="84" t="str">
        <f>HYPERLINK("https://twitter.com/joaquinbazzano/status/1378724633680171010")</f>
        <v>https://twitter.com/joaquinbazzano/status/1378724633680171010</v>
      </c>
      <c r="AA105" s="81"/>
      <c r="AB105" s="81"/>
      <c r="AC105" s="86" t="s">
        <v>447</v>
      </c>
      <c r="AD105" s="81"/>
      <c r="AE105" s="81" t="b">
        <v>0</v>
      </c>
      <c r="AF105" s="81">
        <v>0</v>
      </c>
      <c r="AG105" s="86" t="s">
        <v>462</v>
      </c>
      <c r="AH105" s="81" t="b">
        <v>0</v>
      </c>
      <c r="AI105" s="81" t="s">
        <v>469</v>
      </c>
      <c r="AJ105" s="81"/>
      <c r="AK105" s="86" t="s">
        <v>462</v>
      </c>
      <c r="AL105" s="81" t="b">
        <v>0</v>
      </c>
      <c r="AM105" s="81">
        <v>4</v>
      </c>
      <c r="AN105" s="86" t="s">
        <v>448</v>
      </c>
      <c r="AO105" s="86" t="s">
        <v>470</v>
      </c>
      <c r="AP105" s="81" t="b">
        <v>0</v>
      </c>
      <c r="AQ105" s="86" t="s">
        <v>448</v>
      </c>
      <c r="AR105" s="81"/>
      <c r="AS105" s="81">
        <v>0</v>
      </c>
      <c r="AT105" s="81">
        <v>0</v>
      </c>
      <c r="AU105" s="81"/>
      <c r="AV105" s="81"/>
      <c r="AW105" s="81"/>
      <c r="AX105" s="81"/>
      <c r="AY105" s="81"/>
      <c r="AZ105" s="81"/>
      <c r="BA105" s="81"/>
      <c r="BB105" s="81"/>
      <c r="BC105">
        <v>1</v>
      </c>
      <c r="BD105" s="80" t="str">
        <f>REPLACE(INDEX(GroupVertices[Group],MATCH(Edges[[#This Row],[Vertex 1]],GroupVertices[Vertex],0)),1,1,"")</f>
        <v>5</v>
      </c>
      <c r="BE105" s="80" t="str">
        <f>REPLACE(INDEX(GroupVertices[Group],MATCH(Edges[[#This Row],[Vertex 2]],GroupVertices[Vertex],0)),1,1,"")</f>
        <v>5</v>
      </c>
      <c r="BF105" s="49"/>
      <c r="BG105" s="50"/>
      <c r="BH105" s="49"/>
      <c r="BI105" s="50"/>
      <c r="BJ105" s="49"/>
      <c r="BK105" s="50"/>
      <c r="BL105" s="49"/>
      <c r="BM105" s="50"/>
      <c r="BN105" s="49"/>
    </row>
    <row r="106" spans="1:66" ht="15">
      <c r="A106" s="66" t="s">
        <v>295</v>
      </c>
      <c r="B106" s="66" t="s">
        <v>306</v>
      </c>
      <c r="C106" s="67" t="s">
        <v>1216</v>
      </c>
      <c r="D106" s="68">
        <v>3</v>
      </c>
      <c r="E106" s="67" t="s">
        <v>132</v>
      </c>
      <c r="F106" s="70">
        <v>32</v>
      </c>
      <c r="G106" s="67"/>
      <c r="H106" s="71"/>
      <c r="I106" s="72"/>
      <c r="J106" s="72"/>
      <c r="K106" s="35" t="s">
        <v>65</v>
      </c>
      <c r="L106" s="73">
        <v>106</v>
      </c>
      <c r="M106" s="73"/>
      <c r="N106" s="74"/>
      <c r="O106" s="81" t="s">
        <v>314</v>
      </c>
      <c r="P106" s="83">
        <v>44290.62664351852</v>
      </c>
      <c r="Q106" s="81" t="s">
        <v>322</v>
      </c>
      <c r="R106" s="81" t="s">
        <v>336</v>
      </c>
      <c r="S106" s="81" t="s">
        <v>338</v>
      </c>
      <c r="T106" s="81"/>
      <c r="U106" s="81"/>
      <c r="V106" s="84" t="str">
        <f>HYPERLINK("https://pbs.twimg.com/profile_images/794006780212838401/frkGovMb_normal.jpg")</f>
        <v>https://pbs.twimg.com/profile_images/794006780212838401/frkGovMb_normal.jpg</v>
      </c>
      <c r="W106" s="83">
        <v>44290.62664351852</v>
      </c>
      <c r="X106" s="88">
        <v>44290</v>
      </c>
      <c r="Y106" s="86" t="s">
        <v>389</v>
      </c>
      <c r="Z106" s="84" t="str">
        <f>HYPERLINK("https://twitter.com/joaquinbazzano/status/1378724633680171010")</f>
        <v>https://twitter.com/joaquinbazzano/status/1378724633680171010</v>
      </c>
      <c r="AA106" s="81"/>
      <c r="AB106" s="81"/>
      <c r="AC106" s="86" t="s">
        <v>447</v>
      </c>
      <c r="AD106" s="81"/>
      <c r="AE106" s="81" t="b">
        <v>0</v>
      </c>
      <c r="AF106" s="81">
        <v>0</v>
      </c>
      <c r="AG106" s="86" t="s">
        <v>462</v>
      </c>
      <c r="AH106" s="81" t="b">
        <v>0</v>
      </c>
      <c r="AI106" s="81" t="s">
        <v>469</v>
      </c>
      <c r="AJ106" s="81"/>
      <c r="AK106" s="86" t="s">
        <v>462</v>
      </c>
      <c r="AL106" s="81" t="b">
        <v>0</v>
      </c>
      <c r="AM106" s="81">
        <v>4</v>
      </c>
      <c r="AN106" s="86" t="s">
        <v>448</v>
      </c>
      <c r="AO106" s="86" t="s">
        <v>470</v>
      </c>
      <c r="AP106" s="81" t="b">
        <v>0</v>
      </c>
      <c r="AQ106" s="86" t="s">
        <v>448</v>
      </c>
      <c r="AR106" s="81"/>
      <c r="AS106" s="81">
        <v>0</v>
      </c>
      <c r="AT106" s="81">
        <v>0</v>
      </c>
      <c r="AU106" s="81"/>
      <c r="AV106" s="81"/>
      <c r="AW106" s="81"/>
      <c r="AX106" s="81"/>
      <c r="AY106" s="81"/>
      <c r="AZ106" s="81"/>
      <c r="BA106" s="81"/>
      <c r="BB106" s="81"/>
      <c r="BC106">
        <v>1</v>
      </c>
      <c r="BD106" s="80" t="str">
        <f>REPLACE(INDEX(GroupVertices[Group],MATCH(Edges[[#This Row],[Vertex 1]],GroupVertices[Vertex],0)),1,1,"")</f>
        <v>5</v>
      </c>
      <c r="BE106" s="80" t="str">
        <f>REPLACE(INDEX(GroupVertices[Group],MATCH(Edges[[#This Row],[Vertex 2]],GroupVertices[Vertex],0)),1,1,"")</f>
        <v>5</v>
      </c>
      <c r="BF106" s="49"/>
      <c r="BG106" s="50"/>
      <c r="BH106" s="49"/>
      <c r="BI106" s="50"/>
      <c r="BJ106" s="49"/>
      <c r="BK106" s="50"/>
      <c r="BL106" s="49"/>
      <c r="BM106" s="50"/>
      <c r="BN106" s="49"/>
    </row>
    <row r="107" spans="1:66" ht="15">
      <c r="A107" s="66" t="s">
        <v>295</v>
      </c>
      <c r="B107" s="66" t="s">
        <v>296</v>
      </c>
      <c r="C107" s="67" t="s">
        <v>1216</v>
      </c>
      <c r="D107" s="68">
        <v>3</v>
      </c>
      <c r="E107" s="67" t="s">
        <v>132</v>
      </c>
      <c r="F107" s="70">
        <v>32</v>
      </c>
      <c r="G107" s="67"/>
      <c r="H107" s="71"/>
      <c r="I107" s="72"/>
      <c r="J107" s="72"/>
      <c r="K107" s="35" t="s">
        <v>66</v>
      </c>
      <c r="L107" s="73">
        <v>107</v>
      </c>
      <c r="M107" s="73"/>
      <c r="N107" s="74"/>
      <c r="O107" s="81" t="s">
        <v>315</v>
      </c>
      <c r="P107" s="83">
        <v>44290.62664351852</v>
      </c>
      <c r="Q107" s="81" t="s">
        <v>322</v>
      </c>
      <c r="R107" s="81" t="s">
        <v>336</v>
      </c>
      <c r="S107" s="81" t="s">
        <v>338</v>
      </c>
      <c r="T107" s="81"/>
      <c r="U107" s="81"/>
      <c r="V107" s="84" t="str">
        <f>HYPERLINK("https://pbs.twimg.com/profile_images/794006780212838401/frkGovMb_normal.jpg")</f>
        <v>https://pbs.twimg.com/profile_images/794006780212838401/frkGovMb_normal.jpg</v>
      </c>
      <c r="W107" s="83">
        <v>44290.62664351852</v>
      </c>
      <c r="X107" s="88">
        <v>44290</v>
      </c>
      <c r="Y107" s="86" t="s">
        <v>389</v>
      </c>
      <c r="Z107" s="84" t="str">
        <f>HYPERLINK("https://twitter.com/joaquinbazzano/status/1378724633680171010")</f>
        <v>https://twitter.com/joaquinbazzano/status/1378724633680171010</v>
      </c>
      <c r="AA107" s="81"/>
      <c r="AB107" s="81"/>
      <c r="AC107" s="86" t="s">
        <v>447</v>
      </c>
      <c r="AD107" s="81"/>
      <c r="AE107" s="81" t="b">
        <v>0</v>
      </c>
      <c r="AF107" s="81">
        <v>0</v>
      </c>
      <c r="AG107" s="86" t="s">
        <v>462</v>
      </c>
      <c r="AH107" s="81" t="b">
        <v>0</v>
      </c>
      <c r="AI107" s="81" t="s">
        <v>469</v>
      </c>
      <c r="AJ107" s="81"/>
      <c r="AK107" s="86" t="s">
        <v>462</v>
      </c>
      <c r="AL107" s="81" t="b">
        <v>0</v>
      </c>
      <c r="AM107" s="81">
        <v>4</v>
      </c>
      <c r="AN107" s="86" t="s">
        <v>448</v>
      </c>
      <c r="AO107" s="86" t="s">
        <v>470</v>
      </c>
      <c r="AP107" s="81" t="b">
        <v>0</v>
      </c>
      <c r="AQ107" s="86" t="s">
        <v>448</v>
      </c>
      <c r="AR107" s="81"/>
      <c r="AS107" s="81">
        <v>0</v>
      </c>
      <c r="AT107" s="81">
        <v>0</v>
      </c>
      <c r="AU107" s="81"/>
      <c r="AV107" s="81"/>
      <c r="AW107" s="81"/>
      <c r="AX107" s="81"/>
      <c r="AY107" s="81"/>
      <c r="AZ107" s="81"/>
      <c r="BA107" s="81"/>
      <c r="BB107" s="81"/>
      <c r="BC107">
        <v>1</v>
      </c>
      <c r="BD107" s="80" t="str">
        <f>REPLACE(INDEX(GroupVertices[Group],MATCH(Edges[[#This Row],[Vertex 1]],GroupVertices[Vertex],0)),1,1,"")</f>
        <v>5</v>
      </c>
      <c r="BE107" s="80" t="str">
        <f>REPLACE(INDEX(GroupVertices[Group],MATCH(Edges[[#This Row],[Vertex 2]],GroupVertices[Vertex],0)),1,1,"")</f>
        <v>5</v>
      </c>
      <c r="BF107" s="49">
        <v>0</v>
      </c>
      <c r="BG107" s="50">
        <v>0</v>
      </c>
      <c r="BH107" s="49">
        <v>0</v>
      </c>
      <c r="BI107" s="50">
        <v>0</v>
      </c>
      <c r="BJ107" s="49">
        <v>0</v>
      </c>
      <c r="BK107" s="50">
        <v>0</v>
      </c>
      <c r="BL107" s="49">
        <v>30</v>
      </c>
      <c r="BM107" s="50">
        <v>100</v>
      </c>
      <c r="BN107" s="49">
        <v>30</v>
      </c>
    </row>
    <row r="108" spans="1:66" ht="15">
      <c r="A108" s="66" t="s">
        <v>296</v>
      </c>
      <c r="B108" s="66" t="s">
        <v>295</v>
      </c>
      <c r="C108" s="67" t="s">
        <v>1216</v>
      </c>
      <c r="D108" s="68">
        <v>3</v>
      </c>
      <c r="E108" s="67" t="s">
        <v>132</v>
      </c>
      <c r="F108" s="70">
        <v>32</v>
      </c>
      <c r="G108" s="67"/>
      <c r="H108" s="71"/>
      <c r="I108" s="72"/>
      <c r="J108" s="72"/>
      <c r="K108" s="35" t="s">
        <v>66</v>
      </c>
      <c r="L108" s="73">
        <v>108</v>
      </c>
      <c r="M108" s="73"/>
      <c r="N108" s="74"/>
      <c r="O108" s="81" t="s">
        <v>316</v>
      </c>
      <c r="P108" s="83">
        <v>44290.624085648145</v>
      </c>
      <c r="Q108" s="81" t="s">
        <v>322</v>
      </c>
      <c r="R108" s="81" t="s">
        <v>336</v>
      </c>
      <c r="S108" s="81" t="s">
        <v>338</v>
      </c>
      <c r="T108" s="81"/>
      <c r="U108" s="81"/>
      <c r="V108" s="84" t="str">
        <f>HYPERLINK("https://pbs.twimg.com/profile_images/1264232810077982720/DaM6IJV3_normal.jpg")</f>
        <v>https://pbs.twimg.com/profile_images/1264232810077982720/DaM6IJV3_normal.jpg</v>
      </c>
      <c r="W108" s="83">
        <v>44290.624085648145</v>
      </c>
      <c r="X108" s="88">
        <v>44290</v>
      </c>
      <c r="Y108" s="86" t="s">
        <v>390</v>
      </c>
      <c r="Z108" s="84" t="str">
        <f>HYPERLINK("https://twitter.com/sgdambrauskas/status/1378723706298638339")</f>
        <v>https://twitter.com/sgdambrauskas/status/1378723706298638339</v>
      </c>
      <c r="AA108" s="81"/>
      <c r="AB108" s="81"/>
      <c r="AC108" s="86" t="s">
        <v>448</v>
      </c>
      <c r="AD108" s="81"/>
      <c r="AE108" s="81" t="b">
        <v>0</v>
      </c>
      <c r="AF108" s="81">
        <v>24</v>
      </c>
      <c r="AG108" s="86" t="s">
        <v>462</v>
      </c>
      <c r="AH108" s="81" t="b">
        <v>0</v>
      </c>
      <c r="AI108" s="81" t="s">
        <v>469</v>
      </c>
      <c r="AJ108" s="81"/>
      <c r="AK108" s="86" t="s">
        <v>462</v>
      </c>
      <c r="AL108" s="81" t="b">
        <v>0</v>
      </c>
      <c r="AM108" s="81">
        <v>4</v>
      </c>
      <c r="AN108" s="86" t="s">
        <v>462</v>
      </c>
      <c r="AO108" s="86" t="s">
        <v>471</v>
      </c>
      <c r="AP108" s="81" t="b">
        <v>0</v>
      </c>
      <c r="AQ108" s="86" t="s">
        <v>448</v>
      </c>
      <c r="AR108" s="81"/>
      <c r="AS108" s="81">
        <v>0</v>
      </c>
      <c r="AT108" s="81">
        <v>0</v>
      </c>
      <c r="AU108" s="81"/>
      <c r="AV108" s="81"/>
      <c r="AW108" s="81"/>
      <c r="AX108" s="81"/>
      <c r="AY108" s="81"/>
      <c r="AZ108" s="81"/>
      <c r="BA108" s="81"/>
      <c r="BB108" s="81"/>
      <c r="BC108">
        <v>1</v>
      </c>
      <c r="BD108" s="80" t="str">
        <f>REPLACE(INDEX(GroupVertices[Group],MATCH(Edges[[#This Row],[Vertex 1]],GroupVertices[Vertex],0)),1,1,"")</f>
        <v>5</v>
      </c>
      <c r="BE108" s="80" t="str">
        <f>REPLACE(INDEX(GroupVertices[Group],MATCH(Edges[[#This Row],[Vertex 2]],GroupVertices[Vertex],0)),1,1,"")</f>
        <v>5</v>
      </c>
      <c r="BF108" s="49"/>
      <c r="BG108" s="50"/>
      <c r="BH108" s="49"/>
      <c r="BI108" s="50"/>
      <c r="BJ108" s="49"/>
      <c r="BK108" s="50"/>
      <c r="BL108" s="49"/>
      <c r="BM108" s="50"/>
      <c r="BN108" s="49"/>
    </row>
    <row r="109" spans="1:66" ht="15">
      <c r="A109" s="66" t="s">
        <v>297</v>
      </c>
      <c r="B109" s="66" t="s">
        <v>295</v>
      </c>
      <c r="C109" s="67" t="s">
        <v>1216</v>
      </c>
      <c r="D109" s="68">
        <v>3</v>
      </c>
      <c r="E109" s="67" t="s">
        <v>132</v>
      </c>
      <c r="F109" s="70">
        <v>32</v>
      </c>
      <c r="G109" s="67"/>
      <c r="H109" s="71"/>
      <c r="I109" s="72"/>
      <c r="J109" s="72"/>
      <c r="K109" s="35" t="s">
        <v>66</v>
      </c>
      <c r="L109" s="73">
        <v>109</v>
      </c>
      <c r="M109" s="73"/>
      <c r="N109" s="74"/>
      <c r="O109" s="81" t="s">
        <v>314</v>
      </c>
      <c r="P109" s="83">
        <v>44290.66841435185</v>
      </c>
      <c r="Q109" s="81" t="s">
        <v>322</v>
      </c>
      <c r="R109" s="81" t="s">
        <v>336</v>
      </c>
      <c r="S109" s="81" t="s">
        <v>338</v>
      </c>
      <c r="T109" s="81"/>
      <c r="U109" s="81"/>
      <c r="V109" s="84" t="str">
        <f>HYPERLINK("https://pbs.twimg.com/profile_images/1069690072897851393/YJL3DLwd_normal.jpg")</f>
        <v>https://pbs.twimg.com/profile_images/1069690072897851393/YJL3DLwd_normal.jpg</v>
      </c>
      <c r="W109" s="83">
        <v>44290.66841435185</v>
      </c>
      <c r="X109" s="88">
        <v>44290</v>
      </c>
      <c r="Y109" s="86" t="s">
        <v>391</v>
      </c>
      <c r="Z109" s="84" t="str">
        <f>HYPERLINK("https://twitter.com/victordayan1/status/1378739768981356547")</f>
        <v>https://twitter.com/victordayan1/status/1378739768981356547</v>
      </c>
      <c r="AA109" s="81"/>
      <c r="AB109" s="81"/>
      <c r="AC109" s="86" t="s">
        <v>449</v>
      </c>
      <c r="AD109" s="81"/>
      <c r="AE109" s="81" t="b">
        <v>0</v>
      </c>
      <c r="AF109" s="81">
        <v>0</v>
      </c>
      <c r="AG109" s="86" t="s">
        <v>462</v>
      </c>
      <c r="AH109" s="81" t="b">
        <v>0</v>
      </c>
      <c r="AI109" s="81" t="s">
        <v>469</v>
      </c>
      <c r="AJ109" s="81"/>
      <c r="AK109" s="86" t="s">
        <v>462</v>
      </c>
      <c r="AL109" s="81" t="b">
        <v>0</v>
      </c>
      <c r="AM109" s="81">
        <v>4</v>
      </c>
      <c r="AN109" s="86" t="s">
        <v>448</v>
      </c>
      <c r="AO109" s="86" t="s">
        <v>470</v>
      </c>
      <c r="AP109" s="81" t="b">
        <v>0</v>
      </c>
      <c r="AQ109" s="86" t="s">
        <v>448</v>
      </c>
      <c r="AR109" s="81"/>
      <c r="AS109" s="81">
        <v>0</v>
      </c>
      <c r="AT109" s="81">
        <v>0</v>
      </c>
      <c r="AU109" s="81"/>
      <c r="AV109" s="81"/>
      <c r="AW109" s="81"/>
      <c r="AX109" s="81"/>
      <c r="AY109" s="81"/>
      <c r="AZ109" s="81"/>
      <c r="BA109" s="81"/>
      <c r="BB109" s="81"/>
      <c r="BC109">
        <v>1</v>
      </c>
      <c r="BD109" s="80" t="str">
        <f>REPLACE(INDEX(GroupVertices[Group],MATCH(Edges[[#This Row],[Vertex 1]],GroupVertices[Vertex],0)),1,1,"")</f>
        <v>5</v>
      </c>
      <c r="BE109" s="80" t="str">
        <f>REPLACE(INDEX(GroupVertices[Group],MATCH(Edges[[#This Row],[Vertex 2]],GroupVertices[Vertex],0)),1,1,"")</f>
        <v>5</v>
      </c>
      <c r="BF109" s="49"/>
      <c r="BG109" s="50"/>
      <c r="BH109" s="49"/>
      <c r="BI109" s="50"/>
      <c r="BJ109" s="49"/>
      <c r="BK109" s="50"/>
      <c r="BL109" s="49"/>
      <c r="BM109" s="50"/>
      <c r="BN109" s="49"/>
    </row>
    <row r="110" spans="1:66" ht="15">
      <c r="A110" s="66" t="s">
        <v>296</v>
      </c>
      <c r="B110" s="66" t="s">
        <v>306</v>
      </c>
      <c r="C110" s="67" t="s">
        <v>1216</v>
      </c>
      <c r="D110" s="68">
        <v>3</v>
      </c>
      <c r="E110" s="67" t="s">
        <v>132</v>
      </c>
      <c r="F110" s="70">
        <v>32</v>
      </c>
      <c r="G110" s="67"/>
      <c r="H110" s="71"/>
      <c r="I110" s="72"/>
      <c r="J110" s="72"/>
      <c r="K110" s="35" t="s">
        <v>65</v>
      </c>
      <c r="L110" s="73">
        <v>110</v>
      </c>
      <c r="M110" s="73"/>
      <c r="N110" s="74"/>
      <c r="O110" s="81" t="s">
        <v>316</v>
      </c>
      <c r="P110" s="83">
        <v>44290.624085648145</v>
      </c>
      <c r="Q110" s="81" t="s">
        <v>322</v>
      </c>
      <c r="R110" s="81" t="s">
        <v>336</v>
      </c>
      <c r="S110" s="81" t="s">
        <v>338</v>
      </c>
      <c r="T110" s="81"/>
      <c r="U110" s="81"/>
      <c r="V110" s="84" t="str">
        <f>HYPERLINK("https://pbs.twimg.com/profile_images/1264232810077982720/DaM6IJV3_normal.jpg")</f>
        <v>https://pbs.twimg.com/profile_images/1264232810077982720/DaM6IJV3_normal.jpg</v>
      </c>
      <c r="W110" s="83">
        <v>44290.624085648145</v>
      </c>
      <c r="X110" s="88">
        <v>44290</v>
      </c>
      <c r="Y110" s="86" t="s">
        <v>390</v>
      </c>
      <c r="Z110" s="84" t="str">
        <f>HYPERLINK("https://twitter.com/sgdambrauskas/status/1378723706298638339")</f>
        <v>https://twitter.com/sgdambrauskas/status/1378723706298638339</v>
      </c>
      <c r="AA110" s="81"/>
      <c r="AB110" s="81"/>
      <c r="AC110" s="86" t="s">
        <v>448</v>
      </c>
      <c r="AD110" s="81"/>
      <c r="AE110" s="81" t="b">
        <v>0</v>
      </c>
      <c r="AF110" s="81">
        <v>24</v>
      </c>
      <c r="AG110" s="86" t="s">
        <v>462</v>
      </c>
      <c r="AH110" s="81" t="b">
        <v>0</v>
      </c>
      <c r="AI110" s="81" t="s">
        <v>469</v>
      </c>
      <c r="AJ110" s="81"/>
      <c r="AK110" s="86" t="s">
        <v>462</v>
      </c>
      <c r="AL110" s="81" t="b">
        <v>0</v>
      </c>
      <c r="AM110" s="81">
        <v>4</v>
      </c>
      <c r="AN110" s="86" t="s">
        <v>462</v>
      </c>
      <c r="AO110" s="86" t="s">
        <v>471</v>
      </c>
      <c r="AP110" s="81" t="b">
        <v>0</v>
      </c>
      <c r="AQ110" s="86" t="s">
        <v>448</v>
      </c>
      <c r="AR110" s="81"/>
      <c r="AS110" s="81">
        <v>0</v>
      </c>
      <c r="AT110" s="81">
        <v>0</v>
      </c>
      <c r="AU110" s="81"/>
      <c r="AV110" s="81"/>
      <c r="AW110" s="81"/>
      <c r="AX110" s="81"/>
      <c r="AY110" s="81"/>
      <c r="AZ110" s="81"/>
      <c r="BA110" s="81"/>
      <c r="BB110" s="81"/>
      <c r="BC110">
        <v>1</v>
      </c>
      <c r="BD110" s="80" t="str">
        <f>REPLACE(INDEX(GroupVertices[Group],MATCH(Edges[[#This Row],[Vertex 1]],GroupVertices[Vertex],0)),1,1,"")</f>
        <v>5</v>
      </c>
      <c r="BE110" s="80" t="str">
        <f>REPLACE(INDEX(GroupVertices[Group],MATCH(Edges[[#This Row],[Vertex 2]],GroupVertices[Vertex],0)),1,1,"")</f>
        <v>5</v>
      </c>
      <c r="BF110" s="49"/>
      <c r="BG110" s="50"/>
      <c r="BH110" s="49"/>
      <c r="BI110" s="50"/>
      <c r="BJ110" s="49"/>
      <c r="BK110" s="50"/>
      <c r="BL110" s="49"/>
      <c r="BM110" s="50"/>
      <c r="BN110" s="49"/>
    </row>
    <row r="111" spans="1:66" ht="15">
      <c r="A111" s="66" t="s">
        <v>297</v>
      </c>
      <c r="B111" s="66" t="s">
        <v>306</v>
      </c>
      <c r="C111" s="67" t="s">
        <v>1216</v>
      </c>
      <c r="D111" s="68">
        <v>3</v>
      </c>
      <c r="E111" s="67" t="s">
        <v>132</v>
      </c>
      <c r="F111" s="70">
        <v>32</v>
      </c>
      <c r="G111" s="67"/>
      <c r="H111" s="71"/>
      <c r="I111" s="72"/>
      <c r="J111" s="72"/>
      <c r="K111" s="35" t="s">
        <v>65</v>
      </c>
      <c r="L111" s="73">
        <v>111</v>
      </c>
      <c r="M111" s="73"/>
      <c r="N111" s="74"/>
      <c r="O111" s="81" t="s">
        <v>314</v>
      </c>
      <c r="P111" s="83">
        <v>44290.66841435185</v>
      </c>
      <c r="Q111" s="81" t="s">
        <v>322</v>
      </c>
      <c r="R111" s="81" t="s">
        <v>336</v>
      </c>
      <c r="S111" s="81" t="s">
        <v>338</v>
      </c>
      <c r="T111" s="81"/>
      <c r="U111" s="81"/>
      <c r="V111" s="84" t="str">
        <f>HYPERLINK("https://pbs.twimg.com/profile_images/1069690072897851393/YJL3DLwd_normal.jpg")</f>
        <v>https://pbs.twimg.com/profile_images/1069690072897851393/YJL3DLwd_normal.jpg</v>
      </c>
      <c r="W111" s="83">
        <v>44290.66841435185</v>
      </c>
      <c r="X111" s="88">
        <v>44290</v>
      </c>
      <c r="Y111" s="86" t="s">
        <v>391</v>
      </c>
      <c r="Z111" s="84" t="str">
        <f>HYPERLINK("https://twitter.com/victordayan1/status/1378739768981356547")</f>
        <v>https://twitter.com/victordayan1/status/1378739768981356547</v>
      </c>
      <c r="AA111" s="81"/>
      <c r="AB111" s="81"/>
      <c r="AC111" s="86" t="s">
        <v>449</v>
      </c>
      <c r="AD111" s="81"/>
      <c r="AE111" s="81" t="b">
        <v>0</v>
      </c>
      <c r="AF111" s="81">
        <v>0</v>
      </c>
      <c r="AG111" s="86" t="s">
        <v>462</v>
      </c>
      <c r="AH111" s="81" t="b">
        <v>0</v>
      </c>
      <c r="AI111" s="81" t="s">
        <v>469</v>
      </c>
      <c r="AJ111" s="81"/>
      <c r="AK111" s="86" t="s">
        <v>462</v>
      </c>
      <c r="AL111" s="81" t="b">
        <v>0</v>
      </c>
      <c r="AM111" s="81">
        <v>4</v>
      </c>
      <c r="AN111" s="86" t="s">
        <v>448</v>
      </c>
      <c r="AO111" s="86" t="s">
        <v>470</v>
      </c>
      <c r="AP111" s="81" t="b">
        <v>0</v>
      </c>
      <c r="AQ111" s="86" t="s">
        <v>448</v>
      </c>
      <c r="AR111" s="81"/>
      <c r="AS111" s="81">
        <v>0</v>
      </c>
      <c r="AT111" s="81">
        <v>0</v>
      </c>
      <c r="AU111" s="81"/>
      <c r="AV111" s="81"/>
      <c r="AW111" s="81"/>
      <c r="AX111" s="81"/>
      <c r="AY111" s="81"/>
      <c r="AZ111" s="81"/>
      <c r="BA111" s="81"/>
      <c r="BB111" s="81"/>
      <c r="BC111">
        <v>1</v>
      </c>
      <c r="BD111" s="80" t="str">
        <f>REPLACE(INDEX(GroupVertices[Group],MATCH(Edges[[#This Row],[Vertex 1]],GroupVertices[Vertex],0)),1,1,"")</f>
        <v>5</v>
      </c>
      <c r="BE111" s="80" t="str">
        <f>REPLACE(INDEX(GroupVertices[Group],MATCH(Edges[[#This Row],[Vertex 2]],GroupVertices[Vertex],0)),1,1,"")</f>
        <v>5</v>
      </c>
      <c r="BF111" s="49"/>
      <c r="BG111" s="50"/>
      <c r="BH111" s="49"/>
      <c r="BI111" s="50"/>
      <c r="BJ111" s="49"/>
      <c r="BK111" s="50"/>
      <c r="BL111" s="49"/>
      <c r="BM111" s="50"/>
      <c r="BN111" s="49"/>
    </row>
    <row r="112" spans="1:66" ht="15">
      <c r="A112" s="66" t="s">
        <v>296</v>
      </c>
      <c r="B112" s="66" t="s">
        <v>300</v>
      </c>
      <c r="C112" s="67" t="s">
        <v>1216</v>
      </c>
      <c r="D112" s="68">
        <v>3</v>
      </c>
      <c r="E112" s="67" t="s">
        <v>132</v>
      </c>
      <c r="F112" s="70">
        <v>32</v>
      </c>
      <c r="G112" s="67"/>
      <c r="H112" s="71"/>
      <c r="I112" s="72"/>
      <c r="J112" s="72"/>
      <c r="K112" s="35" t="s">
        <v>65</v>
      </c>
      <c r="L112" s="73">
        <v>112</v>
      </c>
      <c r="M112" s="73"/>
      <c r="N112" s="74"/>
      <c r="O112" s="81" t="s">
        <v>316</v>
      </c>
      <c r="P112" s="83">
        <v>44290.624085648145</v>
      </c>
      <c r="Q112" s="81" t="s">
        <v>322</v>
      </c>
      <c r="R112" s="81" t="s">
        <v>336</v>
      </c>
      <c r="S112" s="81" t="s">
        <v>338</v>
      </c>
      <c r="T112" s="81"/>
      <c r="U112" s="81"/>
      <c r="V112" s="84" t="str">
        <f>HYPERLINK("https://pbs.twimg.com/profile_images/1264232810077982720/DaM6IJV3_normal.jpg")</f>
        <v>https://pbs.twimg.com/profile_images/1264232810077982720/DaM6IJV3_normal.jpg</v>
      </c>
      <c r="W112" s="83">
        <v>44290.624085648145</v>
      </c>
      <c r="X112" s="88">
        <v>44290</v>
      </c>
      <c r="Y112" s="86" t="s">
        <v>390</v>
      </c>
      <c r="Z112" s="84" t="str">
        <f>HYPERLINK("https://twitter.com/sgdambrauskas/status/1378723706298638339")</f>
        <v>https://twitter.com/sgdambrauskas/status/1378723706298638339</v>
      </c>
      <c r="AA112" s="81"/>
      <c r="AB112" s="81"/>
      <c r="AC112" s="86" t="s">
        <v>448</v>
      </c>
      <c r="AD112" s="81"/>
      <c r="AE112" s="81" t="b">
        <v>0</v>
      </c>
      <c r="AF112" s="81">
        <v>24</v>
      </c>
      <c r="AG112" s="86" t="s">
        <v>462</v>
      </c>
      <c r="AH112" s="81" t="b">
        <v>0</v>
      </c>
      <c r="AI112" s="81" t="s">
        <v>469</v>
      </c>
      <c r="AJ112" s="81"/>
      <c r="AK112" s="86" t="s">
        <v>462</v>
      </c>
      <c r="AL112" s="81" t="b">
        <v>0</v>
      </c>
      <c r="AM112" s="81">
        <v>4</v>
      </c>
      <c r="AN112" s="86" t="s">
        <v>462</v>
      </c>
      <c r="AO112" s="86" t="s">
        <v>471</v>
      </c>
      <c r="AP112" s="81" t="b">
        <v>0</v>
      </c>
      <c r="AQ112" s="86" t="s">
        <v>448</v>
      </c>
      <c r="AR112" s="81"/>
      <c r="AS112" s="81">
        <v>0</v>
      </c>
      <c r="AT112" s="81">
        <v>0</v>
      </c>
      <c r="AU112" s="81"/>
      <c r="AV112" s="81"/>
      <c r="AW112" s="81"/>
      <c r="AX112" s="81"/>
      <c r="AY112" s="81"/>
      <c r="AZ112" s="81"/>
      <c r="BA112" s="81"/>
      <c r="BB112" s="81"/>
      <c r="BC112">
        <v>1</v>
      </c>
      <c r="BD112" s="80" t="str">
        <f>REPLACE(INDEX(GroupVertices[Group],MATCH(Edges[[#This Row],[Vertex 1]],GroupVertices[Vertex],0)),1,1,"")</f>
        <v>5</v>
      </c>
      <c r="BE112" s="80" t="str">
        <f>REPLACE(INDEX(GroupVertices[Group],MATCH(Edges[[#This Row],[Vertex 2]],GroupVertices[Vertex],0)),1,1,"")</f>
        <v>2</v>
      </c>
      <c r="BF112" s="49"/>
      <c r="BG112" s="50"/>
      <c r="BH112" s="49"/>
      <c r="BI112" s="50"/>
      <c r="BJ112" s="49"/>
      <c r="BK112" s="50"/>
      <c r="BL112" s="49"/>
      <c r="BM112" s="50"/>
      <c r="BN112" s="49"/>
    </row>
    <row r="113" spans="1:66" ht="15">
      <c r="A113" s="66" t="s">
        <v>296</v>
      </c>
      <c r="B113" s="66" t="s">
        <v>297</v>
      </c>
      <c r="C113" s="67" t="s">
        <v>1216</v>
      </c>
      <c r="D113" s="68">
        <v>3</v>
      </c>
      <c r="E113" s="67" t="s">
        <v>132</v>
      </c>
      <c r="F113" s="70">
        <v>32</v>
      </c>
      <c r="G113" s="67"/>
      <c r="H113" s="71"/>
      <c r="I113" s="72"/>
      <c r="J113" s="72"/>
      <c r="K113" s="35" t="s">
        <v>66</v>
      </c>
      <c r="L113" s="73">
        <v>113</v>
      </c>
      <c r="M113" s="73"/>
      <c r="N113" s="74"/>
      <c r="O113" s="81" t="s">
        <v>316</v>
      </c>
      <c r="P113" s="83">
        <v>44290.624085648145</v>
      </c>
      <c r="Q113" s="81" t="s">
        <v>322</v>
      </c>
      <c r="R113" s="81" t="s">
        <v>336</v>
      </c>
      <c r="S113" s="81" t="s">
        <v>338</v>
      </c>
      <c r="T113" s="81"/>
      <c r="U113" s="81"/>
      <c r="V113" s="84" t="str">
        <f>HYPERLINK("https://pbs.twimg.com/profile_images/1264232810077982720/DaM6IJV3_normal.jpg")</f>
        <v>https://pbs.twimg.com/profile_images/1264232810077982720/DaM6IJV3_normal.jpg</v>
      </c>
      <c r="W113" s="83">
        <v>44290.624085648145</v>
      </c>
      <c r="X113" s="88">
        <v>44290</v>
      </c>
      <c r="Y113" s="86" t="s">
        <v>390</v>
      </c>
      <c r="Z113" s="84" t="str">
        <f>HYPERLINK("https://twitter.com/sgdambrauskas/status/1378723706298638339")</f>
        <v>https://twitter.com/sgdambrauskas/status/1378723706298638339</v>
      </c>
      <c r="AA113" s="81"/>
      <c r="AB113" s="81"/>
      <c r="AC113" s="86" t="s">
        <v>448</v>
      </c>
      <c r="AD113" s="81"/>
      <c r="AE113" s="81" t="b">
        <v>0</v>
      </c>
      <c r="AF113" s="81">
        <v>24</v>
      </c>
      <c r="AG113" s="86" t="s">
        <v>462</v>
      </c>
      <c r="AH113" s="81" t="b">
        <v>0</v>
      </c>
      <c r="AI113" s="81" t="s">
        <v>469</v>
      </c>
      <c r="AJ113" s="81"/>
      <c r="AK113" s="86" t="s">
        <v>462</v>
      </c>
      <c r="AL113" s="81" t="b">
        <v>0</v>
      </c>
      <c r="AM113" s="81">
        <v>4</v>
      </c>
      <c r="AN113" s="86" t="s">
        <v>462</v>
      </c>
      <c r="AO113" s="86" t="s">
        <v>471</v>
      </c>
      <c r="AP113" s="81" t="b">
        <v>0</v>
      </c>
      <c r="AQ113" s="86" t="s">
        <v>448</v>
      </c>
      <c r="AR113" s="81"/>
      <c r="AS113" s="81">
        <v>0</v>
      </c>
      <c r="AT113" s="81">
        <v>0</v>
      </c>
      <c r="AU113" s="81"/>
      <c r="AV113" s="81"/>
      <c r="AW113" s="81"/>
      <c r="AX113" s="81"/>
      <c r="AY113" s="81"/>
      <c r="AZ113" s="81"/>
      <c r="BA113" s="81"/>
      <c r="BB113" s="81"/>
      <c r="BC113">
        <v>1</v>
      </c>
      <c r="BD113" s="80" t="str">
        <f>REPLACE(INDEX(GroupVertices[Group],MATCH(Edges[[#This Row],[Vertex 1]],GroupVertices[Vertex],0)),1,1,"")</f>
        <v>5</v>
      </c>
      <c r="BE113" s="80" t="str">
        <f>REPLACE(INDEX(GroupVertices[Group],MATCH(Edges[[#This Row],[Vertex 2]],GroupVertices[Vertex],0)),1,1,"")</f>
        <v>5</v>
      </c>
      <c r="BF113" s="49">
        <v>0</v>
      </c>
      <c r="BG113" s="50">
        <v>0</v>
      </c>
      <c r="BH113" s="49">
        <v>0</v>
      </c>
      <c r="BI113" s="50">
        <v>0</v>
      </c>
      <c r="BJ113" s="49">
        <v>0</v>
      </c>
      <c r="BK113" s="50">
        <v>0</v>
      </c>
      <c r="BL113" s="49">
        <v>30</v>
      </c>
      <c r="BM113" s="50">
        <v>100</v>
      </c>
      <c r="BN113" s="49">
        <v>30</v>
      </c>
    </row>
    <row r="114" spans="1:66" ht="15">
      <c r="A114" s="66" t="s">
        <v>297</v>
      </c>
      <c r="B114" s="66" t="s">
        <v>296</v>
      </c>
      <c r="C114" s="67" t="s">
        <v>1216</v>
      </c>
      <c r="D114" s="68">
        <v>3</v>
      </c>
      <c r="E114" s="67" t="s">
        <v>132</v>
      </c>
      <c r="F114" s="70">
        <v>32</v>
      </c>
      <c r="G114" s="67"/>
      <c r="H114" s="71"/>
      <c r="I114" s="72"/>
      <c r="J114" s="72"/>
      <c r="K114" s="35" t="s">
        <v>66</v>
      </c>
      <c r="L114" s="73">
        <v>114</v>
      </c>
      <c r="M114" s="73"/>
      <c r="N114" s="74"/>
      <c r="O114" s="81" t="s">
        <v>315</v>
      </c>
      <c r="P114" s="83">
        <v>44290.66841435185</v>
      </c>
      <c r="Q114" s="81" t="s">
        <v>322</v>
      </c>
      <c r="R114" s="81" t="s">
        <v>336</v>
      </c>
      <c r="S114" s="81" t="s">
        <v>338</v>
      </c>
      <c r="T114" s="81"/>
      <c r="U114" s="81"/>
      <c r="V114" s="84" t="str">
        <f>HYPERLINK("https://pbs.twimg.com/profile_images/1069690072897851393/YJL3DLwd_normal.jpg")</f>
        <v>https://pbs.twimg.com/profile_images/1069690072897851393/YJL3DLwd_normal.jpg</v>
      </c>
      <c r="W114" s="83">
        <v>44290.66841435185</v>
      </c>
      <c r="X114" s="88">
        <v>44290</v>
      </c>
      <c r="Y114" s="86" t="s">
        <v>391</v>
      </c>
      <c r="Z114" s="84" t="str">
        <f>HYPERLINK("https://twitter.com/victordayan1/status/1378739768981356547")</f>
        <v>https://twitter.com/victordayan1/status/1378739768981356547</v>
      </c>
      <c r="AA114" s="81"/>
      <c r="AB114" s="81"/>
      <c r="AC114" s="86" t="s">
        <v>449</v>
      </c>
      <c r="AD114" s="81"/>
      <c r="AE114" s="81" t="b">
        <v>0</v>
      </c>
      <c r="AF114" s="81">
        <v>0</v>
      </c>
      <c r="AG114" s="86" t="s">
        <v>462</v>
      </c>
      <c r="AH114" s="81" t="b">
        <v>0</v>
      </c>
      <c r="AI114" s="81" t="s">
        <v>469</v>
      </c>
      <c r="AJ114" s="81"/>
      <c r="AK114" s="86" t="s">
        <v>462</v>
      </c>
      <c r="AL114" s="81" t="b">
        <v>0</v>
      </c>
      <c r="AM114" s="81">
        <v>4</v>
      </c>
      <c r="AN114" s="86" t="s">
        <v>448</v>
      </c>
      <c r="AO114" s="86" t="s">
        <v>470</v>
      </c>
      <c r="AP114" s="81" t="b">
        <v>0</v>
      </c>
      <c r="AQ114" s="86" t="s">
        <v>448</v>
      </c>
      <c r="AR114" s="81"/>
      <c r="AS114" s="81">
        <v>0</v>
      </c>
      <c r="AT114" s="81">
        <v>0</v>
      </c>
      <c r="AU114" s="81"/>
      <c r="AV114" s="81"/>
      <c r="AW114" s="81"/>
      <c r="AX114" s="81"/>
      <c r="AY114" s="81"/>
      <c r="AZ114" s="81"/>
      <c r="BA114" s="81"/>
      <c r="BB114" s="81"/>
      <c r="BC114">
        <v>1</v>
      </c>
      <c r="BD114" s="80" t="str">
        <f>REPLACE(INDEX(GroupVertices[Group],MATCH(Edges[[#This Row],[Vertex 1]],GroupVertices[Vertex],0)),1,1,"")</f>
        <v>5</v>
      </c>
      <c r="BE114" s="80" t="str">
        <f>REPLACE(INDEX(GroupVertices[Group],MATCH(Edges[[#This Row],[Vertex 2]],GroupVertices[Vertex],0)),1,1,"")</f>
        <v>5</v>
      </c>
      <c r="BF114" s="49">
        <v>0</v>
      </c>
      <c r="BG114" s="50">
        <v>0</v>
      </c>
      <c r="BH114" s="49">
        <v>0</v>
      </c>
      <c r="BI114" s="50">
        <v>0</v>
      </c>
      <c r="BJ114" s="49">
        <v>0</v>
      </c>
      <c r="BK114" s="50">
        <v>0</v>
      </c>
      <c r="BL114" s="49">
        <v>30</v>
      </c>
      <c r="BM114" s="50">
        <v>100</v>
      </c>
      <c r="BN114" s="49">
        <v>30</v>
      </c>
    </row>
    <row r="115" spans="1:66" ht="15">
      <c r="A115" s="66" t="s">
        <v>297</v>
      </c>
      <c r="B115" s="66" t="s">
        <v>300</v>
      </c>
      <c r="C115" s="67" t="s">
        <v>1216</v>
      </c>
      <c r="D115" s="68">
        <v>3</v>
      </c>
      <c r="E115" s="67" t="s">
        <v>132</v>
      </c>
      <c r="F115" s="70">
        <v>32</v>
      </c>
      <c r="G115" s="67"/>
      <c r="H115" s="71"/>
      <c r="I115" s="72"/>
      <c r="J115" s="72"/>
      <c r="K115" s="35" t="s">
        <v>65</v>
      </c>
      <c r="L115" s="73">
        <v>115</v>
      </c>
      <c r="M115" s="73"/>
      <c r="N115" s="74"/>
      <c r="O115" s="81" t="s">
        <v>314</v>
      </c>
      <c r="P115" s="83">
        <v>44290.66841435185</v>
      </c>
      <c r="Q115" s="81" t="s">
        <v>322</v>
      </c>
      <c r="R115" s="81" t="s">
        <v>336</v>
      </c>
      <c r="S115" s="81" t="s">
        <v>338</v>
      </c>
      <c r="T115" s="81"/>
      <c r="U115" s="81"/>
      <c r="V115" s="84" t="str">
        <f>HYPERLINK("https://pbs.twimg.com/profile_images/1069690072897851393/YJL3DLwd_normal.jpg")</f>
        <v>https://pbs.twimg.com/profile_images/1069690072897851393/YJL3DLwd_normal.jpg</v>
      </c>
      <c r="W115" s="83">
        <v>44290.66841435185</v>
      </c>
      <c r="X115" s="88">
        <v>44290</v>
      </c>
      <c r="Y115" s="86" t="s">
        <v>391</v>
      </c>
      <c r="Z115" s="84" t="str">
        <f>HYPERLINK("https://twitter.com/victordayan1/status/1378739768981356547")</f>
        <v>https://twitter.com/victordayan1/status/1378739768981356547</v>
      </c>
      <c r="AA115" s="81"/>
      <c r="AB115" s="81"/>
      <c r="AC115" s="86" t="s">
        <v>449</v>
      </c>
      <c r="AD115" s="81"/>
      <c r="AE115" s="81" t="b">
        <v>0</v>
      </c>
      <c r="AF115" s="81">
        <v>0</v>
      </c>
      <c r="AG115" s="86" t="s">
        <v>462</v>
      </c>
      <c r="AH115" s="81" t="b">
        <v>0</v>
      </c>
      <c r="AI115" s="81" t="s">
        <v>469</v>
      </c>
      <c r="AJ115" s="81"/>
      <c r="AK115" s="86" t="s">
        <v>462</v>
      </c>
      <c r="AL115" s="81" t="b">
        <v>0</v>
      </c>
      <c r="AM115" s="81">
        <v>4</v>
      </c>
      <c r="AN115" s="86" t="s">
        <v>448</v>
      </c>
      <c r="AO115" s="86" t="s">
        <v>470</v>
      </c>
      <c r="AP115" s="81" t="b">
        <v>0</v>
      </c>
      <c r="AQ115" s="86" t="s">
        <v>448</v>
      </c>
      <c r="AR115" s="81"/>
      <c r="AS115" s="81">
        <v>0</v>
      </c>
      <c r="AT115" s="81">
        <v>0</v>
      </c>
      <c r="AU115" s="81"/>
      <c r="AV115" s="81"/>
      <c r="AW115" s="81"/>
      <c r="AX115" s="81"/>
      <c r="AY115" s="81"/>
      <c r="AZ115" s="81"/>
      <c r="BA115" s="81"/>
      <c r="BB115" s="81"/>
      <c r="BC115">
        <v>1</v>
      </c>
      <c r="BD115" s="80" t="str">
        <f>REPLACE(INDEX(GroupVertices[Group],MATCH(Edges[[#This Row],[Vertex 1]],GroupVertices[Vertex],0)),1,1,"")</f>
        <v>5</v>
      </c>
      <c r="BE115" s="80" t="str">
        <f>REPLACE(INDEX(GroupVertices[Group],MATCH(Edges[[#This Row],[Vertex 2]],GroupVertices[Vertex],0)),1,1,"")</f>
        <v>2</v>
      </c>
      <c r="BF115" s="49"/>
      <c r="BG115" s="50"/>
      <c r="BH115" s="49"/>
      <c r="BI115" s="50"/>
      <c r="BJ115" s="49"/>
      <c r="BK115" s="50"/>
      <c r="BL115" s="49"/>
      <c r="BM115" s="50"/>
      <c r="BN115" s="49"/>
    </row>
    <row r="116" spans="1:66" ht="15">
      <c r="A116" s="66" t="s">
        <v>298</v>
      </c>
      <c r="B116" s="66" t="s">
        <v>298</v>
      </c>
      <c r="C116" s="67" t="s">
        <v>1218</v>
      </c>
      <c r="D116" s="68">
        <v>3</v>
      </c>
      <c r="E116" s="67" t="s">
        <v>136</v>
      </c>
      <c r="F116" s="70">
        <v>6</v>
      </c>
      <c r="G116" s="67"/>
      <c r="H116" s="71"/>
      <c r="I116" s="72"/>
      <c r="J116" s="72"/>
      <c r="K116" s="35" t="s">
        <v>65</v>
      </c>
      <c r="L116" s="73">
        <v>116</v>
      </c>
      <c r="M116" s="73"/>
      <c r="N116" s="74"/>
      <c r="O116" s="81" t="s">
        <v>213</v>
      </c>
      <c r="P116" s="83">
        <v>44290.96878472222</v>
      </c>
      <c r="Q116" s="81" t="s">
        <v>335</v>
      </c>
      <c r="R116" s="84" t="str">
        <f>HYPERLINK("https://www.bmj.com/content/372/bmj.n742")</f>
        <v>https://www.bmj.com/content/372/bmj.n742</v>
      </c>
      <c r="S116" s="81" t="s">
        <v>337</v>
      </c>
      <c r="T116" s="86" t="s">
        <v>341</v>
      </c>
      <c r="U116" s="84" t="str">
        <f>HYPERLINK("https://pbs.twimg.com/media/EyKngrCWgAEtYa2.png")</f>
        <v>https://pbs.twimg.com/media/EyKngrCWgAEtYa2.png</v>
      </c>
      <c r="V116" s="84" t="str">
        <f>HYPERLINK("https://pbs.twimg.com/media/EyKngrCWgAEtYa2.png")</f>
        <v>https://pbs.twimg.com/media/EyKngrCWgAEtYa2.png</v>
      </c>
      <c r="W116" s="83">
        <v>44290.96878472222</v>
      </c>
      <c r="X116" s="88">
        <v>44290</v>
      </c>
      <c r="Y116" s="86" t="s">
        <v>392</v>
      </c>
      <c r="Z116" s="84" t="str">
        <f>HYPERLINK("https://twitter.com/agu_scicomm/status/1378848618912882688")</f>
        <v>https://twitter.com/agu_scicomm/status/1378848618912882688</v>
      </c>
      <c r="AA116" s="81"/>
      <c r="AB116" s="81"/>
      <c r="AC116" s="86" t="s">
        <v>450</v>
      </c>
      <c r="AD116" s="81"/>
      <c r="AE116" s="81" t="b">
        <v>0</v>
      </c>
      <c r="AF116" s="81">
        <v>0</v>
      </c>
      <c r="AG116" s="86" t="s">
        <v>462</v>
      </c>
      <c r="AH116" s="81" t="b">
        <v>0</v>
      </c>
      <c r="AI116" s="81" t="s">
        <v>467</v>
      </c>
      <c r="AJ116" s="81"/>
      <c r="AK116" s="86" t="s">
        <v>462</v>
      </c>
      <c r="AL116" s="81" t="b">
        <v>0</v>
      </c>
      <c r="AM116" s="81">
        <v>1</v>
      </c>
      <c r="AN116" s="86" t="s">
        <v>462</v>
      </c>
      <c r="AO116" s="86" t="s">
        <v>473</v>
      </c>
      <c r="AP116" s="81" t="b">
        <v>0</v>
      </c>
      <c r="AQ116" s="86" t="s">
        <v>450</v>
      </c>
      <c r="AR116" s="81"/>
      <c r="AS116" s="81">
        <v>0</v>
      </c>
      <c r="AT116" s="81">
        <v>0</v>
      </c>
      <c r="AU116" s="81"/>
      <c r="AV116" s="81"/>
      <c r="AW116" s="81"/>
      <c r="AX116" s="81"/>
      <c r="AY116" s="81"/>
      <c r="AZ116" s="81"/>
      <c r="BA116" s="81"/>
      <c r="BB116" s="81"/>
      <c r="BC116">
        <v>3</v>
      </c>
      <c r="BD116" s="80" t="str">
        <f>REPLACE(INDEX(GroupVertices[Group],MATCH(Edges[[#This Row],[Vertex 1]],GroupVertices[Vertex],0)),1,1,"")</f>
        <v>8</v>
      </c>
      <c r="BE116" s="80" t="str">
        <f>REPLACE(INDEX(GroupVertices[Group],MATCH(Edges[[#This Row],[Vertex 2]],GroupVertices[Vertex],0)),1,1,"")</f>
        <v>8</v>
      </c>
      <c r="BF116" s="49">
        <v>0</v>
      </c>
      <c r="BG116" s="50">
        <v>0</v>
      </c>
      <c r="BH116" s="49">
        <v>1</v>
      </c>
      <c r="BI116" s="50">
        <v>10</v>
      </c>
      <c r="BJ116" s="49">
        <v>0</v>
      </c>
      <c r="BK116" s="50">
        <v>0</v>
      </c>
      <c r="BL116" s="49">
        <v>9</v>
      </c>
      <c r="BM116" s="50">
        <v>90</v>
      </c>
      <c r="BN116" s="49">
        <v>10</v>
      </c>
    </row>
    <row r="117" spans="1:66" ht="15">
      <c r="A117" s="66" t="s">
        <v>298</v>
      </c>
      <c r="B117" s="66" t="s">
        <v>298</v>
      </c>
      <c r="C117" s="67" t="s">
        <v>1218</v>
      </c>
      <c r="D117" s="68">
        <v>3</v>
      </c>
      <c r="E117" s="67" t="s">
        <v>136</v>
      </c>
      <c r="F117" s="70">
        <v>6</v>
      </c>
      <c r="G117" s="67"/>
      <c r="H117" s="71"/>
      <c r="I117" s="72"/>
      <c r="J117" s="72"/>
      <c r="K117" s="35" t="s">
        <v>65</v>
      </c>
      <c r="L117" s="73">
        <v>117</v>
      </c>
      <c r="M117" s="73"/>
      <c r="N117" s="74"/>
      <c r="O117" s="81" t="s">
        <v>213</v>
      </c>
      <c r="P117" s="83">
        <v>44288.062523148146</v>
      </c>
      <c r="Q117" s="81" t="s">
        <v>332</v>
      </c>
      <c r="R117" s="84" t="str">
        <f>HYPERLINK("https://www.bmj.com/content/372/bmj.n742")</f>
        <v>https://www.bmj.com/content/372/bmj.n742</v>
      </c>
      <c r="S117" s="81" t="s">
        <v>337</v>
      </c>
      <c r="T117" s="86" t="s">
        <v>341</v>
      </c>
      <c r="U117" s="84" t="str">
        <f>HYPERLINK("https://pbs.twimg.com/media/Ex7pozjWEAAqwdN.png")</f>
        <v>https://pbs.twimg.com/media/Ex7pozjWEAAqwdN.png</v>
      </c>
      <c r="V117" s="84" t="str">
        <f>HYPERLINK("https://pbs.twimg.com/media/Ex7pozjWEAAqwdN.png")</f>
        <v>https://pbs.twimg.com/media/Ex7pozjWEAAqwdN.png</v>
      </c>
      <c r="W117" s="83">
        <v>44288.062523148146</v>
      </c>
      <c r="X117" s="88">
        <v>44288</v>
      </c>
      <c r="Y117" s="86" t="s">
        <v>393</v>
      </c>
      <c r="Z117" s="84" t="str">
        <f>HYPERLINK("https://twitter.com/agu_scicomm/status/1377795426473160710")</f>
        <v>https://twitter.com/agu_scicomm/status/1377795426473160710</v>
      </c>
      <c r="AA117" s="81"/>
      <c r="AB117" s="81"/>
      <c r="AC117" s="86" t="s">
        <v>451</v>
      </c>
      <c r="AD117" s="81"/>
      <c r="AE117" s="81" t="b">
        <v>0</v>
      </c>
      <c r="AF117" s="81">
        <v>2</v>
      </c>
      <c r="AG117" s="86" t="s">
        <v>462</v>
      </c>
      <c r="AH117" s="81" t="b">
        <v>0</v>
      </c>
      <c r="AI117" s="81" t="s">
        <v>467</v>
      </c>
      <c r="AJ117" s="81"/>
      <c r="AK117" s="86" t="s">
        <v>462</v>
      </c>
      <c r="AL117" s="81" t="b">
        <v>0</v>
      </c>
      <c r="AM117" s="81">
        <v>2</v>
      </c>
      <c r="AN117" s="86" t="s">
        <v>462</v>
      </c>
      <c r="AO117" s="86" t="s">
        <v>473</v>
      </c>
      <c r="AP117" s="81" t="b">
        <v>0</v>
      </c>
      <c r="AQ117" s="86" t="s">
        <v>451</v>
      </c>
      <c r="AR117" s="81"/>
      <c r="AS117" s="81">
        <v>0</v>
      </c>
      <c r="AT117" s="81">
        <v>0</v>
      </c>
      <c r="AU117" s="81"/>
      <c r="AV117" s="81"/>
      <c r="AW117" s="81"/>
      <c r="AX117" s="81"/>
      <c r="AY117" s="81"/>
      <c r="AZ117" s="81"/>
      <c r="BA117" s="81"/>
      <c r="BB117" s="81"/>
      <c r="BC117">
        <v>3</v>
      </c>
      <c r="BD117" s="80" t="str">
        <f>REPLACE(INDEX(GroupVertices[Group],MATCH(Edges[[#This Row],[Vertex 1]],GroupVertices[Vertex],0)),1,1,"")</f>
        <v>8</v>
      </c>
      <c r="BE117" s="80" t="str">
        <f>REPLACE(INDEX(GroupVertices[Group],MATCH(Edges[[#This Row],[Vertex 2]],GroupVertices[Vertex],0)),1,1,"")</f>
        <v>8</v>
      </c>
      <c r="BF117" s="49">
        <v>0</v>
      </c>
      <c r="BG117" s="50">
        <v>0</v>
      </c>
      <c r="BH117" s="49">
        <v>1</v>
      </c>
      <c r="BI117" s="50">
        <v>10</v>
      </c>
      <c r="BJ117" s="49">
        <v>0</v>
      </c>
      <c r="BK117" s="50">
        <v>0</v>
      </c>
      <c r="BL117" s="49">
        <v>9</v>
      </c>
      <c r="BM117" s="50">
        <v>90</v>
      </c>
      <c r="BN117" s="49">
        <v>10</v>
      </c>
    </row>
    <row r="118" spans="1:66" ht="15">
      <c r="A118" s="66" t="s">
        <v>298</v>
      </c>
      <c r="B118" s="66" t="s">
        <v>298</v>
      </c>
      <c r="C118" s="67" t="s">
        <v>1218</v>
      </c>
      <c r="D118" s="68">
        <v>3</v>
      </c>
      <c r="E118" s="67" t="s">
        <v>136</v>
      </c>
      <c r="F118" s="70">
        <v>6</v>
      </c>
      <c r="G118" s="67"/>
      <c r="H118" s="71"/>
      <c r="I118" s="72"/>
      <c r="J118" s="72"/>
      <c r="K118" s="35" t="s">
        <v>65</v>
      </c>
      <c r="L118" s="73">
        <v>118</v>
      </c>
      <c r="M118" s="73"/>
      <c r="N118" s="74"/>
      <c r="O118" s="81" t="s">
        <v>213</v>
      </c>
      <c r="P118" s="83">
        <v>44284.96878472222</v>
      </c>
      <c r="Q118" s="81" t="s">
        <v>331</v>
      </c>
      <c r="R118" s="84" t="str">
        <f>HYPERLINK("https://www.bmj.com/content/372/bmj.n742")</f>
        <v>https://www.bmj.com/content/372/bmj.n742</v>
      </c>
      <c r="S118" s="81" t="s">
        <v>337</v>
      </c>
      <c r="T118" s="86" t="s">
        <v>341</v>
      </c>
      <c r="U118" s="84" t="str">
        <f>HYPERLINK("https://pbs.twimg.com/media/Exrt-L8WUAAuswf.png")</f>
        <v>https://pbs.twimg.com/media/Exrt-L8WUAAuswf.png</v>
      </c>
      <c r="V118" s="84" t="str">
        <f>HYPERLINK("https://pbs.twimg.com/media/Exrt-L8WUAAuswf.png")</f>
        <v>https://pbs.twimg.com/media/Exrt-L8WUAAuswf.png</v>
      </c>
      <c r="W118" s="83">
        <v>44284.96878472222</v>
      </c>
      <c r="X118" s="88">
        <v>44284</v>
      </c>
      <c r="Y118" s="86" t="s">
        <v>392</v>
      </c>
      <c r="Z118" s="84" t="str">
        <f>HYPERLINK("https://twitter.com/agu_scicomm/status/1376674291941523459")</f>
        <v>https://twitter.com/agu_scicomm/status/1376674291941523459</v>
      </c>
      <c r="AA118" s="81"/>
      <c r="AB118" s="81"/>
      <c r="AC118" s="86" t="s">
        <v>452</v>
      </c>
      <c r="AD118" s="81"/>
      <c r="AE118" s="81" t="b">
        <v>0</v>
      </c>
      <c r="AF118" s="81">
        <v>1</v>
      </c>
      <c r="AG118" s="86" t="s">
        <v>462</v>
      </c>
      <c r="AH118" s="81" t="b">
        <v>0</v>
      </c>
      <c r="AI118" s="81" t="s">
        <v>467</v>
      </c>
      <c r="AJ118" s="81"/>
      <c r="AK118" s="86" t="s">
        <v>462</v>
      </c>
      <c r="AL118" s="81" t="b">
        <v>0</v>
      </c>
      <c r="AM118" s="81">
        <v>1</v>
      </c>
      <c r="AN118" s="86" t="s">
        <v>462</v>
      </c>
      <c r="AO118" s="86" t="s">
        <v>473</v>
      </c>
      <c r="AP118" s="81" t="b">
        <v>0</v>
      </c>
      <c r="AQ118" s="86" t="s">
        <v>452</v>
      </c>
      <c r="AR118" s="81"/>
      <c r="AS118" s="81">
        <v>0</v>
      </c>
      <c r="AT118" s="81">
        <v>0</v>
      </c>
      <c r="AU118" s="81"/>
      <c r="AV118" s="81"/>
      <c r="AW118" s="81"/>
      <c r="AX118" s="81"/>
      <c r="AY118" s="81"/>
      <c r="AZ118" s="81"/>
      <c r="BA118" s="81"/>
      <c r="BB118" s="81"/>
      <c r="BC118">
        <v>3</v>
      </c>
      <c r="BD118" s="80" t="str">
        <f>REPLACE(INDEX(GroupVertices[Group],MATCH(Edges[[#This Row],[Vertex 1]],GroupVertices[Vertex],0)),1,1,"")</f>
        <v>8</v>
      </c>
      <c r="BE118" s="80" t="str">
        <f>REPLACE(INDEX(GroupVertices[Group],MATCH(Edges[[#This Row],[Vertex 2]],GroupVertices[Vertex],0)),1,1,"")</f>
        <v>8</v>
      </c>
      <c r="BF118" s="49">
        <v>0</v>
      </c>
      <c r="BG118" s="50">
        <v>0</v>
      </c>
      <c r="BH118" s="49">
        <v>1</v>
      </c>
      <c r="BI118" s="50">
        <v>10</v>
      </c>
      <c r="BJ118" s="49">
        <v>0</v>
      </c>
      <c r="BK118" s="50">
        <v>0</v>
      </c>
      <c r="BL118" s="49">
        <v>9</v>
      </c>
      <c r="BM118" s="50">
        <v>90</v>
      </c>
      <c r="BN118" s="49">
        <v>10</v>
      </c>
    </row>
    <row r="119" spans="1:66" ht="15">
      <c r="A119" s="66" t="s">
        <v>299</v>
      </c>
      <c r="B119" s="66" t="s">
        <v>298</v>
      </c>
      <c r="C119" s="67" t="s">
        <v>1217</v>
      </c>
      <c r="D119" s="68">
        <v>3</v>
      </c>
      <c r="E119" s="67" t="s">
        <v>136</v>
      </c>
      <c r="F119" s="70">
        <v>19</v>
      </c>
      <c r="G119" s="67"/>
      <c r="H119" s="71"/>
      <c r="I119" s="72"/>
      <c r="J119" s="72"/>
      <c r="K119" s="35" t="s">
        <v>65</v>
      </c>
      <c r="L119" s="73">
        <v>119</v>
      </c>
      <c r="M119" s="73"/>
      <c r="N119" s="74"/>
      <c r="O119" s="81" t="s">
        <v>315</v>
      </c>
      <c r="P119" s="83">
        <v>44288.30003472222</v>
      </c>
      <c r="Q119" s="81" t="s">
        <v>332</v>
      </c>
      <c r="R119" s="84" t="str">
        <f>HYPERLINK("https://www.bmj.com/content/372/bmj.n742")</f>
        <v>https://www.bmj.com/content/372/bmj.n742</v>
      </c>
      <c r="S119" s="81" t="s">
        <v>337</v>
      </c>
      <c r="T119" s="86" t="s">
        <v>341</v>
      </c>
      <c r="U119" s="84" t="str">
        <f>HYPERLINK("https://pbs.twimg.com/media/Ex7pozjWEAAqwdN.png")</f>
        <v>https://pbs.twimg.com/media/Ex7pozjWEAAqwdN.png</v>
      </c>
      <c r="V119" s="84" t="str">
        <f>HYPERLINK("https://pbs.twimg.com/media/Ex7pozjWEAAqwdN.png")</f>
        <v>https://pbs.twimg.com/media/Ex7pozjWEAAqwdN.png</v>
      </c>
      <c r="W119" s="83">
        <v>44288.30003472222</v>
      </c>
      <c r="X119" s="88">
        <v>44288</v>
      </c>
      <c r="Y119" s="86" t="s">
        <v>394</v>
      </c>
      <c r="Z119" s="84" t="str">
        <f>HYPERLINK("https://twitter.com/chabis_ch/status/1377881497294757888")</f>
        <v>https://twitter.com/chabis_ch/status/1377881497294757888</v>
      </c>
      <c r="AA119" s="81"/>
      <c r="AB119" s="81"/>
      <c r="AC119" s="86" t="s">
        <v>453</v>
      </c>
      <c r="AD119" s="81"/>
      <c r="AE119" s="81" t="b">
        <v>0</v>
      </c>
      <c r="AF119" s="81">
        <v>0</v>
      </c>
      <c r="AG119" s="86" t="s">
        <v>462</v>
      </c>
      <c r="AH119" s="81" t="b">
        <v>0</v>
      </c>
      <c r="AI119" s="81" t="s">
        <v>467</v>
      </c>
      <c r="AJ119" s="81"/>
      <c r="AK119" s="86" t="s">
        <v>462</v>
      </c>
      <c r="AL119" s="81" t="b">
        <v>0</v>
      </c>
      <c r="AM119" s="81">
        <v>2</v>
      </c>
      <c r="AN119" s="86" t="s">
        <v>451</v>
      </c>
      <c r="AO119" s="86" t="s">
        <v>471</v>
      </c>
      <c r="AP119" s="81" t="b">
        <v>0</v>
      </c>
      <c r="AQ119" s="86" t="s">
        <v>451</v>
      </c>
      <c r="AR119" s="81"/>
      <c r="AS119" s="81">
        <v>0</v>
      </c>
      <c r="AT119" s="81">
        <v>0</v>
      </c>
      <c r="AU119" s="81"/>
      <c r="AV119" s="81"/>
      <c r="AW119" s="81"/>
      <c r="AX119" s="81"/>
      <c r="AY119" s="81"/>
      <c r="AZ119" s="81"/>
      <c r="BA119" s="81"/>
      <c r="BB119" s="81"/>
      <c r="BC119">
        <v>2</v>
      </c>
      <c r="BD119" s="80" t="str">
        <f>REPLACE(INDEX(GroupVertices[Group],MATCH(Edges[[#This Row],[Vertex 1]],GroupVertices[Vertex],0)),1,1,"")</f>
        <v>8</v>
      </c>
      <c r="BE119" s="80" t="str">
        <f>REPLACE(INDEX(GroupVertices[Group],MATCH(Edges[[#This Row],[Vertex 2]],GroupVertices[Vertex],0)),1,1,"")</f>
        <v>8</v>
      </c>
      <c r="BF119" s="49">
        <v>0</v>
      </c>
      <c r="BG119" s="50">
        <v>0</v>
      </c>
      <c r="BH119" s="49">
        <v>1</v>
      </c>
      <c r="BI119" s="50">
        <v>10</v>
      </c>
      <c r="BJ119" s="49">
        <v>0</v>
      </c>
      <c r="BK119" s="50">
        <v>0</v>
      </c>
      <c r="BL119" s="49">
        <v>9</v>
      </c>
      <c r="BM119" s="50">
        <v>90</v>
      </c>
      <c r="BN119" s="49">
        <v>10</v>
      </c>
    </row>
    <row r="120" spans="1:66" ht="15">
      <c r="A120" s="66" t="s">
        <v>299</v>
      </c>
      <c r="B120" s="66" t="s">
        <v>298</v>
      </c>
      <c r="C120" s="67" t="s">
        <v>1217</v>
      </c>
      <c r="D120" s="68">
        <v>3</v>
      </c>
      <c r="E120" s="67" t="s">
        <v>136</v>
      </c>
      <c r="F120" s="70">
        <v>19</v>
      </c>
      <c r="G120" s="67"/>
      <c r="H120" s="71"/>
      <c r="I120" s="72"/>
      <c r="J120" s="72"/>
      <c r="K120" s="35" t="s">
        <v>65</v>
      </c>
      <c r="L120" s="73">
        <v>120</v>
      </c>
      <c r="M120" s="73"/>
      <c r="N120" s="74"/>
      <c r="O120" s="81" t="s">
        <v>315</v>
      </c>
      <c r="P120" s="83">
        <v>44291.327997685185</v>
      </c>
      <c r="Q120" s="81" t="s">
        <v>335</v>
      </c>
      <c r="R120" s="84" t="str">
        <f>HYPERLINK("https://www.bmj.com/content/372/bmj.n742")</f>
        <v>https://www.bmj.com/content/372/bmj.n742</v>
      </c>
      <c r="S120" s="81" t="s">
        <v>337</v>
      </c>
      <c r="T120" s="86" t="s">
        <v>341</v>
      </c>
      <c r="U120" s="84" t="str">
        <f>HYPERLINK("https://pbs.twimg.com/media/EyKngrCWgAEtYa2.png")</f>
        <v>https://pbs.twimg.com/media/EyKngrCWgAEtYa2.png</v>
      </c>
      <c r="V120" s="84" t="str">
        <f>HYPERLINK("https://pbs.twimg.com/media/EyKngrCWgAEtYa2.png")</f>
        <v>https://pbs.twimg.com/media/EyKngrCWgAEtYa2.png</v>
      </c>
      <c r="W120" s="83">
        <v>44291.327997685185</v>
      </c>
      <c r="X120" s="88">
        <v>44291</v>
      </c>
      <c r="Y120" s="86" t="s">
        <v>395</v>
      </c>
      <c r="Z120" s="84" t="str">
        <f>HYPERLINK("https://twitter.com/chabis_ch/status/1378978795416338432")</f>
        <v>https://twitter.com/chabis_ch/status/1378978795416338432</v>
      </c>
      <c r="AA120" s="81"/>
      <c r="AB120" s="81"/>
      <c r="AC120" s="86" t="s">
        <v>454</v>
      </c>
      <c r="AD120" s="81"/>
      <c r="AE120" s="81" t="b">
        <v>0</v>
      </c>
      <c r="AF120" s="81">
        <v>0</v>
      </c>
      <c r="AG120" s="86" t="s">
        <v>462</v>
      </c>
      <c r="AH120" s="81" t="b">
        <v>0</v>
      </c>
      <c r="AI120" s="81" t="s">
        <v>467</v>
      </c>
      <c r="AJ120" s="81"/>
      <c r="AK120" s="86" t="s">
        <v>462</v>
      </c>
      <c r="AL120" s="81" t="b">
        <v>0</v>
      </c>
      <c r="AM120" s="81">
        <v>1</v>
      </c>
      <c r="AN120" s="86" t="s">
        <v>450</v>
      </c>
      <c r="AO120" s="86" t="s">
        <v>471</v>
      </c>
      <c r="AP120" s="81" t="b">
        <v>0</v>
      </c>
      <c r="AQ120" s="86" t="s">
        <v>450</v>
      </c>
      <c r="AR120" s="81"/>
      <c r="AS120" s="81">
        <v>0</v>
      </c>
      <c r="AT120" s="81">
        <v>0</v>
      </c>
      <c r="AU120" s="81"/>
      <c r="AV120" s="81"/>
      <c r="AW120" s="81"/>
      <c r="AX120" s="81"/>
      <c r="AY120" s="81"/>
      <c r="AZ120" s="81"/>
      <c r="BA120" s="81"/>
      <c r="BB120" s="81"/>
      <c r="BC120">
        <v>2</v>
      </c>
      <c r="BD120" s="80" t="str">
        <f>REPLACE(INDEX(GroupVertices[Group],MATCH(Edges[[#This Row],[Vertex 1]],GroupVertices[Vertex],0)),1,1,"")</f>
        <v>8</v>
      </c>
      <c r="BE120" s="80" t="str">
        <f>REPLACE(INDEX(GroupVertices[Group],MATCH(Edges[[#This Row],[Vertex 2]],GroupVertices[Vertex],0)),1,1,"")</f>
        <v>8</v>
      </c>
      <c r="BF120" s="49">
        <v>0</v>
      </c>
      <c r="BG120" s="50">
        <v>0</v>
      </c>
      <c r="BH120" s="49">
        <v>1</v>
      </c>
      <c r="BI120" s="50">
        <v>10</v>
      </c>
      <c r="BJ120" s="49">
        <v>0</v>
      </c>
      <c r="BK120" s="50">
        <v>0</v>
      </c>
      <c r="BL120" s="49">
        <v>9</v>
      </c>
      <c r="BM120" s="50">
        <v>90</v>
      </c>
      <c r="BN120" s="49">
        <v>10</v>
      </c>
    </row>
    <row r="121" spans="1:66" ht="15">
      <c r="A121" s="66" t="s">
        <v>300</v>
      </c>
      <c r="B121" s="66" t="s">
        <v>289</v>
      </c>
      <c r="C121" s="67" t="s">
        <v>1217</v>
      </c>
      <c r="D121" s="68">
        <v>3</v>
      </c>
      <c r="E121" s="67" t="s">
        <v>136</v>
      </c>
      <c r="F121" s="70">
        <v>19</v>
      </c>
      <c r="G121" s="67"/>
      <c r="H121" s="71"/>
      <c r="I121" s="72"/>
      <c r="J121" s="72"/>
      <c r="K121" s="35" t="s">
        <v>66</v>
      </c>
      <c r="L121" s="73">
        <v>121</v>
      </c>
      <c r="M121" s="73"/>
      <c r="N121" s="74"/>
      <c r="O121" s="81" t="s">
        <v>316</v>
      </c>
      <c r="P121" s="83">
        <v>44279.53480324074</v>
      </c>
      <c r="Q121" s="81" t="s">
        <v>323</v>
      </c>
      <c r="R121" s="84" t="str">
        <f>HYPERLINK("https://www.bmj.com/content/372/bmj.n742?utm_source=twitter&amp;utm_medium=social&amp;utm_term=hootsuite&amp;utm_content=sme&amp;utm_campaign=usage")</f>
        <v>https://www.bmj.com/content/372/bmj.n742?utm_source=twitter&amp;utm_medium=social&amp;utm_term=hootsuite&amp;utm_content=sme&amp;utm_campaign=usage</v>
      </c>
      <c r="S121" s="81" t="s">
        <v>337</v>
      </c>
      <c r="T121" s="81"/>
      <c r="U121" s="81"/>
      <c r="V121" s="84" t="str">
        <f>HYPERLINK("https://pbs.twimg.com/profile_images/1347267264958095361/s9MBwtY2_normal.png")</f>
        <v>https://pbs.twimg.com/profile_images/1347267264958095361/s9MBwtY2_normal.png</v>
      </c>
      <c r="W121" s="83">
        <v>44279.53480324074</v>
      </c>
      <c r="X121" s="88">
        <v>44279</v>
      </c>
      <c r="Y121" s="86" t="s">
        <v>396</v>
      </c>
      <c r="Z121" s="84" t="str">
        <f>HYPERLINK("https://twitter.com/bmj_latest/status/1374705085440270336")</f>
        <v>https://twitter.com/bmj_latest/status/1374705085440270336</v>
      </c>
      <c r="AA121" s="81"/>
      <c r="AB121" s="81"/>
      <c r="AC121" s="86" t="s">
        <v>455</v>
      </c>
      <c r="AD121" s="81"/>
      <c r="AE121" s="81" t="b">
        <v>0</v>
      </c>
      <c r="AF121" s="81">
        <v>42</v>
      </c>
      <c r="AG121" s="86" t="s">
        <v>462</v>
      </c>
      <c r="AH121" s="81" t="b">
        <v>0</v>
      </c>
      <c r="AI121" s="81" t="s">
        <v>467</v>
      </c>
      <c r="AJ121" s="81"/>
      <c r="AK121" s="86" t="s">
        <v>462</v>
      </c>
      <c r="AL121" s="81" t="b">
        <v>0</v>
      </c>
      <c r="AM121" s="81">
        <v>15</v>
      </c>
      <c r="AN121" s="86" t="s">
        <v>462</v>
      </c>
      <c r="AO121" s="86" t="s">
        <v>474</v>
      </c>
      <c r="AP121" s="81" t="b">
        <v>0</v>
      </c>
      <c r="AQ121" s="86" t="s">
        <v>455</v>
      </c>
      <c r="AR121" s="81" t="s">
        <v>315</v>
      </c>
      <c r="AS121" s="81">
        <v>0</v>
      </c>
      <c r="AT121" s="81">
        <v>0</v>
      </c>
      <c r="AU121" s="81"/>
      <c r="AV121" s="81"/>
      <c r="AW121" s="81"/>
      <c r="AX121" s="81"/>
      <c r="AY121" s="81"/>
      <c r="AZ121" s="81"/>
      <c r="BA121" s="81"/>
      <c r="BB121" s="81"/>
      <c r="BC121">
        <v>2</v>
      </c>
      <c r="BD121" s="80" t="str">
        <f>REPLACE(INDEX(GroupVertices[Group],MATCH(Edges[[#This Row],[Vertex 1]],GroupVertices[Vertex],0)),1,1,"")</f>
        <v>2</v>
      </c>
      <c r="BE121" s="80" t="str">
        <f>REPLACE(INDEX(GroupVertices[Group],MATCH(Edges[[#This Row],[Vertex 2]],GroupVertices[Vertex],0)),1,1,"")</f>
        <v>1</v>
      </c>
      <c r="BF121" s="49">
        <v>4</v>
      </c>
      <c r="BG121" s="50">
        <v>11.764705882352942</v>
      </c>
      <c r="BH121" s="49">
        <v>0</v>
      </c>
      <c r="BI121" s="50">
        <v>0</v>
      </c>
      <c r="BJ121" s="49">
        <v>0</v>
      </c>
      <c r="BK121" s="50">
        <v>0</v>
      </c>
      <c r="BL121" s="49">
        <v>30</v>
      </c>
      <c r="BM121" s="50">
        <v>88.23529411764706</v>
      </c>
      <c r="BN121" s="49">
        <v>34</v>
      </c>
    </row>
    <row r="122" spans="1:66" ht="15">
      <c r="A122" s="66" t="s">
        <v>300</v>
      </c>
      <c r="B122" s="66" t="s">
        <v>289</v>
      </c>
      <c r="C122" s="67" t="s">
        <v>1217</v>
      </c>
      <c r="D122" s="68">
        <v>3</v>
      </c>
      <c r="E122" s="67" t="s">
        <v>136</v>
      </c>
      <c r="F122" s="70">
        <v>19</v>
      </c>
      <c r="G122" s="67"/>
      <c r="H122" s="71"/>
      <c r="I122" s="72"/>
      <c r="J122" s="72"/>
      <c r="K122" s="35" t="s">
        <v>66</v>
      </c>
      <c r="L122" s="73">
        <v>122</v>
      </c>
      <c r="M122" s="73"/>
      <c r="N122" s="74"/>
      <c r="O122" s="81" t="s">
        <v>316</v>
      </c>
      <c r="P122" s="83">
        <v>44282.709340277775</v>
      </c>
      <c r="Q122" s="81" t="s">
        <v>320</v>
      </c>
      <c r="R122" s="84" t="str">
        <f>HYPERLINK("https://www.bmj.com/content/372/bmj.n742?utm_source=twitter&amp;utm_medium=social&amp;utm_term=hootsuite&amp;utm_content=sme&amp;utm_campaign=usage")</f>
        <v>https://www.bmj.com/content/372/bmj.n742?utm_source=twitter&amp;utm_medium=social&amp;utm_term=hootsuite&amp;utm_content=sme&amp;utm_campaign=usage</v>
      </c>
      <c r="S122" s="81" t="s">
        <v>337</v>
      </c>
      <c r="T122" s="81"/>
      <c r="U122" s="81"/>
      <c r="V122" s="84" t="str">
        <f>HYPERLINK("https://pbs.twimg.com/profile_images/1347267264958095361/s9MBwtY2_normal.png")</f>
        <v>https://pbs.twimg.com/profile_images/1347267264958095361/s9MBwtY2_normal.png</v>
      </c>
      <c r="W122" s="83">
        <v>44282.709340277775</v>
      </c>
      <c r="X122" s="88">
        <v>44282</v>
      </c>
      <c r="Y122" s="86" t="s">
        <v>397</v>
      </c>
      <c r="Z122" s="84" t="str">
        <f>HYPERLINK("https://twitter.com/bmj_latest/status/1375855499208491014")</f>
        <v>https://twitter.com/bmj_latest/status/1375855499208491014</v>
      </c>
      <c r="AA122" s="81"/>
      <c r="AB122" s="81"/>
      <c r="AC122" s="86" t="s">
        <v>456</v>
      </c>
      <c r="AD122" s="81"/>
      <c r="AE122" s="81" t="b">
        <v>0</v>
      </c>
      <c r="AF122" s="81">
        <v>39</v>
      </c>
      <c r="AG122" s="86" t="s">
        <v>462</v>
      </c>
      <c r="AH122" s="81" t="b">
        <v>0</v>
      </c>
      <c r="AI122" s="81" t="s">
        <v>467</v>
      </c>
      <c r="AJ122" s="81"/>
      <c r="AK122" s="86" t="s">
        <v>462</v>
      </c>
      <c r="AL122" s="81" t="b">
        <v>0</v>
      </c>
      <c r="AM122" s="81">
        <v>16</v>
      </c>
      <c r="AN122" s="86" t="s">
        <v>462</v>
      </c>
      <c r="AO122" s="86" t="s">
        <v>474</v>
      </c>
      <c r="AP122" s="81" t="b">
        <v>0</v>
      </c>
      <c r="AQ122" s="86" t="s">
        <v>456</v>
      </c>
      <c r="AR122" s="81"/>
      <c r="AS122" s="81">
        <v>0</v>
      </c>
      <c r="AT122" s="81">
        <v>0</v>
      </c>
      <c r="AU122" s="81"/>
      <c r="AV122" s="81"/>
      <c r="AW122" s="81"/>
      <c r="AX122" s="81"/>
      <c r="AY122" s="81"/>
      <c r="AZ122" s="81"/>
      <c r="BA122" s="81"/>
      <c r="BB122" s="81"/>
      <c r="BC122">
        <v>2</v>
      </c>
      <c r="BD122" s="80" t="str">
        <f>REPLACE(INDEX(GroupVertices[Group],MATCH(Edges[[#This Row],[Vertex 1]],GroupVertices[Vertex],0)),1,1,"")</f>
        <v>2</v>
      </c>
      <c r="BE122" s="80" t="str">
        <f>REPLACE(INDEX(GroupVertices[Group],MATCH(Edges[[#This Row],[Vertex 2]],GroupVertices[Vertex],0)),1,1,"")</f>
        <v>1</v>
      </c>
      <c r="BF122" s="49">
        <v>1</v>
      </c>
      <c r="BG122" s="50">
        <v>2.7777777777777777</v>
      </c>
      <c r="BH122" s="49">
        <v>1</v>
      </c>
      <c r="BI122" s="50">
        <v>2.7777777777777777</v>
      </c>
      <c r="BJ122" s="49">
        <v>0</v>
      </c>
      <c r="BK122" s="50">
        <v>0</v>
      </c>
      <c r="BL122" s="49">
        <v>34</v>
      </c>
      <c r="BM122" s="50">
        <v>94.44444444444444</v>
      </c>
      <c r="BN122" s="49">
        <v>36</v>
      </c>
    </row>
    <row r="123" spans="1:66" ht="15">
      <c r="A123" s="66" t="s">
        <v>289</v>
      </c>
      <c r="B123" s="66" t="s">
        <v>300</v>
      </c>
      <c r="C123" s="67" t="s">
        <v>1216</v>
      </c>
      <c r="D123" s="68">
        <v>3</v>
      </c>
      <c r="E123" s="67" t="s">
        <v>132</v>
      </c>
      <c r="F123" s="70">
        <v>32</v>
      </c>
      <c r="G123" s="67"/>
      <c r="H123" s="71"/>
      <c r="I123" s="72"/>
      <c r="J123" s="72"/>
      <c r="K123" s="35" t="s">
        <v>66</v>
      </c>
      <c r="L123" s="73">
        <v>123</v>
      </c>
      <c r="M123" s="73"/>
      <c r="N123" s="74"/>
      <c r="O123" s="81" t="s">
        <v>314</v>
      </c>
      <c r="P123" s="83">
        <v>44290.76912037037</v>
      </c>
      <c r="Q123" s="81" t="s">
        <v>318</v>
      </c>
      <c r="R123" s="84" t="str">
        <f>HYPERLINK("https://www.bmj.com/content/372/bmj.n742")</f>
        <v>https://www.bmj.com/content/372/bmj.n742</v>
      </c>
      <c r="S123" s="81" t="s">
        <v>337</v>
      </c>
      <c r="T123" s="81"/>
      <c r="U123" s="81"/>
      <c r="V123" s="84" t="str">
        <f>HYPERLINK("https://pbs.twimg.com/profile_images/1112065617438355458/Kl1aYTIX_normal.jpg")</f>
        <v>https://pbs.twimg.com/profile_images/1112065617438355458/Kl1aYTIX_normal.jpg</v>
      </c>
      <c r="W123" s="83">
        <v>44290.76912037037</v>
      </c>
      <c r="X123" s="88">
        <v>44290</v>
      </c>
      <c r="Y123" s="86" t="s">
        <v>383</v>
      </c>
      <c r="Z123" s="84" t="str">
        <f>HYPERLINK("https://twitter.com/apsmunro/status/1378776265457557506")</f>
        <v>https://twitter.com/apsmunro/status/1378776265457557506</v>
      </c>
      <c r="AA123" s="81"/>
      <c r="AB123" s="81"/>
      <c r="AC123" s="86" t="s">
        <v>441</v>
      </c>
      <c r="AD123" s="81"/>
      <c r="AE123" s="81" t="b">
        <v>0</v>
      </c>
      <c r="AF123" s="81">
        <v>0</v>
      </c>
      <c r="AG123" s="86" t="s">
        <v>462</v>
      </c>
      <c r="AH123" s="81" t="b">
        <v>0</v>
      </c>
      <c r="AI123" s="81" t="s">
        <v>467</v>
      </c>
      <c r="AJ123" s="81"/>
      <c r="AK123" s="86" t="s">
        <v>462</v>
      </c>
      <c r="AL123" s="81" t="b">
        <v>0</v>
      </c>
      <c r="AM123" s="81">
        <v>7</v>
      </c>
      <c r="AN123" s="86" t="s">
        <v>440</v>
      </c>
      <c r="AO123" s="86" t="s">
        <v>471</v>
      </c>
      <c r="AP123" s="81" t="b">
        <v>0</v>
      </c>
      <c r="AQ123" s="86" t="s">
        <v>440</v>
      </c>
      <c r="AR123" s="81"/>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2</v>
      </c>
      <c r="BF123" s="49"/>
      <c r="BG123" s="50"/>
      <c r="BH123" s="49"/>
      <c r="BI123" s="50"/>
      <c r="BJ123" s="49"/>
      <c r="BK123" s="50"/>
      <c r="BL123" s="49"/>
      <c r="BM123" s="50"/>
      <c r="BN123" s="49"/>
    </row>
    <row r="124" spans="1:66" ht="15">
      <c r="A124" s="66" t="s">
        <v>301</v>
      </c>
      <c r="B124" s="66" t="s">
        <v>289</v>
      </c>
      <c r="C124" s="67" t="s">
        <v>1216</v>
      </c>
      <c r="D124" s="68">
        <v>3</v>
      </c>
      <c r="E124" s="67" t="s">
        <v>132</v>
      </c>
      <c r="F124" s="70">
        <v>32</v>
      </c>
      <c r="G124" s="67"/>
      <c r="H124" s="71"/>
      <c r="I124" s="72"/>
      <c r="J124" s="72"/>
      <c r="K124" s="35" t="s">
        <v>65</v>
      </c>
      <c r="L124" s="73">
        <v>124</v>
      </c>
      <c r="M124" s="73"/>
      <c r="N124" s="74"/>
      <c r="O124" s="81" t="s">
        <v>314</v>
      </c>
      <c r="P124" s="83">
        <v>44281.250706018516</v>
      </c>
      <c r="Q124" s="81" t="s">
        <v>323</v>
      </c>
      <c r="R124" s="84" t="str">
        <f>HYPERLINK("https://www.bmj.com/content/372/bmj.n742?utm_source=twitter&amp;utm_medium=social&amp;utm_term=hootsuite&amp;utm_content=sme&amp;utm_campaign=usage")</f>
        <v>https://www.bmj.com/content/372/bmj.n742?utm_source=twitter&amp;utm_medium=social&amp;utm_term=hootsuite&amp;utm_content=sme&amp;utm_campaign=usage</v>
      </c>
      <c r="S124" s="81" t="s">
        <v>337</v>
      </c>
      <c r="T124" s="81"/>
      <c r="U124" s="81"/>
      <c r="V124" s="84" t="str">
        <f>HYPERLINK("https://pbs.twimg.com/profile_images/1354726934538821634/5F7spOwc_normal.jpg")</f>
        <v>https://pbs.twimg.com/profile_images/1354726934538821634/5F7spOwc_normal.jpg</v>
      </c>
      <c r="W124" s="83">
        <v>44281.250706018516</v>
      </c>
      <c r="X124" s="88">
        <v>44281</v>
      </c>
      <c r="Y124" s="86" t="s">
        <v>398</v>
      </c>
      <c r="Z124" s="84" t="str">
        <f>HYPERLINK("https://twitter.com/drako_law/status/1375326905944117248")</f>
        <v>https://twitter.com/drako_law/status/1375326905944117248</v>
      </c>
      <c r="AA124" s="81"/>
      <c r="AB124" s="81"/>
      <c r="AC124" s="86" t="s">
        <v>457</v>
      </c>
      <c r="AD124" s="81"/>
      <c r="AE124" s="81" t="b">
        <v>0</v>
      </c>
      <c r="AF124" s="81">
        <v>0</v>
      </c>
      <c r="AG124" s="86" t="s">
        <v>462</v>
      </c>
      <c r="AH124" s="81" t="b">
        <v>0</v>
      </c>
      <c r="AI124" s="81" t="s">
        <v>467</v>
      </c>
      <c r="AJ124" s="81"/>
      <c r="AK124" s="86" t="s">
        <v>462</v>
      </c>
      <c r="AL124" s="81" t="b">
        <v>0</v>
      </c>
      <c r="AM124" s="81">
        <v>15</v>
      </c>
      <c r="AN124" s="86" t="s">
        <v>455</v>
      </c>
      <c r="AO124" s="86" t="s">
        <v>470</v>
      </c>
      <c r="AP124" s="81" t="b">
        <v>0</v>
      </c>
      <c r="AQ124" s="86" t="s">
        <v>455</v>
      </c>
      <c r="AR124" s="81"/>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6" t="s">
        <v>301</v>
      </c>
      <c r="B125" s="66" t="s">
        <v>300</v>
      </c>
      <c r="C125" s="67" t="s">
        <v>1216</v>
      </c>
      <c r="D125" s="68">
        <v>3</v>
      </c>
      <c r="E125" s="67" t="s">
        <v>132</v>
      </c>
      <c r="F125" s="70">
        <v>32</v>
      </c>
      <c r="G125" s="67"/>
      <c r="H125" s="71"/>
      <c r="I125" s="72"/>
      <c r="J125" s="72"/>
      <c r="K125" s="35" t="s">
        <v>65</v>
      </c>
      <c r="L125" s="73">
        <v>125</v>
      </c>
      <c r="M125" s="73"/>
      <c r="N125" s="74"/>
      <c r="O125" s="81" t="s">
        <v>315</v>
      </c>
      <c r="P125" s="83">
        <v>44281.250706018516</v>
      </c>
      <c r="Q125" s="81" t="s">
        <v>323</v>
      </c>
      <c r="R125" s="84" t="str">
        <f>HYPERLINK("https://www.bmj.com/content/372/bmj.n742?utm_source=twitter&amp;utm_medium=social&amp;utm_term=hootsuite&amp;utm_content=sme&amp;utm_campaign=usage")</f>
        <v>https://www.bmj.com/content/372/bmj.n742?utm_source=twitter&amp;utm_medium=social&amp;utm_term=hootsuite&amp;utm_content=sme&amp;utm_campaign=usage</v>
      </c>
      <c r="S125" s="81" t="s">
        <v>337</v>
      </c>
      <c r="T125" s="81"/>
      <c r="U125" s="81"/>
      <c r="V125" s="84" t="str">
        <f>HYPERLINK("https://pbs.twimg.com/profile_images/1354726934538821634/5F7spOwc_normal.jpg")</f>
        <v>https://pbs.twimg.com/profile_images/1354726934538821634/5F7spOwc_normal.jpg</v>
      </c>
      <c r="W125" s="83">
        <v>44281.250706018516</v>
      </c>
      <c r="X125" s="88">
        <v>44281</v>
      </c>
      <c r="Y125" s="86" t="s">
        <v>398</v>
      </c>
      <c r="Z125" s="84" t="str">
        <f>HYPERLINK("https://twitter.com/drako_law/status/1375326905944117248")</f>
        <v>https://twitter.com/drako_law/status/1375326905944117248</v>
      </c>
      <c r="AA125" s="81"/>
      <c r="AB125" s="81"/>
      <c r="AC125" s="86" t="s">
        <v>457</v>
      </c>
      <c r="AD125" s="81"/>
      <c r="AE125" s="81" t="b">
        <v>0</v>
      </c>
      <c r="AF125" s="81">
        <v>0</v>
      </c>
      <c r="AG125" s="86" t="s">
        <v>462</v>
      </c>
      <c r="AH125" s="81" t="b">
        <v>0</v>
      </c>
      <c r="AI125" s="81" t="s">
        <v>467</v>
      </c>
      <c r="AJ125" s="81"/>
      <c r="AK125" s="86" t="s">
        <v>462</v>
      </c>
      <c r="AL125" s="81" t="b">
        <v>0</v>
      </c>
      <c r="AM125" s="81">
        <v>15</v>
      </c>
      <c r="AN125" s="86" t="s">
        <v>455</v>
      </c>
      <c r="AO125" s="86" t="s">
        <v>470</v>
      </c>
      <c r="AP125" s="81" t="b">
        <v>0</v>
      </c>
      <c r="AQ125" s="86" t="s">
        <v>455</v>
      </c>
      <c r="AR125" s="81"/>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2</v>
      </c>
      <c r="BF125" s="49">
        <v>4</v>
      </c>
      <c r="BG125" s="50">
        <v>11.764705882352942</v>
      </c>
      <c r="BH125" s="49">
        <v>0</v>
      </c>
      <c r="BI125" s="50">
        <v>0</v>
      </c>
      <c r="BJ125" s="49">
        <v>0</v>
      </c>
      <c r="BK125" s="50">
        <v>0</v>
      </c>
      <c r="BL125" s="49">
        <v>30</v>
      </c>
      <c r="BM125" s="50">
        <v>88.23529411764706</v>
      </c>
      <c r="BN125" s="49">
        <v>34</v>
      </c>
    </row>
    <row r="126" spans="1:66" ht="15">
      <c r="A126" s="66" t="s">
        <v>302</v>
      </c>
      <c r="B126" s="66" t="s">
        <v>302</v>
      </c>
      <c r="C126" s="67" t="s">
        <v>1216</v>
      </c>
      <c r="D126" s="68">
        <v>3</v>
      </c>
      <c r="E126" s="67" t="s">
        <v>132</v>
      </c>
      <c r="F126" s="70">
        <v>32</v>
      </c>
      <c r="G126" s="67"/>
      <c r="H126" s="71"/>
      <c r="I126" s="72"/>
      <c r="J126" s="72"/>
      <c r="K126" s="35" t="s">
        <v>65</v>
      </c>
      <c r="L126" s="73">
        <v>126</v>
      </c>
      <c r="M126" s="73"/>
      <c r="N126" s="74"/>
      <c r="O126" s="81" t="s">
        <v>213</v>
      </c>
      <c r="P126" s="83">
        <v>44288.36760416667</v>
      </c>
      <c r="Q126" s="84" t="str">
        <f>HYPERLINK("https://t.co/msQPYh6vYX")</f>
        <v>https://t.co/msQPYh6vYX</v>
      </c>
      <c r="R126" s="84" t="str">
        <f>HYPERLINK("https://www.bmj.com/lookup/doi/10.1136/bmj.n742")</f>
        <v>https://www.bmj.com/lookup/doi/10.1136/bmj.n742</v>
      </c>
      <c r="S126" s="81" t="s">
        <v>337</v>
      </c>
      <c r="T126" s="81"/>
      <c r="U126" s="81"/>
      <c r="V126" s="84" t="str">
        <f>HYPERLINK("https://pbs.twimg.com/profile_images/860596861727526912/Ua761TEu_normal.jpg")</f>
        <v>https://pbs.twimg.com/profile_images/860596861727526912/Ua761TEu_normal.jpg</v>
      </c>
      <c r="W126" s="83">
        <v>44288.36760416667</v>
      </c>
      <c r="X126" s="88">
        <v>44288</v>
      </c>
      <c r="Y126" s="86" t="s">
        <v>399</v>
      </c>
      <c r="Z126" s="84" t="str">
        <f>HYPERLINK("https://twitter.com/drol007/status/1377905984136429568")</f>
        <v>https://twitter.com/drol007/status/1377905984136429568</v>
      </c>
      <c r="AA126" s="81"/>
      <c r="AB126" s="81"/>
      <c r="AC126" s="86" t="s">
        <v>458</v>
      </c>
      <c r="AD126" s="81"/>
      <c r="AE126" s="81" t="b">
        <v>0</v>
      </c>
      <c r="AF126" s="81">
        <v>0</v>
      </c>
      <c r="AG126" s="86" t="s">
        <v>462</v>
      </c>
      <c r="AH126" s="81" t="b">
        <v>0</v>
      </c>
      <c r="AI126" s="81" t="s">
        <v>468</v>
      </c>
      <c r="AJ126" s="81"/>
      <c r="AK126" s="86" t="s">
        <v>462</v>
      </c>
      <c r="AL126" s="81" t="b">
        <v>0</v>
      </c>
      <c r="AM126" s="81">
        <v>0</v>
      </c>
      <c r="AN126" s="86" t="s">
        <v>462</v>
      </c>
      <c r="AO126" s="86" t="s">
        <v>475</v>
      </c>
      <c r="AP126" s="81" t="b">
        <v>0</v>
      </c>
      <c r="AQ126" s="86" t="s">
        <v>458</v>
      </c>
      <c r="AR126" s="81"/>
      <c r="AS126" s="81">
        <v>0</v>
      </c>
      <c r="AT126" s="81">
        <v>0</v>
      </c>
      <c r="AU126" s="81"/>
      <c r="AV126" s="81"/>
      <c r="AW126" s="81"/>
      <c r="AX126" s="81"/>
      <c r="AY126" s="81"/>
      <c r="AZ126" s="81"/>
      <c r="BA126" s="81"/>
      <c r="BB126" s="81"/>
      <c r="BC126">
        <v>1</v>
      </c>
      <c r="BD126" s="80" t="str">
        <f>REPLACE(INDEX(GroupVertices[Group],MATCH(Edges[[#This Row],[Vertex 1]],GroupVertices[Vertex],0)),1,1,"")</f>
        <v>4</v>
      </c>
      <c r="BE126" s="80" t="str">
        <f>REPLACE(INDEX(GroupVertices[Group],MATCH(Edges[[#This Row],[Vertex 2]],GroupVertices[Vertex],0)),1,1,"")</f>
        <v>4</v>
      </c>
      <c r="BF126" s="49">
        <v>0</v>
      </c>
      <c r="BG126" s="50">
        <v>0</v>
      </c>
      <c r="BH126" s="49">
        <v>0</v>
      </c>
      <c r="BI126" s="50">
        <v>0</v>
      </c>
      <c r="BJ126" s="49">
        <v>0</v>
      </c>
      <c r="BK126" s="50">
        <v>0</v>
      </c>
      <c r="BL126" s="49">
        <v>0</v>
      </c>
      <c r="BM126" s="50">
        <v>0</v>
      </c>
      <c r="BN126" s="49">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ErrorMessage="1" sqref="N2:N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Color" prompt="To select an optional edge color, right-click and select Select Color on the right-click menu." sqref="C3:C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Opacity" prompt="Enter an optional edge opacity between 0 (transparent) and 100 (opaque)." errorTitle="Invalid Edge Opacity" error="The optional edge opacity must be a whole number between 0 and 10." sqref="F3:F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showErrorMessage="1" promptTitle="Vertex 1 Name" prompt="Enter the name of the edge's first vertex." sqref="A3:A126"/>
    <dataValidation allowBlank="1" showInputMessage="1" showErrorMessage="1" promptTitle="Vertex 2 Name" prompt="Enter the name of the edge's second vertex." sqref="B3:B126"/>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E4D1-A509-4BD7-8A23-DF6C611F74D5}">
  <dimension ref="A1:L305"/>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12" width="28.57421875" style="0" bestFit="1" customWidth="1"/>
  </cols>
  <sheetData>
    <row r="1" spans="1:12" ht="15" customHeight="1">
      <c r="A1" s="13" t="s">
        <v>1162</v>
      </c>
      <c r="B1" s="13" t="s">
        <v>1163</v>
      </c>
      <c r="C1" s="13" t="s">
        <v>1153</v>
      </c>
      <c r="D1" s="13" t="s">
        <v>1157</v>
      </c>
      <c r="E1" s="13" t="s">
        <v>1164</v>
      </c>
      <c r="F1" s="13" t="s">
        <v>144</v>
      </c>
      <c r="G1" s="13" t="s">
        <v>1165</v>
      </c>
      <c r="H1" s="13" t="s">
        <v>1166</v>
      </c>
      <c r="I1" s="13" t="s">
        <v>1167</v>
      </c>
      <c r="J1" s="13" t="s">
        <v>1168</v>
      </c>
      <c r="K1" s="13" t="s">
        <v>1169</v>
      </c>
      <c r="L1" s="13" t="s">
        <v>1170</v>
      </c>
    </row>
    <row r="2" spans="1:12" ht="15">
      <c r="A2" s="89" t="s">
        <v>859</v>
      </c>
      <c r="B2" s="89" t="s">
        <v>860</v>
      </c>
      <c r="C2" s="89">
        <v>29</v>
      </c>
      <c r="D2" s="111">
        <v>0.01604470867442551</v>
      </c>
      <c r="E2" s="111">
        <v>1.5030242056865204</v>
      </c>
      <c r="F2" s="89" t="s">
        <v>1158</v>
      </c>
      <c r="G2" s="89" t="b">
        <v>0</v>
      </c>
      <c r="H2" s="89" t="b">
        <v>0</v>
      </c>
      <c r="I2" s="89" t="b">
        <v>0</v>
      </c>
      <c r="J2" s="89" t="b">
        <v>0</v>
      </c>
      <c r="K2" s="89" t="b">
        <v>0</v>
      </c>
      <c r="L2" s="89" t="b">
        <v>0</v>
      </c>
    </row>
    <row r="3" spans="1:12" ht="15">
      <c r="A3" s="86" t="s">
        <v>861</v>
      </c>
      <c r="B3" s="89" t="s">
        <v>862</v>
      </c>
      <c r="C3" s="89">
        <v>25</v>
      </c>
      <c r="D3" s="111">
        <v>0.008672372162095501</v>
      </c>
      <c r="E3" s="111">
        <v>1.6102341753343887</v>
      </c>
      <c r="F3" s="89" t="s">
        <v>1158</v>
      </c>
      <c r="G3" s="89" t="b">
        <v>0</v>
      </c>
      <c r="H3" s="89" t="b">
        <v>0</v>
      </c>
      <c r="I3" s="89" t="b">
        <v>0</v>
      </c>
      <c r="J3" s="89" t="b">
        <v>0</v>
      </c>
      <c r="K3" s="89" t="b">
        <v>0</v>
      </c>
      <c r="L3" s="89" t="b">
        <v>0</v>
      </c>
    </row>
    <row r="4" spans="1:12" ht="15">
      <c r="A4" s="86" t="s">
        <v>862</v>
      </c>
      <c r="B4" s="89" t="s">
        <v>289</v>
      </c>
      <c r="C4" s="89">
        <v>25</v>
      </c>
      <c r="D4" s="111">
        <v>0.008672372162095501</v>
      </c>
      <c r="E4" s="111">
        <v>1.4171095769799271</v>
      </c>
      <c r="F4" s="89" t="s">
        <v>1158</v>
      </c>
      <c r="G4" s="89" t="b">
        <v>0</v>
      </c>
      <c r="H4" s="89" t="b">
        <v>0</v>
      </c>
      <c r="I4" s="89" t="b">
        <v>0</v>
      </c>
      <c r="J4" s="89" t="b">
        <v>0</v>
      </c>
      <c r="K4" s="89" t="b">
        <v>0</v>
      </c>
      <c r="L4" s="89" t="b">
        <v>0</v>
      </c>
    </row>
    <row r="5" spans="1:12" ht="15">
      <c r="A5" s="86" t="s">
        <v>863</v>
      </c>
      <c r="B5" s="89" t="s">
        <v>864</v>
      </c>
      <c r="C5" s="89">
        <v>18</v>
      </c>
      <c r="D5" s="111">
        <v>0.008632959179254964</v>
      </c>
      <c r="E5" s="111">
        <v>1.7529016789031202</v>
      </c>
      <c r="F5" s="89" t="s">
        <v>1158</v>
      </c>
      <c r="G5" s="89" t="b">
        <v>0</v>
      </c>
      <c r="H5" s="89" t="b">
        <v>0</v>
      </c>
      <c r="I5" s="89" t="b">
        <v>0</v>
      </c>
      <c r="J5" s="89" t="b">
        <v>0</v>
      </c>
      <c r="K5" s="89" t="b">
        <v>0</v>
      </c>
      <c r="L5" s="89" t="b">
        <v>0</v>
      </c>
    </row>
    <row r="6" spans="1:12" ht="15">
      <c r="A6" s="86" t="s">
        <v>864</v>
      </c>
      <c r="B6" s="89" t="s">
        <v>865</v>
      </c>
      <c r="C6" s="89">
        <v>18</v>
      </c>
      <c r="D6" s="111">
        <v>0.008632959179254964</v>
      </c>
      <c r="E6" s="111">
        <v>1.7529016789031202</v>
      </c>
      <c r="F6" s="89" t="s">
        <v>1158</v>
      </c>
      <c r="G6" s="89" t="b">
        <v>0</v>
      </c>
      <c r="H6" s="89" t="b">
        <v>0</v>
      </c>
      <c r="I6" s="89" t="b">
        <v>0</v>
      </c>
      <c r="J6" s="89" t="b">
        <v>0</v>
      </c>
      <c r="K6" s="89" t="b">
        <v>1</v>
      </c>
      <c r="L6" s="89" t="b">
        <v>0</v>
      </c>
    </row>
    <row r="7" spans="1:12" ht="15">
      <c r="A7" s="86" t="s">
        <v>869</v>
      </c>
      <c r="B7" s="89" t="s">
        <v>870</v>
      </c>
      <c r="C7" s="89">
        <v>16</v>
      </c>
      <c r="D7" s="111">
        <v>0.008435081361655359</v>
      </c>
      <c r="E7" s="111">
        <v>1.8040542013505017</v>
      </c>
      <c r="F7" s="89" t="s">
        <v>1158</v>
      </c>
      <c r="G7" s="89" t="b">
        <v>0</v>
      </c>
      <c r="H7" s="89" t="b">
        <v>0</v>
      </c>
      <c r="I7" s="89" t="b">
        <v>0</v>
      </c>
      <c r="J7" s="89" t="b">
        <v>0</v>
      </c>
      <c r="K7" s="89" t="b">
        <v>0</v>
      </c>
      <c r="L7" s="89" t="b">
        <v>0</v>
      </c>
    </row>
    <row r="8" spans="1:12" ht="15">
      <c r="A8" s="86" t="s">
        <v>860</v>
      </c>
      <c r="B8" s="89" t="s">
        <v>1069</v>
      </c>
      <c r="C8" s="89">
        <v>14</v>
      </c>
      <c r="D8" s="111">
        <v>0.008135940152088081</v>
      </c>
      <c r="E8" s="111">
        <v>1.832082924950745</v>
      </c>
      <c r="F8" s="89" t="s">
        <v>1158</v>
      </c>
      <c r="G8" s="89" t="b">
        <v>0</v>
      </c>
      <c r="H8" s="89" t="b">
        <v>0</v>
      </c>
      <c r="I8" s="89" t="b">
        <v>0</v>
      </c>
      <c r="J8" s="89" t="b">
        <v>0</v>
      </c>
      <c r="K8" s="89" t="b">
        <v>0</v>
      </c>
      <c r="L8" s="89" t="b">
        <v>0</v>
      </c>
    </row>
    <row r="9" spans="1:12" ht="15">
      <c r="A9" s="86" t="s">
        <v>1069</v>
      </c>
      <c r="B9" s="89" t="s">
        <v>1070</v>
      </c>
      <c r="C9" s="89">
        <v>14</v>
      </c>
      <c r="D9" s="111">
        <v>0.008135940152088081</v>
      </c>
      <c r="E9" s="111">
        <v>1.8620461483281885</v>
      </c>
      <c r="F9" s="89" t="s">
        <v>1158</v>
      </c>
      <c r="G9" s="89" t="b">
        <v>0</v>
      </c>
      <c r="H9" s="89" t="b">
        <v>0</v>
      </c>
      <c r="I9" s="89" t="b">
        <v>0</v>
      </c>
      <c r="J9" s="89" t="b">
        <v>0</v>
      </c>
      <c r="K9" s="89" t="b">
        <v>0</v>
      </c>
      <c r="L9" s="89" t="b">
        <v>0</v>
      </c>
    </row>
    <row r="10" spans="1:12" ht="15">
      <c r="A10" s="86" t="s">
        <v>1070</v>
      </c>
      <c r="B10" s="89" t="s">
        <v>1071</v>
      </c>
      <c r="C10" s="89">
        <v>14</v>
      </c>
      <c r="D10" s="111">
        <v>0.008135940152088081</v>
      </c>
      <c r="E10" s="111">
        <v>1.8620461483281885</v>
      </c>
      <c r="F10" s="89" t="s">
        <v>1158</v>
      </c>
      <c r="G10" s="89" t="b">
        <v>0</v>
      </c>
      <c r="H10" s="89" t="b">
        <v>0</v>
      </c>
      <c r="I10" s="89" t="b">
        <v>0</v>
      </c>
      <c r="J10" s="89" t="b">
        <v>1</v>
      </c>
      <c r="K10" s="89" t="b">
        <v>0</v>
      </c>
      <c r="L10" s="89" t="b">
        <v>0</v>
      </c>
    </row>
    <row r="11" spans="1:12" ht="15">
      <c r="A11" s="86" t="s">
        <v>1071</v>
      </c>
      <c r="B11" s="89" t="s">
        <v>1072</v>
      </c>
      <c r="C11" s="89">
        <v>14</v>
      </c>
      <c r="D11" s="111">
        <v>0.008135940152088081</v>
      </c>
      <c r="E11" s="111">
        <v>1.8620461483281885</v>
      </c>
      <c r="F11" s="89" t="s">
        <v>1158</v>
      </c>
      <c r="G11" s="89" t="b">
        <v>1</v>
      </c>
      <c r="H11" s="89" t="b">
        <v>0</v>
      </c>
      <c r="I11" s="89" t="b">
        <v>0</v>
      </c>
      <c r="J11" s="89" t="b">
        <v>0</v>
      </c>
      <c r="K11" s="89" t="b">
        <v>0</v>
      </c>
      <c r="L11" s="89" t="b">
        <v>0</v>
      </c>
    </row>
    <row r="12" spans="1:12" ht="15">
      <c r="A12" s="86" t="s">
        <v>1072</v>
      </c>
      <c r="B12" s="89" t="s">
        <v>1073</v>
      </c>
      <c r="C12" s="89">
        <v>14</v>
      </c>
      <c r="D12" s="111">
        <v>0.008135940152088081</v>
      </c>
      <c r="E12" s="111">
        <v>1.8620461483281885</v>
      </c>
      <c r="F12" s="89" t="s">
        <v>1158</v>
      </c>
      <c r="G12" s="89" t="b">
        <v>0</v>
      </c>
      <c r="H12" s="89" t="b">
        <v>0</v>
      </c>
      <c r="I12" s="89" t="b">
        <v>0</v>
      </c>
      <c r="J12" s="89" t="b">
        <v>0</v>
      </c>
      <c r="K12" s="89" t="b">
        <v>0</v>
      </c>
      <c r="L12" s="89" t="b">
        <v>0</v>
      </c>
    </row>
    <row r="13" spans="1:12" ht="15">
      <c r="A13" s="86" t="s">
        <v>1073</v>
      </c>
      <c r="B13" s="89" t="s">
        <v>1074</v>
      </c>
      <c r="C13" s="89">
        <v>14</v>
      </c>
      <c r="D13" s="111">
        <v>0.008135940152088081</v>
      </c>
      <c r="E13" s="111">
        <v>1.8620461483281885</v>
      </c>
      <c r="F13" s="89" t="s">
        <v>1158</v>
      </c>
      <c r="G13" s="89" t="b">
        <v>0</v>
      </c>
      <c r="H13" s="89" t="b">
        <v>0</v>
      </c>
      <c r="I13" s="89" t="b">
        <v>0</v>
      </c>
      <c r="J13" s="89" t="b">
        <v>0</v>
      </c>
      <c r="K13" s="89" t="b">
        <v>0</v>
      </c>
      <c r="L13" s="89" t="b">
        <v>0</v>
      </c>
    </row>
    <row r="14" spans="1:12" ht="15">
      <c r="A14" s="86" t="s">
        <v>1074</v>
      </c>
      <c r="B14" s="89" t="s">
        <v>1075</v>
      </c>
      <c r="C14" s="89">
        <v>14</v>
      </c>
      <c r="D14" s="111">
        <v>0.008135940152088081</v>
      </c>
      <c r="E14" s="111">
        <v>1.8620461483281885</v>
      </c>
      <c r="F14" s="89" t="s">
        <v>1158</v>
      </c>
      <c r="G14" s="89" t="b">
        <v>0</v>
      </c>
      <c r="H14" s="89" t="b">
        <v>0</v>
      </c>
      <c r="I14" s="89" t="b">
        <v>0</v>
      </c>
      <c r="J14" s="89" t="b">
        <v>0</v>
      </c>
      <c r="K14" s="89" t="b">
        <v>0</v>
      </c>
      <c r="L14" s="89" t="b">
        <v>0</v>
      </c>
    </row>
    <row r="15" spans="1:12" ht="15">
      <c r="A15" s="86" t="s">
        <v>1075</v>
      </c>
      <c r="B15" s="89" t="s">
        <v>1076</v>
      </c>
      <c r="C15" s="89">
        <v>14</v>
      </c>
      <c r="D15" s="111">
        <v>0.008135940152088081</v>
      </c>
      <c r="E15" s="111">
        <v>1.8620461483281885</v>
      </c>
      <c r="F15" s="89" t="s">
        <v>1158</v>
      </c>
      <c r="G15" s="89" t="b">
        <v>0</v>
      </c>
      <c r="H15" s="89" t="b">
        <v>0</v>
      </c>
      <c r="I15" s="89" t="b">
        <v>0</v>
      </c>
      <c r="J15" s="89" t="b">
        <v>0</v>
      </c>
      <c r="K15" s="89" t="b">
        <v>0</v>
      </c>
      <c r="L15" s="89" t="b">
        <v>0</v>
      </c>
    </row>
    <row r="16" spans="1:12" ht="15">
      <c r="A16" s="86" t="s">
        <v>1076</v>
      </c>
      <c r="B16" s="89" t="s">
        <v>1077</v>
      </c>
      <c r="C16" s="89">
        <v>14</v>
      </c>
      <c r="D16" s="111">
        <v>0.008135940152088081</v>
      </c>
      <c r="E16" s="111">
        <v>1.8620461483281885</v>
      </c>
      <c r="F16" s="89" t="s">
        <v>1158</v>
      </c>
      <c r="G16" s="89" t="b">
        <v>0</v>
      </c>
      <c r="H16" s="89" t="b">
        <v>0</v>
      </c>
      <c r="I16" s="89" t="b">
        <v>0</v>
      </c>
      <c r="J16" s="89" t="b">
        <v>0</v>
      </c>
      <c r="K16" s="89" t="b">
        <v>1</v>
      </c>
      <c r="L16" s="89" t="b">
        <v>0</v>
      </c>
    </row>
    <row r="17" spans="1:12" ht="15">
      <c r="A17" s="86" t="s">
        <v>1077</v>
      </c>
      <c r="B17" s="89" t="s">
        <v>1078</v>
      </c>
      <c r="C17" s="89">
        <v>14</v>
      </c>
      <c r="D17" s="111">
        <v>0.008135940152088081</v>
      </c>
      <c r="E17" s="111">
        <v>1.8620461483281885</v>
      </c>
      <c r="F17" s="89" t="s">
        <v>1158</v>
      </c>
      <c r="G17" s="89" t="b">
        <v>0</v>
      </c>
      <c r="H17" s="89" t="b">
        <v>1</v>
      </c>
      <c r="I17" s="89" t="b">
        <v>0</v>
      </c>
      <c r="J17" s="89" t="b">
        <v>0</v>
      </c>
      <c r="K17" s="89" t="b">
        <v>0</v>
      </c>
      <c r="L17" s="89" t="b">
        <v>0</v>
      </c>
    </row>
    <row r="18" spans="1:12" ht="15">
      <c r="A18" s="86" t="s">
        <v>1078</v>
      </c>
      <c r="B18" s="89" t="s">
        <v>1079</v>
      </c>
      <c r="C18" s="89">
        <v>14</v>
      </c>
      <c r="D18" s="111">
        <v>0.008135940152088081</v>
      </c>
      <c r="E18" s="111">
        <v>1.8620461483281885</v>
      </c>
      <c r="F18" s="89" t="s">
        <v>1158</v>
      </c>
      <c r="G18" s="89" t="b">
        <v>0</v>
      </c>
      <c r="H18" s="89" t="b">
        <v>0</v>
      </c>
      <c r="I18" s="89" t="b">
        <v>0</v>
      </c>
      <c r="J18" s="89" t="b">
        <v>0</v>
      </c>
      <c r="K18" s="89" t="b">
        <v>0</v>
      </c>
      <c r="L18" s="89" t="b">
        <v>0</v>
      </c>
    </row>
    <row r="19" spans="1:12" ht="15">
      <c r="A19" s="86" t="s">
        <v>1079</v>
      </c>
      <c r="B19" s="89" t="s">
        <v>1080</v>
      </c>
      <c r="C19" s="89">
        <v>14</v>
      </c>
      <c r="D19" s="111">
        <v>0.008135940152088081</v>
      </c>
      <c r="E19" s="111">
        <v>1.8620461483281885</v>
      </c>
      <c r="F19" s="89" t="s">
        <v>1158</v>
      </c>
      <c r="G19" s="89" t="b">
        <v>0</v>
      </c>
      <c r="H19" s="89" t="b">
        <v>0</v>
      </c>
      <c r="I19" s="89" t="b">
        <v>0</v>
      </c>
      <c r="J19" s="89" t="b">
        <v>0</v>
      </c>
      <c r="K19" s="89" t="b">
        <v>0</v>
      </c>
      <c r="L19" s="89" t="b">
        <v>0</v>
      </c>
    </row>
    <row r="20" spans="1:12" ht="15">
      <c r="A20" s="86" t="s">
        <v>1080</v>
      </c>
      <c r="B20" s="89" t="s">
        <v>1081</v>
      </c>
      <c r="C20" s="89">
        <v>14</v>
      </c>
      <c r="D20" s="111">
        <v>0.008135940152088081</v>
      </c>
      <c r="E20" s="111">
        <v>1.8620461483281885</v>
      </c>
      <c r="F20" s="89" t="s">
        <v>1158</v>
      </c>
      <c r="G20" s="89" t="b">
        <v>0</v>
      </c>
      <c r="H20" s="89" t="b">
        <v>0</v>
      </c>
      <c r="I20" s="89" t="b">
        <v>0</v>
      </c>
      <c r="J20" s="89" t="b">
        <v>0</v>
      </c>
      <c r="K20" s="89" t="b">
        <v>0</v>
      </c>
      <c r="L20" s="89" t="b">
        <v>0</v>
      </c>
    </row>
    <row r="21" spans="1:12" ht="15">
      <c r="A21" s="86" t="s">
        <v>1081</v>
      </c>
      <c r="B21" s="89" t="s">
        <v>861</v>
      </c>
      <c r="C21" s="89">
        <v>14</v>
      </c>
      <c r="D21" s="111">
        <v>0.008135940152088081</v>
      </c>
      <c r="E21" s="111">
        <v>1.6102341753343887</v>
      </c>
      <c r="F21" s="89" t="s">
        <v>1158</v>
      </c>
      <c r="G21" s="89" t="b">
        <v>0</v>
      </c>
      <c r="H21" s="89" t="b">
        <v>0</v>
      </c>
      <c r="I21" s="89" t="b">
        <v>0</v>
      </c>
      <c r="J21" s="89" t="b">
        <v>0</v>
      </c>
      <c r="K21" s="89" t="b">
        <v>0</v>
      </c>
      <c r="L21" s="89" t="b">
        <v>0</v>
      </c>
    </row>
    <row r="22" spans="1:12" ht="15">
      <c r="A22" s="86" t="s">
        <v>289</v>
      </c>
      <c r="B22" s="89" t="s">
        <v>1067</v>
      </c>
      <c r="C22" s="89">
        <v>14</v>
      </c>
      <c r="D22" s="111">
        <v>0.008135940152088081</v>
      </c>
      <c r="E22" s="111">
        <v>1.4766952669641713</v>
      </c>
      <c r="F22" s="89" t="s">
        <v>1158</v>
      </c>
      <c r="G22" s="89" t="b">
        <v>0</v>
      </c>
      <c r="H22" s="89" t="b">
        <v>0</v>
      </c>
      <c r="I22" s="89" t="b">
        <v>0</v>
      </c>
      <c r="J22" s="89" t="b">
        <v>0</v>
      </c>
      <c r="K22" s="89" t="b">
        <v>0</v>
      </c>
      <c r="L22" s="89" t="b">
        <v>0</v>
      </c>
    </row>
    <row r="23" spans="1:12" ht="15">
      <c r="A23" s="86" t="s">
        <v>1067</v>
      </c>
      <c r="B23" s="89" t="s">
        <v>1082</v>
      </c>
      <c r="C23" s="89">
        <v>14</v>
      </c>
      <c r="D23" s="111">
        <v>0.008135940152088081</v>
      </c>
      <c r="E23" s="111">
        <v>1.832082924950745</v>
      </c>
      <c r="F23" s="89" t="s">
        <v>1158</v>
      </c>
      <c r="G23" s="89" t="b">
        <v>0</v>
      </c>
      <c r="H23" s="89" t="b">
        <v>0</v>
      </c>
      <c r="I23" s="89" t="b">
        <v>0</v>
      </c>
      <c r="J23" s="89" t="b">
        <v>0</v>
      </c>
      <c r="K23" s="89" t="b">
        <v>0</v>
      </c>
      <c r="L23" s="89" t="b">
        <v>0</v>
      </c>
    </row>
    <row r="24" spans="1:12" ht="15">
      <c r="A24" s="86" t="s">
        <v>1082</v>
      </c>
      <c r="B24" s="89" t="s">
        <v>1068</v>
      </c>
      <c r="C24" s="89">
        <v>14</v>
      </c>
      <c r="D24" s="111">
        <v>0.008135940152088081</v>
      </c>
      <c r="E24" s="111">
        <v>1.832082924950745</v>
      </c>
      <c r="F24" s="89" t="s">
        <v>1158</v>
      </c>
      <c r="G24" s="89" t="b">
        <v>0</v>
      </c>
      <c r="H24" s="89" t="b">
        <v>0</v>
      </c>
      <c r="I24" s="89" t="b">
        <v>0</v>
      </c>
      <c r="J24" s="89" t="b">
        <v>0</v>
      </c>
      <c r="K24" s="89" t="b">
        <v>0</v>
      </c>
      <c r="L24" s="89" t="b">
        <v>0</v>
      </c>
    </row>
    <row r="25" spans="1:12" ht="15">
      <c r="A25" s="86" t="s">
        <v>1068</v>
      </c>
      <c r="B25" s="89" t="s">
        <v>859</v>
      </c>
      <c r="C25" s="89">
        <v>14</v>
      </c>
      <c r="D25" s="111">
        <v>0.008135940152088081</v>
      </c>
      <c r="E25" s="111">
        <v>1.722938455525677</v>
      </c>
      <c r="F25" s="89" t="s">
        <v>1158</v>
      </c>
      <c r="G25" s="89" t="b">
        <v>0</v>
      </c>
      <c r="H25" s="89" t="b">
        <v>0</v>
      </c>
      <c r="I25" s="89" t="b">
        <v>0</v>
      </c>
      <c r="J25" s="89" t="b">
        <v>0</v>
      </c>
      <c r="K25" s="89" t="b">
        <v>0</v>
      </c>
      <c r="L25" s="89" t="b">
        <v>0</v>
      </c>
    </row>
    <row r="26" spans="1:12" ht="15">
      <c r="A26" s="86" t="s">
        <v>865</v>
      </c>
      <c r="B26" s="89" t="s">
        <v>846</v>
      </c>
      <c r="C26" s="89">
        <v>10</v>
      </c>
      <c r="D26" s="111">
        <v>0.0071707163873687835</v>
      </c>
      <c r="E26" s="111">
        <v>1.7529016789031202</v>
      </c>
      <c r="F26" s="89" t="s">
        <v>1158</v>
      </c>
      <c r="G26" s="89" t="b">
        <v>0</v>
      </c>
      <c r="H26" s="89" t="b">
        <v>1</v>
      </c>
      <c r="I26" s="89" t="b">
        <v>0</v>
      </c>
      <c r="J26" s="89" t="b">
        <v>0</v>
      </c>
      <c r="K26" s="89" t="b">
        <v>0</v>
      </c>
      <c r="L26" s="89" t="b">
        <v>0</v>
      </c>
    </row>
    <row r="27" spans="1:12" ht="15">
      <c r="A27" s="86" t="s">
        <v>846</v>
      </c>
      <c r="B27" s="89" t="s">
        <v>877</v>
      </c>
      <c r="C27" s="89">
        <v>10</v>
      </c>
      <c r="D27" s="111">
        <v>0.0071707163873687835</v>
      </c>
      <c r="E27" s="111">
        <v>2.0081741840064264</v>
      </c>
      <c r="F27" s="89" t="s">
        <v>1158</v>
      </c>
      <c r="G27" s="89" t="b">
        <v>0</v>
      </c>
      <c r="H27" s="89" t="b">
        <v>0</v>
      </c>
      <c r="I27" s="89" t="b">
        <v>0</v>
      </c>
      <c r="J27" s="89" t="b">
        <v>0</v>
      </c>
      <c r="K27" s="89" t="b">
        <v>0</v>
      </c>
      <c r="L27" s="89" t="b">
        <v>0</v>
      </c>
    </row>
    <row r="28" spans="1:12" ht="15">
      <c r="A28" s="86" t="s">
        <v>289</v>
      </c>
      <c r="B28" s="89" t="s">
        <v>300</v>
      </c>
      <c r="C28" s="89">
        <v>9</v>
      </c>
      <c r="D28" s="111">
        <v>0.006836730716116627</v>
      </c>
      <c r="E28" s="111">
        <v>1.2268177937475715</v>
      </c>
      <c r="F28" s="89" t="s">
        <v>1158</v>
      </c>
      <c r="G28" s="89" t="b">
        <v>0</v>
      </c>
      <c r="H28" s="89" t="b">
        <v>0</v>
      </c>
      <c r="I28" s="89" t="b">
        <v>0</v>
      </c>
      <c r="J28" s="89" t="b">
        <v>0</v>
      </c>
      <c r="K28" s="89" t="b">
        <v>0</v>
      </c>
      <c r="L28" s="89" t="b">
        <v>0</v>
      </c>
    </row>
    <row r="29" spans="1:12" ht="15">
      <c r="A29" s="86" t="s">
        <v>873</v>
      </c>
      <c r="B29" s="89" t="s">
        <v>868</v>
      </c>
      <c r="C29" s="89">
        <v>8</v>
      </c>
      <c r="D29" s="111">
        <v>0.0064577639043735865</v>
      </c>
      <c r="E29" s="111">
        <v>1.8040542013505017</v>
      </c>
      <c r="F29" s="89" t="s">
        <v>1158</v>
      </c>
      <c r="G29" s="89" t="b">
        <v>0</v>
      </c>
      <c r="H29" s="89" t="b">
        <v>0</v>
      </c>
      <c r="I29" s="89" t="b">
        <v>0</v>
      </c>
      <c r="J29" s="89" t="b">
        <v>0</v>
      </c>
      <c r="K29" s="89" t="b">
        <v>0</v>
      </c>
      <c r="L29" s="89" t="b">
        <v>0</v>
      </c>
    </row>
    <row r="30" spans="1:12" ht="15">
      <c r="A30" s="86" t="s">
        <v>868</v>
      </c>
      <c r="B30" s="89" t="s">
        <v>874</v>
      </c>
      <c r="C30" s="89">
        <v>8</v>
      </c>
      <c r="D30" s="111">
        <v>0.0064577639043735865</v>
      </c>
      <c r="E30" s="111">
        <v>1.8040542013505017</v>
      </c>
      <c r="F30" s="89" t="s">
        <v>1158</v>
      </c>
      <c r="G30" s="89" t="b">
        <v>0</v>
      </c>
      <c r="H30" s="89" t="b">
        <v>0</v>
      </c>
      <c r="I30" s="89" t="b">
        <v>0</v>
      </c>
      <c r="J30" s="89" t="b">
        <v>0</v>
      </c>
      <c r="K30" s="89" t="b">
        <v>0</v>
      </c>
      <c r="L30" s="89" t="b">
        <v>0</v>
      </c>
    </row>
    <row r="31" spans="1:12" ht="15">
      <c r="A31" s="86" t="s">
        <v>874</v>
      </c>
      <c r="B31" s="89" t="s">
        <v>869</v>
      </c>
      <c r="C31" s="89">
        <v>8</v>
      </c>
      <c r="D31" s="111">
        <v>0.0064577639043735865</v>
      </c>
      <c r="E31" s="111">
        <v>1.8040542013505017</v>
      </c>
      <c r="F31" s="89" t="s">
        <v>1158</v>
      </c>
      <c r="G31" s="89" t="b">
        <v>0</v>
      </c>
      <c r="H31" s="89" t="b">
        <v>0</v>
      </c>
      <c r="I31" s="89" t="b">
        <v>0</v>
      </c>
      <c r="J31" s="89" t="b">
        <v>0</v>
      </c>
      <c r="K31" s="89" t="b">
        <v>0</v>
      </c>
      <c r="L31" s="89" t="b">
        <v>0</v>
      </c>
    </row>
    <row r="32" spans="1:12" ht="15">
      <c r="A32" s="86" t="s">
        <v>870</v>
      </c>
      <c r="B32" s="89" t="s">
        <v>1087</v>
      </c>
      <c r="C32" s="89">
        <v>8</v>
      </c>
      <c r="D32" s="111">
        <v>0.0064577639043735865</v>
      </c>
      <c r="E32" s="111">
        <v>1.8040542013505017</v>
      </c>
      <c r="F32" s="89" t="s">
        <v>1158</v>
      </c>
      <c r="G32" s="89" t="b">
        <v>0</v>
      </c>
      <c r="H32" s="89" t="b">
        <v>0</v>
      </c>
      <c r="I32" s="89" t="b">
        <v>0</v>
      </c>
      <c r="J32" s="89" t="b">
        <v>0</v>
      </c>
      <c r="K32" s="89" t="b">
        <v>0</v>
      </c>
      <c r="L32" s="89" t="b">
        <v>0</v>
      </c>
    </row>
    <row r="33" spans="1:12" ht="15">
      <c r="A33" s="86" t="s">
        <v>1087</v>
      </c>
      <c r="B33" s="89" t="s">
        <v>1088</v>
      </c>
      <c r="C33" s="89">
        <v>8</v>
      </c>
      <c r="D33" s="111">
        <v>0.0064577639043735865</v>
      </c>
      <c r="E33" s="111">
        <v>2.1050841970144827</v>
      </c>
      <c r="F33" s="89" t="s">
        <v>1158</v>
      </c>
      <c r="G33" s="89" t="b">
        <v>0</v>
      </c>
      <c r="H33" s="89" t="b">
        <v>0</v>
      </c>
      <c r="I33" s="89" t="b">
        <v>0</v>
      </c>
      <c r="J33" s="89" t="b">
        <v>0</v>
      </c>
      <c r="K33" s="89" t="b">
        <v>0</v>
      </c>
      <c r="L33" s="89" t="b">
        <v>0</v>
      </c>
    </row>
    <row r="34" spans="1:12" ht="15">
      <c r="A34" s="86" t="s">
        <v>1088</v>
      </c>
      <c r="B34" s="89" t="s">
        <v>1089</v>
      </c>
      <c r="C34" s="89">
        <v>8</v>
      </c>
      <c r="D34" s="111">
        <v>0.0064577639043735865</v>
      </c>
      <c r="E34" s="111">
        <v>2.1050841970144827</v>
      </c>
      <c r="F34" s="89" t="s">
        <v>1158</v>
      </c>
      <c r="G34" s="89" t="b">
        <v>0</v>
      </c>
      <c r="H34" s="89" t="b">
        <v>0</v>
      </c>
      <c r="I34" s="89" t="b">
        <v>0</v>
      </c>
      <c r="J34" s="89" t="b">
        <v>0</v>
      </c>
      <c r="K34" s="89" t="b">
        <v>0</v>
      </c>
      <c r="L34" s="89" t="b">
        <v>0</v>
      </c>
    </row>
    <row r="35" spans="1:12" ht="15">
      <c r="A35" s="86" t="s">
        <v>1089</v>
      </c>
      <c r="B35" s="89" t="s">
        <v>1090</v>
      </c>
      <c r="C35" s="89">
        <v>8</v>
      </c>
      <c r="D35" s="111">
        <v>0.0064577639043735865</v>
      </c>
      <c r="E35" s="111">
        <v>2.1050841970144827</v>
      </c>
      <c r="F35" s="89" t="s">
        <v>1158</v>
      </c>
      <c r="G35" s="89" t="b">
        <v>0</v>
      </c>
      <c r="H35" s="89" t="b">
        <v>0</v>
      </c>
      <c r="I35" s="89" t="b">
        <v>0</v>
      </c>
      <c r="J35" s="89" t="b">
        <v>1</v>
      </c>
      <c r="K35" s="89" t="b">
        <v>0</v>
      </c>
      <c r="L35" s="89" t="b">
        <v>0</v>
      </c>
    </row>
    <row r="36" spans="1:12" ht="15">
      <c r="A36" s="86" t="s">
        <v>1090</v>
      </c>
      <c r="B36" s="89" t="s">
        <v>1091</v>
      </c>
      <c r="C36" s="89">
        <v>8</v>
      </c>
      <c r="D36" s="111">
        <v>0.0064577639043735865</v>
      </c>
      <c r="E36" s="111">
        <v>2.1050841970144827</v>
      </c>
      <c r="F36" s="89" t="s">
        <v>1158</v>
      </c>
      <c r="G36" s="89" t="b">
        <v>1</v>
      </c>
      <c r="H36" s="89" t="b">
        <v>0</v>
      </c>
      <c r="I36" s="89" t="b">
        <v>0</v>
      </c>
      <c r="J36" s="89" t="b">
        <v>0</v>
      </c>
      <c r="K36" s="89" t="b">
        <v>0</v>
      </c>
      <c r="L36" s="89" t="b">
        <v>0</v>
      </c>
    </row>
    <row r="37" spans="1:12" ht="15">
      <c r="A37" s="86" t="s">
        <v>1091</v>
      </c>
      <c r="B37" s="89" t="s">
        <v>871</v>
      </c>
      <c r="C37" s="89">
        <v>8</v>
      </c>
      <c r="D37" s="111">
        <v>0.0064577639043735865</v>
      </c>
      <c r="E37" s="111">
        <v>1.8040542013505017</v>
      </c>
      <c r="F37" s="89" t="s">
        <v>1158</v>
      </c>
      <c r="G37" s="89" t="b">
        <v>0</v>
      </c>
      <c r="H37" s="89" t="b">
        <v>0</v>
      </c>
      <c r="I37" s="89" t="b">
        <v>0</v>
      </c>
      <c r="J37" s="89" t="b">
        <v>0</v>
      </c>
      <c r="K37" s="89" t="b">
        <v>0</v>
      </c>
      <c r="L37" s="89" t="b">
        <v>0</v>
      </c>
    </row>
    <row r="38" spans="1:12" ht="15">
      <c r="A38" s="86" t="s">
        <v>871</v>
      </c>
      <c r="B38" s="89" t="s">
        <v>1092</v>
      </c>
      <c r="C38" s="89">
        <v>8</v>
      </c>
      <c r="D38" s="111">
        <v>0.0064577639043735865</v>
      </c>
      <c r="E38" s="111">
        <v>1.8040542013505017</v>
      </c>
      <c r="F38" s="89" t="s">
        <v>1158</v>
      </c>
      <c r="G38" s="89" t="b">
        <v>0</v>
      </c>
      <c r="H38" s="89" t="b">
        <v>0</v>
      </c>
      <c r="I38" s="89" t="b">
        <v>0</v>
      </c>
      <c r="J38" s="89" t="b">
        <v>0</v>
      </c>
      <c r="K38" s="89" t="b">
        <v>0</v>
      </c>
      <c r="L38" s="89" t="b">
        <v>0</v>
      </c>
    </row>
    <row r="39" spans="1:12" ht="15">
      <c r="A39" s="86" t="s">
        <v>1092</v>
      </c>
      <c r="B39" s="89" t="s">
        <v>1093</v>
      </c>
      <c r="C39" s="89">
        <v>8</v>
      </c>
      <c r="D39" s="111">
        <v>0.0064577639043735865</v>
      </c>
      <c r="E39" s="111">
        <v>2.1050841970144827</v>
      </c>
      <c r="F39" s="89" t="s">
        <v>1158</v>
      </c>
      <c r="G39" s="89" t="b">
        <v>0</v>
      </c>
      <c r="H39" s="89" t="b">
        <v>0</v>
      </c>
      <c r="I39" s="89" t="b">
        <v>0</v>
      </c>
      <c r="J39" s="89" t="b">
        <v>0</v>
      </c>
      <c r="K39" s="89" t="b">
        <v>0</v>
      </c>
      <c r="L39" s="89" t="b">
        <v>0</v>
      </c>
    </row>
    <row r="40" spans="1:12" ht="15">
      <c r="A40" s="86" t="s">
        <v>1093</v>
      </c>
      <c r="B40" s="89" t="s">
        <v>1094</v>
      </c>
      <c r="C40" s="89">
        <v>8</v>
      </c>
      <c r="D40" s="111">
        <v>0.0064577639043735865</v>
      </c>
      <c r="E40" s="111">
        <v>2.1050841970144827</v>
      </c>
      <c r="F40" s="89" t="s">
        <v>1158</v>
      </c>
      <c r="G40" s="89" t="b">
        <v>0</v>
      </c>
      <c r="H40" s="89" t="b">
        <v>0</v>
      </c>
      <c r="I40" s="89" t="b">
        <v>0</v>
      </c>
      <c r="J40" s="89" t="b">
        <v>0</v>
      </c>
      <c r="K40" s="89" t="b">
        <v>0</v>
      </c>
      <c r="L40" s="89" t="b">
        <v>0</v>
      </c>
    </row>
    <row r="41" spans="1:12" ht="15">
      <c r="A41" s="86" t="s">
        <v>1094</v>
      </c>
      <c r="B41" s="89" t="s">
        <v>1095</v>
      </c>
      <c r="C41" s="89">
        <v>8</v>
      </c>
      <c r="D41" s="111">
        <v>0.0064577639043735865</v>
      </c>
      <c r="E41" s="111">
        <v>2.1050841970144827</v>
      </c>
      <c r="F41" s="89" t="s">
        <v>1158</v>
      </c>
      <c r="G41" s="89" t="b">
        <v>0</v>
      </c>
      <c r="H41" s="89" t="b">
        <v>0</v>
      </c>
      <c r="I41" s="89" t="b">
        <v>0</v>
      </c>
      <c r="J41" s="89" t="b">
        <v>0</v>
      </c>
      <c r="K41" s="89" t="b">
        <v>0</v>
      </c>
      <c r="L41" s="89" t="b">
        <v>0</v>
      </c>
    </row>
    <row r="42" spans="1:12" ht="15">
      <c r="A42" s="86" t="s">
        <v>1095</v>
      </c>
      <c r="B42" s="89" t="s">
        <v>861</v>
      </c>
      <c r="C42" s="89">
        <v>8</v>
      </c>
      <c r="D42" s="111">
        <v>0.0064577639043735865</v>
      </c>
      <c r="E42" s="111">
        <v>1.610234175334389</v>
      </c>
      <c r="F42" s="89" t="s">
        <v>1158</v>
      </c>
      <c r="G42" s="89" t="b">
        <v>0</v>
      </c>
      <c r="H42" s="89" t="b">
        <v>0</v>
      </c>
      <c r="I42" s="89" t="b">
        <v>0</v>
      </c>
      <c r="J42" s="89" t="b">
        <v>0</v>
      </c>
      <c r="K42" s="89" t="b">
        <v>0</v>
      </c>
      <c r="L42" s="89" t="b">
        <v>0</v>
      </c>
    </row>
    <row r="43" spans="1:12" ht="15">
      <c r="A43" s="86" t="s">
        <v>300</v>
      </c>
      <c r="B43" s="89" t="s">
        <v>1085</v>
      </c>
      <c r="C43" s="89">
        <v>8</v>
      </c>
      <c r="D43" s="111">
        <v>0.0064577639043735865</v>
      </c>
      <c r="E43" s="111">
        <v>1.810893625880807</v>
      </c>
      <c r="F43" s="89" t="s">
        <v>1158</v>
      </c>
      <c r="G43" s="89" t="b">
        <v>0</v>
      </c>
      <c r="H43" s="89" t="b">
        <v>0</v>
      </c>
      <c r="I43" s="89" t="b">
        <v>0</v>
      </c>
      <c r="J43" s="89" t="b">
        <v>0</v>
      </c>
      <c r="K43" s="89" t="b">
        <v>0</v>
      </c>
      <c r="L43" s="89" t="b">
        <v>0</v>
      </c>
    </row>
    <row r="44" spans="1:12" ht="15">
      <c r="A44" s="86" t="s">
        <v>1085</v>
      </c>
      <c r="B44" s="89" t="s">
        <v>1096</v>
      </c>
      <c r="C44" s="89">
        <v>8</v>
      </c>
      <c r="D44" s="111">
        <v>0.0064577639043735865</v>
      </c>
      <c r="E44" s="111">
        <v>2.0539316745671017</v>
      </c>
      <c r="F44" s="89" t="s">
        <v>1158</v>
      </c>
      <c r="G44" s="89" t="b">
        <v>0</v>
      </c>
      <c r="H44" s="89" t="b">
        <v>0</v>
      </c>
      <c r="I44" s="89" t="b">
        <v>0</v>
      </c>
      <c r="J44" s="89" t="b">
        <v>0</v>
      </c>
      <c r="K44" s="89" t="b">
        <v>0</v>
      </c>
      <c r="L44" s="89" t="b">
        <v>0</v>
      </c>
    </row>
    <row r="45" spans="1:12" ht="15">
      <c r="A45" s="86" t="s">
        <v>1096</v>
      </c>
      <c r="B45" s="89" t="s">
        <v>1097</v>
      </c>
      <c r="C45" s="89">
        <v>8</v>
      </c>
      <c r="D45" s="111">
        <v>0.0064577639043735865</v>
      </c>
      <c r="E45" s="111">
        <v>2.1050841970144827</v>
      </c>
      <c r="F45" s="89" t="s">
        <v>1158</v>
      </c>
      <c r="G45" s="89" t="b">
        <v>0</v>
      </c>
      <c r="H45" s="89" t="b">
        <v>0</v>
      </c>
      <c r="I45" s="89" t="b">
        <v>0</v>
      </c>
      <c r="J45" s="89" t="b">
        <v>0</v>
      </c>
      <c r="K45" s="89" t="b">
        <v>0</v>
      </c>
      <c r="L45" s="89" t="b">
        <v>0</v>
      </c>
    </row>
    <row r="46" spans="1:12" ht="15">
      <c r="A46" s="86" t="s">
        <v>1097</v>
      </c>
      <c r="B46" s="89" t="s">
        <v>1098</v>
      </c>
      <c r="C46" s="89">
        <v>8</v>
      </c>
      <c r="D46" s="111">
        <v>0.0064577639043735865</v>
      </c>
      <c r="E46" s="111">
        <v>2.1050841970144827</v>
      </c>
      <c r="F46" s="89" t="s">
        <v>1158</v>
      </c>
      <c r="G46" s="89" t="b">
        <v>0</v>
      </c>
      <c r="H46" s="89" t="b">
        <v>0</v>
      </c>
      <c r="I46" s="89" t="b">
        <v>0</v>
      </c>
      <c r="J46" s="89" t="b">
        <v>0</v>
      </c>
      <c r="K46" s="89" t="b">
        <v>0</v>
      </c>
      <c r="L46" s="89" t="b">
        <v>0</v>
      </c>
    </row>
    <row r="47" spans="1:12" ht="15">
      <c r="A47" s="86" t="s">
        <v>1098</v>
      </c>
      <c r="B47" s="89" t="s">
        <v>1086</v>
      </c>
      <c r="C47" s="89">
        <v>8</v>
      </c>
      <c r="D47" s="111">
        <v>0.0064577639043735865</v>
      </c>
      <c r="E47" s="111">
        <v>2.0539316745671017</v>
      </c>
      <c r="F47" s="89" t="s">
        <v>1158</v>
      </c>
      <c r="G47" s="89" t="b">
        <v>0</v>
      </c>
      <c r="H47" s="89" t="b">
        <v>0</v>
      </c>
      <c r="I47" s="89" t="b">
        <v>0</v>
      </c>
      <c r="J47" s="89" t="b">
        <v>0</v>
      </c>
      <c r="K47" s="89" t="b">
        <v>0</v>
      </c>
      <c r="L47" s="89" t="b">
        <v>0</v>
      </c>
    </row>
    <row r="48" spans="1:12" ht="15">
      <c r="A48" s="86" t="s">
        <v>1086</v>
      </c>
      <c r="B48" s="89" t="s">
        <v>866</v>
      </c>
      <c r="C48" s="89">
        <v>8</v>
      </c>
      <c r="D48" s="111">
        <v>0.0064577639043735865</v>
      </c>
      <c r="E48" s="111">
        <v>1.7265727401807711</v>
      </c>
      <c r="F48" s="89" t="s">
        <v>1158</v>
      </c>
      <c r="G48" s="89" t="b">
        <v>0</v>
      </c>
      <c r="H48" s="89" t="b">
        <v>0</v>
      </c>
      <c r="I48" s="89" t="b">
        <v>0</v>
      </c>
      <c r="J48" s="89" t="b">
        <v>0</v>
      </c>
      <c r="K48" s="89" t="b">
        <v>0</v>
      </c>
      <c r="L48" s="89" t="b">
        <v>0</v>
      </c>
    </row>
    <row r="49" spans="1:12" ht="15">
      <c r="A49" s="86" t="s">
        <v>866</v>
      </c>
      <c r="B49" s="89" t="s">
        <v>1099</v>
      </c>
      <c r="C49" s="89">
        <v>8</v>
      </c>
      <c r="D49" s="111">
        <v>0.0064577639043735865</v>
      </c>
      <c r="E49" s="111">
        <v>1.7777252626281526</v>
      </c>
      <c r="F49" s="89" t="s">
        <v>1158</v>
      </c>
      <c r="G49" s="89" t="b">
        <v>0</v>
      </c>
      <c r="H49" s="89" t="b">
        <v>0</v>
      </c>
      <c r="I49" s="89" t="b">
        <v>0</v>
      </c>
      <c r="J49" s="89" t="b">
        <v>1</v>
      </c>
      <c r="K49" s="89" t="b">
        <v>0</v>
      </c>
      <c r="L49" s="89" t="b">
        <v>0</v>
      </c>
    </row>
    <row r="50" spans="1:12" ht="15">
      <c r="A50" s="86" t="s">
        <v>1099</v>
      </c>
      <c r="B50" s="89" t="s">
        <v>1100</v>
      </c>
      <c r="C50" s="89">
        <v>8</v>
      </c>
      <c r="D50" s="111">
        <v>0.0064577639043735865</v>
      </c>
      <c r="E50" s="111">
        <v>2.1050841970144827</v>
      </c>
      <c r="F50" s="89" t="s">
        <v>1158</v>
      </c>
      <c r="G50" s="89" t="b">
        <v>1</v>
      </c>
      <c r="H50" s="89" t="b">
        <v>0</v>
      </c>
      <c r="I50" s="89" t="b">
        <v>0</v>
      </c>
      <c r="J50" s="89" t="b">
        <v>0</v>
      </c>
      <c r="K50" s="89" t="b">
        <v>0</v>
      </c>
      <c r="L50" s="89" t="b">
        <v>0</v>
      </c>
    </row>
    <row r="51" spans="1:12" ht="15">
      <c r="A51" s="86" t="s">
        <v>1100</v>
      </c>
      <c r="B51" s="89" t="s">
        <v>1101</v>
      </c>
      <c r="C51" s="89">
        <v>8</v>
      </c>
      <c r="D51" s="111">
        <v>0.0064577639043735865</v>
      </c>
      <c r="E51" s="111">
        <v>2.1050841970144827</v>
      </c>
      <c r="F51" s="89" t="s">
        <v>1158</v>
      </c>
      <c r="G51" s="89" t="b">
        <v>0</v>
      </c>
      <c r="H51" s="89" t="b">
        <v>0</v>
      </c>
      <c r="I51" s="89" t="b">
        <v>0</v>
      </c>
      <c r="J51" s="89" t="b">
        <v>0</v>
      </c>
      <c r="K51" s="89" t="b">
        <v>0</v>
      </c>
      <c r="L51" s="89" t="b">
        <v>0</v>
      </c>
    </row>
    <row r="52" spans="1:12" ht="15">
      <c r="A52" s="86" t="s">
        <v>865</v>
      </c>
      <c r="B52" s="89" t="s">
        <v>1102</v>
      </c>
      <c r="C52" s="89">
        <v>8</v>
      </c>
      <c r="D52" s="111">
        <v>0.0064577639043735865</v>
      </c>
      <c r="E52" s="111">
        <v>1.7529016789031204</v>
      </c>
      <c r="F52" s="89" t="s">
        <v>1158</v>
      </c>
      <c r="G52" s="89" t="b">
        <v>0</v>
      </c>
      <c r="H52" s="89" t="b">
        <v>1</v>
      </c>
      <c r="I52" s="89" t="b">
        <v>0</v>
      </c>
      <c r="J52" s="89" t="b">
        <v>0</v>
      </c>
      <c r="K52" s="89" t="b">
        <v>0</v>
      </c>
      <c r="L52" s="89" t="b">
        <v>0</v>
      </c>
    </row>
    <row r="53" spans="1:12" ht="15">
      <c r="A53" s="86" t="s">
        <v>1102</v>
      </c>
      <c r="B53" s="89" t="s">
        <v>289</v>
      </c>
      <c r="C53" s="89">
        <v>8</v>
      </c>
      <c r="D53" s="111">
        <v>0.0064577639043735865</v>
      </c>
      <c r="E53" s="111">
        <v>1.4171095769799273</v>
      </c>
      <c r="F53" s="89" t="s">
        <v>1158</v>
      </c>
      <c r="G53" s="89" t="b">
        <v>0</v>
      </c>
      <c r="H53" s="89" t="b">
        <v>0</v>
      </c>
      <c r="I53" s="89" t="b">
        <v>0</v>
      </c>
      <c r="J53" s="89" t="b">
        <v>0</v>
      </c>
      <c r="K53" s="89" t="b">
        <v>0</v>
      </c>
      <c r="L53" s="89" t="b">
        <v>0</v>
      </c>
    </row>
    <row r="54" spans="1:12" ht="15">
      <c r="A54" s="86" t="s">
        <v>289</v>
      </c>
      <c r="B54" s="89" t="s">
        <v>1083</v>
      </c>
      <c r="C54" s="89">
        <v>8</v>
      </c>
      <c r="D54" s="111">
        <v>0.0064577639043735865</v>
      </c>
      <c r="E54" s="111">
        <v>1.3797852539561148</v>
      </c>
      <c r="F54" s="89" t="s">
        <v>1158</v>
      </c>
      <c r="G54" s="89" t="b">
        <v>0</v>
      </c>
      <c r="H54" s="89" t="b">
        <v>0</v>
      </c>
      <c r="I54" s="89" t="b">
        <v>0</v>
      </c>
      <c r="J54" s="89" t="b">
        <v>0</v>
      </c>
      <c r="K54" s="89" t="b">
        <v>0</v>
      </c>
      <c r="L54" s="89" t="b">
        <v>0</v>
      </c>
    </row>
    <row r="55" spans="1:12" ht="15">
      <c r="A55" s="86" t="s">
        <v>1083</v>
      </c>
      <c r="B55" s="89" t="s">
        <v>1103</v>
      </c>
      <c r="C55" s="89">
        <v>8</v>
      </c>
      <c r="D55" s="111">
        <v>0.0064577639043735865</v>
      </c>
      <c r="E55" s="111">
        <v>2.0081741840064264</v>
      </c>
      <c r="F55" s="89" t="s">
        <v>1158</v>
      </c>
      <c r="G55" s="89" t="b">
        <v>0</v>
      </c>
      <c r="H55" s="89" t="b">
        <v>0</v>
      </c>
      <c r="I55" s="89" t="b">
        <v>0</v>
      </c>
      <c r="J55" s="89" t="b">
        <v>0</v>
      </c>
      <c r="K55" s="89" t="b">
        <v>0</v>
      </c>
      <c r="L55" s="89" t="b">
        <v>0</v>
      </c>
    </row>
    <row r="56" spans="1:12" ht="15">
      <c r="A56" s="86" t="s">
        <v>1103</v>
      </c>
      <c r="B56" s="89" t="s">
        <v>1104</v>
      </c>
      <c r="C56" s="89">
        <v>8</v>
      </c>
      <c r="D56" s="111">
        <v>0.0064577639043735865</v>
      </c>
      <c r="E56" s="111">
        <v>2.1050841970144827</v>
      </c>
      <c r="F56" s="89" t="s">
        <v>1158</v>
      </c>
      <c r="G56" s="89" t="b">
        <v>0</v>
      </c>
      <c r="H56" s="89" t="b">
        <v>0</v>
      </c>
      <c r="I56" s="89" t="b">
        <v>0</v>
      </c>
      <c r="J56" s="89" t="b">
        <v>0</v>
      </c>
      <c r="K56" s="89" t="b">
        <v>0</v>
      </c>
      <c r="L56" s="89" t="b">
        <v>0</v>
      </c>
    </row>
    <row r="57" spans="1:12" ht="15">
      <c r="A57" s="86" t="s">
        <v>1104</v>
      </c>
      <c r="B57" s="89" t="s">
        <v>1105</v>
      </c>
      <c r="C57" s="89">
        <v>8</v>
      </c>
      <c r="D57" s="111">
        <v>0.0064577639043735865</v>
      </c>
      <c r="E57" s="111">
        <v>2.1050841970144827</v>
      </c>
      <c r="F57" s="89" t="s">
        <v>1158</v>
      </c>
      <c r="G57" s="89" t="b">
        <v>0</v>
      </c>
      <c r="H57" s="89" t="b">
        <v>0</v>
      </c>
      <c r="I57" s="89" t="b">
        <v>0</v>
      </c>
      <c r="J57" s="89" t="b">
        <v>1</v>
      </c>
      <c r="K57" s="89" t="b">
        <v>0</v>
      </c>
      <c r="L57" s="89" t="b">
        <v>0</v>
      </c>
    </row>
    <row r="58" spans="1:12" ht="15">
      <c r="A58" s="86" t="s">
        <v>1105</v>
      </c>
      <c r="B58" s="89" t="s">
        <v>868</v>
      </c>
      <c r="C58" s="89">
        <v>8</v>
      </c>
      <c r="D58" s="111">
        <v>0.0064577639043735865</v>
      </c>
      <c r="E58" s="111">
        <v>1.8040542013505017</v>
      </c>
      <c r="F58" s="89" t="s">
        <v>1158</v>
      </c>
      <c r="G58" s="89" t="b">
        <v>1</v>
      </c>
      <c r="H58" s="89" t="b">
        <v>0</v>
      </c>
      <c r="I58" s="89" t="b">
        <v>0</v>
      </c>
      <c r="J58" s="89" t="b">
        <v>0</v>
      </c>
      <c r="K58" s="89" t="b">
        <v>0</v>
      </c>
      <c r="L58" s="89" t="b">
        <v>0</v>
      </c>
    </row>
    <row r="59" spans="1:12" ht="15">
      <c r="A59" s="86" t="s">
        <v>868</v>
      </c>
      <c r="B59" s="89" t="s">
        <v>869</v>
      </c>
      <c r="C59" s="89">
        <v>8</v>
      </c>
      <c r="D59" s="111">
        <v>0.0064577639043735865</v>
      </c>
      <c r="E59" s="111">
        <v>1.5030242056865204</v>
      </c>
      <c r="F59" s="89" t="s">
        <v>1158</v>
      </c>
      <c r="G59" s="89" t="b">
        <v>0</v>
      </c>
      <c r="H59" s="89" t="b">
        <v>0</v>
      </c>
      <c r="I59" s="89" t="b">
        <v>0</v>
      </c>
      <c r="J59" s="89" t="b">
        <v>0</v>
      </c>
      <c r="K59" s="89" t="b">
        <v>0</v>
      </c>
      <c r="L59" s="89" t="b">
        <v>0</v>
      </c>
    </row>
    <row r="60" spans="1:12" ht="15">
      <c r="A60" s="86" t="s">
        <v>870</v>
      </c>
      <c r="B60" s="89" t="s">
        <v>1084</v>
      </c>
      <c r="C60" s="89">
        <v>8</v>
      </c>
      <c r="D60" s="111">
        <v>0.0064577639043735865</v>
      </c>
      <c r="E60" s="111">
        <v>1.7529016789031204</v>
      </c>
      <c r="F60" s="89" t="s">
        <v>1158</v>
      </c>
      <c r="G60" s="89" t="b">
        <v>0</v>
      </c>
      <c r="H60" s="89" t="b">
        <v>0</v>
      </c>
      <c r="I60" s="89" t="b">
        <v>0</v>
      </c>
      <c r="J60" s="89" t="b">
        <v>0</v>
      </c>
      <c r="K60" s="89" t="b">
        <v>0</v>
      </c>
      <c r="L60" s="89" t="b">
        <v>0</v>
      </c>
    </row>
    <row r="61" spans="1:12" ht="15">
      <c r="A61" s="86" t="s">
        <v>1084</v>
      </c>
      <c r="B61" s="89" t="s">
        <v>1106</v>
      </c>
      <c r="C61" s="89">
        <v>8</v>
      </c>
      <c r="D61" s="111">
        <v>0.0064577639043735865</v>
      </c>
      <c r="E61" s="111">
        <v>2.0539316745671017</v>
      </c>
      <c r="F61" s="89" t="s">
        <v>1158</v>
      </c>
      <c r="G61" s="89" t="b">
        <v>0</v>
      </c>
      <c r="H61" s="89" t="b">
        <v>0</v>
      </c>
      <c r="I61" s="89" t="b">
        <v>0</v>
      </c>
      <c r="J61" s="89" t="b">
        <v>0</v>
      </c>
      <c r="K61" s="89" t="b">
        <v>0</v>
      </c>
      <c r="L61" s="89" t="b">
        <v>0</v>
      </c>
    </row>
    <row r="62" spans="1:12" ht="15">
      <c r="A62" s="86" t="s">
        <v>1106</v>
      </c>
      <c r="B62" s="89" t="s">
        <v>1107</v>
      </c>
      <c r="C62" s="89">
        <v>8</v>
      </c>
      <c r="D62" s="111">
        <v>0.0064577639043735865</v>
      </c>
      <c r="E62" s="111">
        <v>2.1050841970144827</v>
      </c>
      <c r="F62" s="89" t="s">
        <v>1158</v>
      </c>
      <c r="G62" s="89" t="b">
        <v>0</v>
      </c>
      <c r="H62" s="89" t="b">
        <v>0</v>
      </c>
      <c r="I62" s="89" t="b">
        <v>0</v>
      </c>
      <c r="J62" s="89" t="b">
        <v>0</v>
      </c>
      <c r="K62" s="89" t="b">
        <v>0</v>
      </c>
      <c r="L62" s="89" t="b">
        <v>0</v>
      </c>
    </row>
    <row r="63" spans="1:12" ht="15">
      <c r="A63" s="86" t="s">
        <v>1107</v>
      </c>
      <c r="B63" s="89" t="s">
        <v>1108</v>
      </c>
      <c r="C63" s="89">
        <v>8</v>
      </c>
      <c r="D63" s="111">
        <v>0.0064577639043735865</v>
      </c>
      <c r="E63" s="111">
        <v>2.1050841970144827</v>
      </c>
      <c r="F63" s="89" t="s">
        <v>1158</v>
      </c>
      <c r="G63" s="89" t="b">
        <v>0</v>
      </c>
      <c r="H63" s="89" t="b">
        <v>0</v>
      </c>
      <c r="I63" s="89" t="b">
        <v>0</v>
      </c>
      <c r="J63" s="89" t="b">
        <v>0</v>
      </c>
      <c r="K63" s="89" t="b">
        <v>0</v>
      </c>
      <c r="L63" s="89" t="b">
        <v>0</v>
      </c>
    </row>
    <row r="64" spans="1:12" ht="15">
      <c r="A64" s="86" t="s">
        <v>1108</v>
      </c>
      <c r="B64" s="89" t="s">
        <v>1109</v>
      </c>
      <c r="C64" s="89">
        <v>8</v>
      </c>
      <c r="D64" s="111">
        <v>0.0064577639043735865</v>
      </c>
      <c r="E64" s="111">
        <v>2.1050841970144827</v>
      </c>
      <c r="F64" s="89" t="s">
        <v>1158</v>
      </c>
      <c r="G64" s="89" t="b">
        <v>0</v>
      </c>
      <c r="H64" s="89" t="b">
        <v>0</v>
      </c>
      <c r="I64" s="89" t="b">
        <v>0</v>
      </c>
      <c r="J64" s="89" t="b">
        <v>0</v>
      </c>
      <c r="K64" s="89" t="b">
        <v>0</v>
      </c>
      <c r="L64" s="89" t="b">
        <v>0</v>
      </c>
    </row>
    <row r="65" spans="1:12" ht="15">
      <c r="A65" s="86" t="s">
        <v>1109</v>
      </c>
      <c r="B65" s="89" t="s">
        <v>1110</v>
      </c>
      <c r="C65" s="89">
        <v>8</v>
      </c>
      <c r="D65" s="111">
        <v>0.0064577639043735865</v>
      </c>
      <c r="E65" s="111">
        <v>2.1050841970144827</v>
      </c>
      <c r="F65" s="89" t="s">
        <v>1158</v>
      </c>
      <c r="G65" s="89" t="b">
        <v>0</v>
      </c>
      <c r="H65" s="89" t="b">
        <v>0</v>
      </c>
      <c r="I65" s="89" t="b">
        <v>0</v>
      </c>
      <c r="J65" s="89" t="b">
        <v>0</v>
      </c>
      <c r="K65" s="89" t="b">
        <v>0</v>
      </c>
      <c r="L65" s="89" t="b">
        <v>0</v>
      </c>
    </row>
    <row r="66" spans="1:12" ht="15">
      <c r="A66" s="86" t="s">
        <v>1110</v>
      </c>
      <c r="B66" s="89" t="s">
        <v>871</v>
      </c>
      <c r="C66" s="89">
        <v>8</v>
      </c>
      <c r="D66" s="111">
        <v>0.0064577639043735865</v>
      </c>
      <c r="E66" s="111">
        <v>1.8040542013505017</v>
      </c>
      <c r="F66" s="89" t="s">
        <v>1158</v>
      </c>
      <c r="G66" s="89" t="b">
        <v>0</v>
      </c>
      <c r="H66" s="89" t="b">
        <v>0</v>
      </c>
      <c r="I66" s="89" t="b">
        <v>0</v>
      </c>
      <c r="J66" s="89" t="b">
        <v>0</v>
      </c>
      <c r="K66" s="89" t="b">
        <v>0</v>
      </c>
      <c r="L66" s="89" t="b">
        <v>0</v>
      </c>
    </row>
    <row r="67" spans="1:12" ht="15">
      <c r="A67" s="86" t="s">
        <v>871</v>
      </c>
      <c r="B67" s="89" t="s">
        <v>866</v>
      </c>
      <c r="C67" s="89">
        <v>8</v>
      </c>
      <c r="D67" s="111">
        <v>0.0064577639043735865</v>
      </c>
      <c r="E67" s="111">
        <v>1.4766952669641713</v>
      </c>
      <c r="F67" s="89" t="s">
        <v>1158</v>
      </c>
      <c r="G67" s="89" t="b">
        <v>0</v>
      </c>
      <c r="H67" s="89" t="b">
        <v>0</v>
      </c>
      <c r="I67" s="89" t="b">
        <v>0</v>
      </c>
      <c r="J67" s="89" t="b">
        <v>0</v>
      </c>
      <c r="K67" s="89" t="b">
        <v>0</v>
      </c>
      <c r="L67" s="89" t="b">
        <v>0</v>
      </c>
    </row>
    <row r="68" spans="1:12" ht="15">
      <c r="A68" s="86" t="s">
        <v>866</v>
      </c>
      <c r="B68" s="89" t="s">
        <v>1111</v>
      </c>
      <c r="C68" s="89">
        <v>8</v>
      </c>
      <c r="D68" s="111">
        <v>0.0064577639043735865</v>
      </c>
      <c r="E68" s="111">
        <v>1.7777252626281526</v>
      </c>
      <c r="F68" s="89" t="s">
        <v>1158</v>
      </c>
      <c r="G68" s="89" t="b">
        <v>0</v>
      </c>
      <c r="H68" s="89" t="b">
        <v>0</v>
      </c>
      <c r="I68" s="89" t="b">
        <v>0</v>
      </c>
      <c r="J68" s="89" t="b">
        <v>0</v>
      </c>
      <c r="K68" s="89" t="b">
        <v>0</v>
      </c>
      <c r="L68" s="89" t="b">
        <v>0</v>
      </c>
    </row>
    <row r="69" spans="1:12" ht="15">
      <c r="A69" s="86" t="s">
        <v>1111</v>
      </c>
      <c r="B69" s="89" t="s">
        <v>1112</v>
      </c>
      <c r="C69" s="89">
        <v>8</v>
      </c>
      <c r="D69" s="111">
        <v>0.0064577639043735865</v>
      </c>
      <c r="E69" s="111">
        <v>2.1050841970144827</v>
      </c>
      <c r="F69" s="89" t="s">
        <v>1158</v>
      </c>
      <c r="G69" s="89" t="b">
        <v>0</v>
      </c>
      <c r="H69" s="89" t="b">
        <v>0</v>
      </c>
      <c r="I69" s="89" t="b">
        <v>0</v>
      </c>
      <c r="J69" s="89" t="b">
        <v>0</v>
      </c>
      <c r="K69" s="89" t="b">
        <v>0</v>
      </c>
      <c r="L69" s="89" t="b">
        <v>0</v>
      </c>
    </row>
    <row r="70" spans="1:12" ht="15">
      <c r="A70" s="86" t="s">
        <v>877</v>
      </c>
      <c r="B70" s="89" t="s">
        <v>899</v>
      </c>
      <c r="C70" s="89">
        <v>7</v>
      </c>
      <c r="D70" s="111">
        <v>0.006028165396646709</v>
      </c>
      <c r="E70" s="111">
        <v>2.0539316745671012</v>
      </c>
      <c r="F70" s="89" t="s">
        <v>1158</v>
      </c>
      <c r="G70" s="89" t="b">
        <v>0</v>
      </c>
      <c r="H70" s="89" t="b">
        <v>0</v>
      </c>
      <c r="I70" s="89" t="b">
        <v>0</v>
      </c>
      <c r="J70" s="89" t="b">
        <v>0</v>
      </c>
      <c r="K70" s="89" t="b">
        <v>0</v>
      </c>
      <c r="L70" s="89" t="b">
        <v>0</v>
      </c>
    </row>
    <row r="71" spans="1:12" ht="15">
      <c r="A71" s="86" t="s">
        <v>899</v>
      </c>
      <c r="B71" s="89" t="s">
        <v>900</v>
      </c>
      <c r="C71" s="89">
        <v>7</v>
      </c>
      <c r="D71" s="111">
        <v>0.006028165396646709</v>
      </c>
      <c r="E71" s="111">
        <v>2.1630761439921695</v>
      </c>
      <c r="F71" s="89" t="s">
        <v>1158</v>
      </c>
      <c r="G71" s="89" t="b">
        <v>0</v>
      </c>
      <c r="H71" s="89" t="b">
        <v>0</v>
      </c>
      <c r="I71" s="89" t="b">
        <v>0</v>
      </c>
      <c r="J71" s="89" t="b">
        <v>0</v>
      </c>
      <c r="K71" s="89" t="b">
        <v>0</v>
      </c>
      <c r="L71" s="89" t="b">
        <v>0</v>
      </c>
    </row>
    <row r="72" spans="1:12" ht="15">
      <c r="A72" s="86" t="s">
        <v>900</v>
      </c>
      <c r="B72" s="89" t="s">
        <v>901</v>
      </c>
      <c r="C72" s="89">
        <v>7</v>
      </c>
      <c r="D72" s="111">
        <v>0.006028165396646709</v>
      </c>
      <c r="E72" s="111">
        <v>2.1630761439921695</v>
      </c>
      <c r="F72" s="89" t="s">
        <v>1158</v>
      </c>
      <c r="G72" s="89" t="b">
        <v>0</v>
      </c>
      <c r="H72" s="89" t="b">
        <v>0</v>
      </c>
      <c r="I72" s="89" t="b">
        <v>0</v>
      </c>
      <c r="J72" s="89" t="b">
        <v>0</v>
      </c>
      <c r="K72" s="89" t="b">
        <v>0</v>
      </c>
      <c r="L72" s="89" t="b">
        <v>0</v>
      </c>
    </row>
    <row r="73" spans="1:12" ht="15">
      <c r="A73" s="86" t="s">
        <v>901</v>
      </c>
      <c r="B73" s="89" t="s">
        <v>902</v>
      </c>
      <c r="C73" s="89">
        <v>7</v>
      </c>
      <c r="D73" s="111">
        <v>0.006028165396646709</v>
      </c>
      <c r="E73" s="111">
        <v>2.1630761439921695</v>
      </c>
      <c r="F73" s="89" t="s">
        <v>1158</v>
      </c>
      <c r="G73" s="89" t="b">
        <v>0</v>
      </c>
      <c r="H73" s="89" t="b">
        <v>0</v>
      </c>
      <c r="I73" s="89" t="b">
        <v>0</v>
      </c>
      <c r="J73" s="89" t="b">
        <v>0</v>
      </c>
      <c r="K73" s="89" t="b">
        <v>0</v>
      </c>
      <c r="L73" s="89" t="b">
        <v>0</v>
      </c>
    </row>
    <row r="74" spans="1:12" ht="15">
      <c r="A74" s="86" t="s">
        <v>880</v>
      </c>
      <c r="B74" s="89" t="s">
        <v>881</v>
      </c>
      <c r="C74" s="89">
        <v>4</v>
      </c>
      <c r="D74" s="111">
        <v>0.004348993563959746</v>
      </c>
      <c r="E74" s="111">
        <v>2.406114192678464</v>
      </c>
      <c r="F74" s="89" t="s">
        <v>1158</v>
      </c>
      <c r="G74" s="89" t="b">
        <v>0</v>
      </c>
      <c r="H74" s="89" t="b">
        <v>0</v>
      </c>
      <c r="I74" s="89" t="b">
        <v>0</v>
      </c>
      <c r="J74" s="89" t="b">
        <v>0</v>
      </c>
      <c r="K74" s="89" t="b">
        <v>0</v>
      </c>
      <c r="L74" s="89" t="b">
        <v>0</v>
      </c>
    </row>
    <row r="75" spans="1:12" ht="15">
      <c r="A75" s="86" t="s">
        <v>881</v>
      </c>
      <c r="B75" s="89" t="s">
        <v>882</v>
      </c>
      <c r="C75" s="89">
        <v>4</v>
      </c>
      <c r="D75" s="111">
        <v>0.004348993563959746</v>
      </c>
      <c r="E75" s="111">
        <v>2.406114192678464</v>
      </c>
      <c r="F75" s="89" t="s">
        <v>1158</v>
      </c>
      <c r="G75" s="89" t="b">
        <v>0</v>
      </c>
      <c r="H75" s="89" t="b">
        <v>0</v>
      </c>
      <c r="I75" s="89" t="b">
        <v>0</v>
      </c>
      <c r="J75" s="89" t="b">
        <v>0</v>
      </c>
      <c r="K75" s="89" t="b">
        <v>0</v>
      </c>
      <c r="L75" s="89" t="b">
        <v>0</v>
      </c>
    </row>
    <row r="76" spans="1:12" ht="15">
      <c r="A76" s="86" t="s">
        <v>882</v>
      </c>
      <c r="B76" s="89" t="s">
        <v>306</v>
      </c>
      <c r="C76" s="89">
        <v>4</v>
      </c>
      <c r="D76" s="111">
        <v>0.004348993563959746</v>
      </c>
      <c r="E76" s="111">
        <v>2.406114192678464</v>
      </c>
      <c r="F76" s="89" t="s">
        <v>1158</v>
      </c>
      <c r="G76" s="89" t="b">
        <v>0</v>
      </c>
      <c r="H76" s="89" t="b">
        <v>0</v>
      </c>
      <c r="I76" s="89" t="b">
        <v>0</v>
      </c>
      <c r="J76" s="89" t="b">
        <v>0</v>
      </c>
      <c r="K76" s="89" t="b">
        <v>0</v>
      </c>
      <c r="L76" s="89" t="b">
        <v>0</v>
      </c>
    </row>
    <row r="77" spans="1:12" ht="15">
      <c r="A77" s="86" t="s">
        <v>306</v>
      </c>
      <c r="B77" s="89" t="s">
        <v>883</v>
      </c>
      <c r="C77" s="89">
        <v>4</v>
      </c>
      <c r="D77" s="111">
        <v>0.004348993563959746</v>
      </c>
      <c r="E77" s="111">
        <v>2.406114192678464</v>
      </c>
      <c r="F77" s="89" t="s">
        <v>1158</v>
      </c>
      <c r="G77" s="89" t="b">
        <v>0</v>
      </c>
      <c r="H77" s="89" t="b">
        <v>0</v>
      </c>
      <c r="I77" s="89" t="b">
        <v>0</v>
      </c>
      <c r="J77" s="89" t="b">
        <v>0</v>
      </c>
      <c r="K77" s="89" t="b">
        <v>0</v>
      </c>
      <c r="L77" s="89" t="b">
        <v>0</v>
      </c>
    </row>
    <row r="78" spans="1:12" ht="15">
      <c r="A78" s="86" t="s">
        <v>883</v>
      </c>
      <c r="B78" s="89" t="s">
        <v>884</v>
      </c>
      <c r="C78" s="89">
        <v>4</v>
      </c>
      <c r="D78" s="111">
        <v>0.004348993563959746</v>
      </c>
      <c r="E78" s="111">
        <v>2.406114192678464</v>
      </c>
      <c r="F78" s="89" t="s">
        <v>1158</v>
      </c>
      <c r="G78" s="89" t="b">
        <v>0</v>
      </c>
      <c r="H78" s="89" t="b">
        <v>0</v>
      </c>
      <c r="I78" s="89" t="b">
        <v>0</v>
      </c>
      <c r="J78" s="89" t="b">
        <v>0</v>
      </c>
      <c r="K78" s="89" t="b">
        <v>0</v>
      </c>
      <c r="L78" s="89" t="b">
        <v>0</v>
      </c>
    </row>
    <row r="79" spans="1:12" ht="15">
      <c r="A79" s="86" t="s">
        <v>884</v>
      </c>
      <c r="B79" s="89" t="s">
        <v>885</v>
      </c>
      <c r="C79" s="89">
        <v>4</v>
      </c>
      <c r="D79" s="111">
        <v>0.004348993563959746</v>
      </c>
      <c r="E79" s="111">
        <v>2.406114192678464</v>
      </c>
      <c r="F79" s="89" t="s">
        <v>1158</v>
      </c>
      <c r="G79" s="89" t="b">
        <v>0</v>
      </c>
      <c r="H79" s="89" t="b">
        <v>0</v>
      </c>
      <c r="I79" s="89" t="b">
        <v>0</v>
      </c>
      <c r="J79" s="89" t="b">
        <v>0</v>
      </c>
      <c r="K79" s="89" t="b">
        <v>0</v>
      </c>
      <c r="L79" s="89" t="b">
        <v>0</v>
      </c>
    </row>
    <row r="80" spans="1:12" ht="15">
      <c r="A80" s="86" t="s">
        <v>885</v>
      </c>
      <c r="B80" s="89" t="s">
        <v>886</v>
      </c>
      <c r="C80" s="89">
        <v>4</v>
      </c>
      <c r="D80" s="111">
        <v>0.004348993563959746</v>
      </c>
      <c r="E80" s="111">
        <v>2.406114192678464</v>
      </c>
      <c r="F80" s="89" t="s">
        <v>1158</v>
      </c>
      <c r="G80" s="89" t="b">
        <v>0</v>
      </c>
      <c r="H80" s="89" t="b">
        <v>0</v>
      </c>
      <c r="I80" s="89" t="b">
        <v>0</v>
      </c>
      <c r="J80" s="89" t="b">
        <v>0</v>
      </c>
      <c r="K80" s="89" t="b">
        <v>0</v>
      </c>
      <c r="L80" s="89" t="b">
        <v>0</v>
      </c>
    </row>
    <row r="81" spans="1:12" ht="15">
      <c r="A81" s="86" t="s">
        <v>886</v>
      </c>
      <c r="B81" s="89" t="s">
        <v>887</v>
      </c>
      <c r="C81" s="89">
        <v>4</v>
      </c>
      <c r="D81" s="111">
        <v>0.004348993563959746</v>
      </c>
      <c r="E81" s="111">
        <v>2.406114192678464</v>
      </c>
      <c r="F81" s="89" t="s">
        <v>1158</v>
      </c>
      <c r="G81" s="89" t="b">
        <v>0</v>
      </c>
      <c r="H81" s="89" t="b">
        <v>0</v>
      </c>
      <c r="I81" s="89" t="b">
        <v>0</v>
      </c>
      <c r="J81" s="89" t="b">
        <v>0</v>
      </c>
      <c r="K81" s="89" t="b">
        <v>0</v>
      </c>
      <c r="L81" s="89" t="b">
        <v>0</v>
      </c>
    </row>
    <row r="82" spans="1:12" ht="15">
      <c r="A82" s="86" t="s">
        <v>887</v>
      </c>
      <c r="B82" s="89" t="s">
        <v>888</v>
      </c>
      <c r="C82" s="89">
        <v>4</v>
      </c>
      <c r="D82" s="111">
        <v>0.004348993563959746</v>
      </c>
      <c r="E82" s="111">
        <v>2.406114192678464</v>
      </c>
      <c r="F82" s="89" t="s">
        <v>1158</v>
      </c>
      <c r="G82" s="89" t="b">
        <v>0</v>
      </c>
      <c r="H82" s="89" t="b">
        <v>0</v>
      </c>
      <c r="I82" s="89" t="b">
        <v>0</v>
      </c>
      <c r="J82" s="89" t="b">
        <v>0</v>
      </c>
      <c r="K82" s="89" t="b">
        <v>0</v>
      </c>
      <c r="L82" s="89" t="b">
        <v>0</v>
      </c>
    </row>
    <row r="83" spans="1:12" ht="15">
      <c r="A83" s="86" t="s">
        <v>888</v>
      </c>
      <c r="B83" s="89" t="s">
        <v>1113</v>
      </c>
      <c r="C83" s="89">
        <v>4</v>
      </c>
      <c r="D83" s="111">
        <v>0.004348993563959746</v>
      </c>
      <c r="E83" s="111">
        <v>2.406114192678464</v>
      </c>
      <c r="F83" s="89" t="s">
        <v>1158</v>
      </c>
      <c r="G83" s="89" t="b">
        <v>0</v>
      </c>
      <c r="H83" s="89" t="b">
        <v>0</v>
      </c>
      <c r="I83" s="89" t="b">
        <v>0</v>
      </c>
      <c r="J83" s="89" t="b">
        <v>0</v>
      </c>
      <c r="K83" s="89" t="b">
        <v>0</v>
      </c>
      <c r="L83" s="89" t="b">
        <v>0</v>
      </c>
    </row>
    <row r="84" spans="1:12" ht="15">
      <c r="A84" s="86" t="s">
        <v>1113</v>
      </c>
      <c r="B84" s="89" t="s">
        <v>1114</v>
      </c>
      <c r="C84" s="89">
        <v>4</v>
      </c>
      <c r="D84" s="111">
        <v>0.004348993563959746</v>
      </c>
      <c r="E84" s="111">
        <v>2.406114192678464</v>
      </c>
      <c r="F84" s="89" t="s">
        <v>1158</v>
      </c>
      <c r="G84" s="89" t="b">
        <v>0</v>
      </c>
      <c r="H84" s="89" t="b">
        <v>0</v>
      </c>
      <c r="I84" s="89" t="b">
        <v>0</v>
      </c>
      <c r="J84" s="89" t="b">
        <v>0</v>
      </c>
      <c r="K84" s="89" t="b">
        <v>0</v>
      </c>
      <c r="L84" s="89" t="b">
        <v>0</v>
      </c>
    </row>
    <row r="85" spans="1:12" ht="15">
      <c r="A85" s="86" t="s">
        <v>1114</v>
      </c>
      <c r="B85" s="89" t="s">
        <v>1115</v>
      </c>
      <c r="C85" s="89">
        <v>4</v>
      </c>
      <c r="D85" s="111">
        <v>0.004348993563959746</v>
      </c>
      <c r="E85" s="111">
        <v>2.406114192678464</v>
      </c>
      <c r="F85" s="89" t="s">
        <v>1158</v>
      </c>
      <c r="G85" s="89" t="b">
        <v>0</v>
      </c>
      <c r="H85" s="89" t="b">
        <v>0</v>
      </c>
      <c r="I85" s="89" t="b">
        <v>0</v>
      </c>
      <c r="J85" s="89" t="b">
        <v>0</v>
      </c>
      <c r="K85" s="89" t="b">
        <v>0</v>
      </c>
      <c r="L85" s="89" t="b">
        <v>0</v>
      </c>
    </row>
    <row r="86" spans="1:12" ht="15">
      <c r="A86" s="86" t="s">
        <v>1115</v>
      </c>
      <c r="B86" s="89" t="s">
        <v>1116</v>
      </c>
      <c r="C86" s="89">
        <v>4</v>
      </c>
      <c r="D86" s="111">
        <v>0.004348993563959746</v>
      </c>
      <c r="E86" s="111">
        <v>2.406114192678464</v>
      </c>
      <c r="F86" s="89" t="s">
        <v>1158</v>
      </c>
      <c r="G86" s="89" t="b">
        <v>0</v>
      </c>
      <c r="H86" s="89" t="b">
        <v>0</v>
      </c>
      <c r="I86" s="89" t="b">
        <v>0</v>
      </c>
      <c r="J86" s="89" t="b">
        <v>0</v>
      </c>
      <c r="K86" s="89" t="b">
        <v>0</v>
      </c>
      <c r="L86" s="89" t="b">
        <v>0</v>
      </c>
    </row>
    <row r="87" spans="1:12" ht="15">
      <c r="A87" s="86" t="s">
        <v>1116</v>
      </c>
      <c r="B87" s="89" t="s">
        <v>295</v>
      </c>
      <c r="C87" s="89">
        <v>4</v>
      </c>
      <c r="D87" s="111">
        <v>0.004348993563959746</v>
      </c>
      <c r="E87" s="111">
        <v>2.406114192678464</v>
      </c>
      <c r="F87" s="89" t="s">
        <v>1158</v>
      </c>
      <c r="G87" s="89" t="b">
        <v>0</v>
      </c>
      <c r="H87" s="89" t="b">
        <v>0</v>
      </c>
      <c r="I87" s="89" t="b">
        <v>0</v>
      </c>
      <c r="J87" s="89" t="b">
        <v>0</v>
      </c>
      <c r="K87" s="89" t="b">
        <v>0</v>
      </c>
      <c r="L87" s="89" t="b">
        <v>0</v>
      </c>
    </row>
    <row r="88" spans="1:12" ht="15">
      <c r="A88" s="86" t="s">
        <v>295</v>
      </c>
      <c r="B88" s="89" t="s">
        <v>297</v>
      </c>
      <c r="C88" s="89">
        <v>4</v>
      </c>
      <c r="D88" s="111">
        <v>0.004348993563959746</v>
      </c>
      <c r="E88" s="111">
        <v>2.406114192678464</v>
      </c>
      <c r="F88" s="89" t="s">
        <v>1158</v>
      </c>
      <c r="G88" s="89" t="b">
        <v>0</v>
      </c>
      <c r="H88" s="89" t="b">
        <v>0</v>
      </c>
      <c r="I88" s="89" t="b">
        <v>0</v>
      </c>
      <c r="J88" s="89" t="b">
        <v>0</v>
      </c>
      <c r="K88" s="89" t="b">
        <v>0</v>
      </c>
      <c r="L88" s="89" t="b">
        <v>0</v>
      </c>
    </row>
    <row r="89" spans="1:12" ht="15">
      <c r="A89" s="86" t="s">
        <v>297</v>
      </c>
      <c r="B89" s="89" t="s">
        <v>1117</v>
      </c>
      <c r="C89" s="89">
        <v>4</v>
      </c>
      <c r="D89" s="111">
        <v>0.004348993563959746</v>
      </c>
      <c r="E89" s="111">
        <v>2.406114192678464</v>
      </c>
      <c r="F89" s="89" t="s">
        <v>1158</v>
      </c>
      <c r="G89" s="89" t="b">
        <v>0</v>
      </c>
      <c r="H89" s="89" t="b">
        <v>0</v>
      </c>
      <c r="I89" s="89" t="b">
        <v>0</v>
      </c>
      <c r="J89" s="89" t="b">
        <v>0</v>
      </c>
      <c r="K89" s="89" t="b">
        <v>0</v>
      </c>
      <c r="L89" s="89" t="b">
        <v>0</v>
      </c>
    </row>
    <row r="90" spans="1:12" ht="15">
      <c r="A90" s="86" t="s">
        <v>1117</v>
      </c>
      <c r="B90" s="89" t="s">
        <v>1118</v>
      </c>
      <c r="C90" s="89">
        <v>4</v>
      </c>
      <c r="D90" s="111">
        <v>0.004348993563959746</v>
      </c>
      <c r="E90" s="111">
        <v>2.406114192678464</v>
      </c>
      <c r="F90" s="89" t="s">
        <v>1158</v>
      </c>
      <c r="G90" s="89" t="b">
        <v>0</v>
      </c>
      <c r="H90" s="89" t="b">
        <v>0</v>
      </c>
      <c r="I90" s="89" t="b">
        <v>0</v>
      </c>
      <c r="J90" s="89" t="b">
        <v>0</v>
      </c>
      <c r="K90" s="89" t="b">
        <v>0</v>
      </c>
      <c r="L90" s="89" t="b">
        <v>0</v>
      </c>
    </row>
    <row r="91" spans="1:12" ht="15">
      <c r="A91" s="86" t="s">
        <v>1118</v>
      </c>
      <c r="B91" s="89" t="s">
        <v>300</v>
      </c>
      <c r="C91" s="89">
        <v>4</v>
      </c>
      <c r="D91" s="111">
        <v>0.004348993563959746</v>
      </c>
      <c r="E91" s="111">
        <v>1.8040542013505017</v>
      </c>
      <c r="F91" s="89" t="s">
        <v>1158</v>
      </c>
      <c r="G91" s="89" t="b">
        <v>0</v>
      </c>
      <c r="H91" s="89" t="b">
        <v>0</v>
      </c>
      <c r="I91" s="89" t="b">
        <v>0</v>
      </c>
      <c r="J91" s="89" t="b">
        <v>0</v>
      </c>
      <c r="K91" s="89" t="b">
        <v>0</v>
      </c>
      <c r="L91" s="89" t="b">
        <v>0</v>
      </c>
    </row>
    <row r="92" spans="1:12" ht="15">
      <c r="A92" s="86" t="s">
        <v>300</v>
      </c>
      <c r="B92" s="89" t="s">
        <v>1119</v>
      </c>
      <c r="C92" s="89">
        <v>4</v>
      </c>
      <c r="D92" s="111">
        <v>0.004348993563959746</v>
      </c>
      <c r="E92" s="111">
        <v>1.8620461483281885</v>
      </c>
      <c r="F92" s="89" t="s">
        <v>1158</v>
      </c>
      <c r="G92" s="89" t="b">
        <v>0</v>
      </c>
      <c r="H92" s="89" t="b">
        <v>0</v>
      </c>
      <c r="I92" s="89" t="b">
        <v>0</v>
      </c>
      <c r="J92" s="89" t="b">
        <v>0</v>
      </c>
      <c r="K92" s="89" t="b">
        <v>0</v>
      </c>
      <c r="L92" s="89" t="b">
        <v>0</v>
      </c>
    </row>
    <row r="93" spans="1:12" ht="15">
      <c r="A93" s="86" t="s">
        <v>1120</v>
      </c>
      <c r="B93" s="89" t="s">
        <v>1121</v>
      </c>
      <c r="C93" s="89">
        <v>3</v>
      </c>
      <c r="D93" s="111">
        <v>0.003610411414667391</v>
      </c>
      <c r="E93" s="111">
        <v>2.531052929286764</v>
      </c>
      <c r="F93" s="89" t="s">
        <v>1158</v>
      </c>
      <c r="G93" s="89" t="b">
        <v>0</v>
      </c>
      <c r="H93" s="89" t="b">
        <v>0</v>
      </c>
      <c r="I93" s="89" t="b">
        <v>0</v>
      </c>
      <c r="J93" s="89" t="b">
        <v>0</v>
      </c>
      <c r="K93" s="89" t="b">
        <v>0</v>
      </c>
      <c r="L93" s="89" t="b">
        <v>0</v>
      </c>
    </row>
    <row r="94" spans="1:12" ht="15">
      <c r="A94" s="86" t="s">
        <v>1121</v>
      </c>
      <c r="B94" s="89" t="s">
        <v>1122</v>
      </c>
      <c r="C94" s="89">
        <v>3</v>
      </c>
      <c r="D94" s="111">
        <v>0.003610411414667391</v>
      </c>
      <c r="E94" s="111">
        <v>2.531052929286764</v>
      </c>
      <c r="F94" s="89" t="s">
        <v>1158</v>
      </c>
      <c r="G94" s="89" t="b">
        <v>0</v>
      </c>
      <c r="H94" s="89" t="b">
        <v>0</v>
      </c>
      <c r="I94" s="89" t="b">
        <v>0</v>
      </c>
      <c r="J94" s="89" t="b">
        <v>0</v>
      </c>
      <c r="K94" s="89" t="b">
        <v>0</v>
      </c>
      <c r="L94" s="89" t="b">
        <v>0</v>
      </c>
    </row>
    <row r="95" spans="1:12" ht="15">
      <c r="A95" s="86" t="s">
        <v>1122</v>
      </c>
      <c r="B95" s="89" t="s">
        <v>1123</v>
      </c>
      <c r="C95" s="89">
        <v>3</v>
      </c>
      <c r="D95" s="111">
        <v>0.003610411414667391</v>
      </c>
      <c r="E95" s="111">
        <v>2.531052929286764</v>
      </c>
      <c r="F95" s="89" t="s">
        <v>1158</v>
      </c>
      <c r="G95" s="89" t="b">
        <v>0</v>
      </c>
      <c r="H95" s="89" t="b">
        <v>0</v>
      </c>
      <c r="I95" s="89" t="b">
        <v>0</v>
      </c>
      <c r="J95" s="89" t="b">
        <v>0</v>
      </c>
      <c r="K95" s="89" t="b">
        <v>0</v>
      </c>
      <c r="L95" s="89" t="b">
        <v>0</v>
      </c>
    </row>
    <row r="96" spans="1:12" ht="15">
      <c r="A96" s="86" t="s">
        <v>1123</v>
      </c>
      <c r="B96" s="89" t="s">
        <v>1124</v>
      </c>
      <c r="C96" s="89">
        <v>3</v>
      </c>
      <c r="D96" s="111">
        <v>0.003610411414667391</v>
      </c>
      <c r="E96" s="111">
        <v>2.531052929286764</v>
      </c>
      <c r="F96" s="89" t="s">
        <v>1158</v>
      </c>
      <c r="G96" s="89" t="b">
        <v>0</v>
      </c>
      <c r="H96" s="89" t="b">
        <v>0</v>
      </c>
      <c r="I96" s="89" t="b">
        <v>0</v>
      </c>
      <c r="J96" s="89" t="b">
        <v>0</v>
      </c>
      <c r="K96" s="89" t="b">
        <v>0</v>
      </c>
      <c r="L96" s="89" t="b">
        <v>0</v>
      </c>
    </row>
    <row r="97" spans="1:12" ht="15">
      <c r="A97" s="86" t="s">
        <v>1124</v>
      </c>
      <c r="B97" s="89" t="s">
        <v>1125</v>
      </c>
      <c r="C97" s="89">
        <v>3</v>
      </c>
      <c r="D97" s="111">
        <v>0.003610411414667391</v>
      </c>
      <c r="E97" s="111">
        <v>2.531052929286764</v>
      </c>
      <c r="F97" s="89" t="s">
        <v>1158</v>
      </c>
      <c r="G97" s="89" t="b">
        <v>0</v>
      </c>
      <c r="H97" s="89" t="b">
        <v>0</v>
      </c>
      <c r="I97" s="89" t="b">
        <v>0</v>
      </c>
      <c r="J97" s="89" t="b">
        <v>0</v>
      </c>
      <c r="K97" s="89" t="b">
        <v>0</v>
      </c>
      <c r="L97" s="89" t="b">
        <v>0</v>
      </c>
    </row>
    <row r="98" spans="1:12" ht="15">
      <c r="A98" s="86" t="s">
        <v>1125</v>
      </c>
      <c r="B98" s="89" t="s">
        <v>1126</v>
      </c>
      <c r="C98" s="89">
        <v>3</v>
      </c>
      <c r="D98" s="111">
        <v>0.003610411414667391</v>
      </c>
      <c r="E98" s="111">
        <v>2.531052929286764</v>
      </c>
      <c r="F98" s="89" t="s">
        <v>1158</v>
      </c>
      <c r="G98" s="89" t="b">
        <v>0</v>
      </c>
      <c r="H98" s="89" t="b">
        <v>0</v>
      </c>
      <c r="I98" s="89" t="b">
        <v>0</v>
      </c>
      <c r="J98" s="89" t="b">
        <v>0</v>
      </c>
      <c r="K98" s="89" t="b">
        <v>0</v>
      </c>
      <c r="L98" s="89" t="b">
        <v>0</v>
      </c>
    </row>
    <row r="99" spans="1:12" ht="15">
      <c r="A99" s="86" t="s">
        <v>1126</v>
      </c>
      <c r="B99" s="89" t="s">
        <v>1127</v>
      </c>
      <c r="C99" s="89">
        <v>3</v>
      </c>
      <c r="D99" s="111">
        <v>0.003610411414667391</v>
      </c>
      <c r="E99" s="111">
        <v>2.531052929286764</v>
      </c>
      <c r="F99" s="89" t="s">
        <v>1158</v>
      </c>
      <c r="G99" s="89" t="b">
        <v>0</v>
      </c>
      <c r="H99" s="89" t="b">
        <v>0</v>
      </c>
      <c r="I99" s="89" t="b">
        <v>0</v>
      </c>
      <c r="J99" s="89" t="b">
        <v>1</v>
      </c>
      <c r="K99" s="89" t="b">
        <v>0</v>
      </c>
      <c r="L99" s="89" t="b">
        <v>0</v>
      </c>
    </row>
    <row r="100" spans="1:12" ht="15">
      <c r="A100" s="86" t="s">
        <v>1127</v>
      </c>
      <c r="B100" s="89" t="s">
        <v>1128</v>
      </c>
      <c r="C100" s="89">
        <v>3</v>
      </c>
      <c r="D100" s="111">
        <v>0.003610411414667391</v>
      </c>
      <c r="E100" s="111">
        <v>2.531052929286764</v>
      </c>
      <c r="F100" s="89" t="s">
        <v>1158</v>
      </c>
      <c r="G100" s="89" t="b">
        <v>1</v>
      </c>
      <c r="H100" s="89" t="b">
        <v>0</v>
      </c>
      <c r="I100" s="89" t="b">
        <v>0</v>
      </c>
      <c r="J100" s="89" t="b">
        <v>0</v>
      </c>
      <c r="K100" s="89" t="b">
        <v>0</v>
      </c>
      <c r="L100" s="89" t="b">
        <v>0</v>
      </c>
    </row>
    <row r="101" spans="1:12" ht="15">
      <c r="A101" s="86" t="s">
        <v>1128</v>
      </c>
      <c r="B101" s="89" t="s">
        <v>1129</v>
      </c>
      <c r="C101" s="89">
        <v>3</v>
      </c>
      <c r="D101" s="111">
        <v>0.003610411414667391</v>
      </c>
      <c r="E101" s="111">
        <v>2.531052929286764</v>
      </c>
      <c r="F101" s="89" t="s">
        <v>1158</v>
      </c>
      <c r="G101" s="89" t="b">
        <v>0</v>
      </c>
      <c r="H101" s="89" t="b">
        <v>0</v>
      </c>
      <c r="I101" s="89" t="b">
        <v>0</v>
      </c>
      <c r="J101" s="89" t="b">
        <v>1</v>
      </c>
      <c r="K101" s="89" t="b">
        <v>0</v>
      </c>
      <c r="L101" s="89" t="b">
        <v>0</v>
      </c>
    </row>
    <row r="102" spans="1:12" ht="15">
      <c r="A102" s="86" t="s">
        <v>1129</v>
      </c>
      <c r="B102" s="89" t="s">
        <v>1130</v>
      </c>
      <c r="C102" s="89">
        <v>3</v>
      </c>
      <c r="D102" s="111">
        <v>0.003610411414667391</v>
      </c>
      <c r="E102" s="111">
        <v>2.531052929286764</v>
      </c>
      <c r="F102" s="89" t="s">
        <v>1158</v>
      </c>
      <c r="G102" s="89" t="b">
        <v>1</v>
      </c>
      <c r="H102" s="89" t="b">
        <v>0</v>
      </c>
      <c r="I102" s="89" t="b">
        <v>0</v>
      </c>
      <c r="J102" s="89" t="b">
        <v>0</v>
      </c>
      <c r="K102" s="89" t="b">
        <v>0</v>
      </c>
      <c r="L102" s="89" t="b">
        <v>0</v>
      </c>
    </row>
    <row r="103" spans="1:12" ht="15">
      <c r="A103" s="86" t="s">
        <v>1130</v>
      </c>
      <c r="B103" s="89" t="s">
        <v>1131</v>
      </c>
      <c r="C103" s="89">
        <v>3</v>
      </c>
      <c r="D103" s="111">
        <v>0.003610411414667391</v>
      </c>
      <c r="E103" s="111">
        <v>2.531052929286764</v>
      </c>
      <c r="F103" s="89" t="s">
        <v>1158</v>
      </c>
      <c r="G103" s="89" t="b">
        <v>0</v>
      </c>
      <c r="H103" s="89" t="b">
        <v>0</v>
      </c>
      <c r="I103" s="89" t="b">
        <v>0</v>
      </c>
      <c r="J103" s="89" t="b">
        <v>0</v>
      </c>
      <c r="K103" s="89" t="b">
        <v>0</v>
      </c>
      <c r="L103" s="89" t="b">
        <v>0</v>
      </c>
    </row>
    <row r="104" spans="1:12" ht="15">
      <c r="A104" s="86" t="s">
        <v>1131</v>
      </c>
      <c r="B104" s="89" t="s">
        <v>1132</v>
      </c>
      <c r="C104" s="89">
        <v>3</v>
      </c>
      <c r="D104" s="111">
        <v>0.003610411414667391</v>
      </c>
      <c r="E104" s="111">
        <v>2.531052929286764</v>
      </c>
      <c r="F104" s="89" t="s">
        <v>1158</v>
      </c>
      <c r="G104" s="89" t="b">
        <v>0</v>
      </c>
      <c r="H104" s="89" t="b">
        <v>0</v>
      </c>
      <c r="I104" s="89" t="b">
        <v>0</v>
      </c>
      <c r="J104" s="89" t="b">
        <v>0</v>
      </c>
      <c r="K104" s="89" t="b">
        <v>0</v>
      </c>
      <c r="L104" s="89" t="b">
        <v>0</v>
      </c>
    </row>
    <row r="105" spans="1:12" ht="15">
      <c r="A105" s="86" t="s">
        <v>1132</v>
      </c>
      <c r="B105" s="89" t="s">
        <v>1133</v>
      </c>
      <c r="C105" s="89">
        <v>3</v>
      </c>
      <c r="D105" s="111">
        <v>0.003610411414667391</v>
      </c>
      <c r="E105" s="111">
        <v>2.531052929286764</v>
      </c>
      <c r="F105" s="89" t="s">
        <v>1158</v>
      </c>
      <c r="G105" s="89" t="b">
        <v>0</v>
      </c>
      <c r="H105" s="89" t="b">
        <v>0</v>
      </c>
      <c r="I105" s="89" t="b">
        <v>0</v>
      </c>
      <c r="J105" s="89" t="b">
        <v>0</v>
      </c>
      <c r="K105" s="89" t="b">
        <v>0</v>
      </c>
      <c r="L105" s="89" t="b">
        <v>0</v>
      </c>
    </row>
    <row r="106" spans="1:12" ht="15">
      <c r="A106" s="86" t="s">
        <v>1133</v>
      </c>
      <c r="B106" s="89" t="s">
        <v>1134</v>
      </c>
      <c r="C106" s="89">
        <v>3</v>
      </c>
      <c r="D106" s="111">
        <v>0.003610411414667391</v>
      </c>
      <c r="E106" s="111">
        <v>2.531052929286764</v>
      </c>
      <c r="F106" s="89" t="s">
        <v>1158</v>
      </c>
      <c r="G106" s="89" t="b">
        <v>0</v>
      </c>
      <c r="H106" s="89" t="b">
        <v>0</v>
      </c>
      <c r="I106" s="89" t="b">
        <v>0</v>
      </c>
      <c r="J106" s="89" t="b">
        <v>0</v>
      </c>
      <c r="K106" s="89" t="b">
        <v>0</v>
      </c>
      <c r="L106" s="89" t="b">
        <v>0</v>
      </c>
    </row>
    <row r="107" spans="1:12" ht="15">
      <c r="A107" s="86" t="s">
        <v>1134</v>
      </c>
      <c r="B107" s="89" t="s">
        <v>859</v>
      </c>
      <c r="C107" s="89">
        <v>3</v>
      </c>
      <c r="D107" s="111">
        <v>0.003610411414667391</v>
      </c>
      <c r="E107" s="111">
        <v>1.7529016789031202</v>
      </c>
      <c r="F107" s="89" t="s">
        <v>1158</v>
      </c>
      <c r="G107" s="89" t="b">
        <v>0</v>
      </c>
      <c r="H107" s="89" t="b">
        <v>0</v>
      </c>
      <c r="I107" s="89" t="b">
        <v>0</v>
      </c>
      <c r="J107" s="89" t="b">
        <v>0</v>
      </c>
      <c r="K107" s="89" t="b">
        <v>0</v>
      </c>
      <c r="L107" s="89" t="b">
        <v>0</v>
      </c>
    </row>
    <row r="108" spans="1:12" ht="15">
      <c r="A108" s="86" t="s">
        <v>859</v>
      </c>
      <c r="B108" s="89" t="s">
        <v>1135</v>
      </c>
      <c r="C108" s="89">
        <v>3</v>
      </c>
      <c r="D108" s="111">
        <v>0.003610411414667391</v>
      </c>
      <c r="E108" s="111">
        <v>1.5030242056865204</v>
      </c>
      <c r="F108" s="89" t="s">
        <v>1158</v>
      </c>
      <c r="G108" s="89" t="b">
        <v>0</v>
      </c>
      <c r="H108" s="89" t="b">
        <v>0</v>
      </c>
      <c r="I108" s="89" t="b">
        <v>0</v>
      </c>
      <c r="J108" s="89" t="b">
        <v>1</v>
      </c>
      <c r="K108" s="89" t="b">
        <v>0</v>
      </c>
      <c r="L108" s="89" t="b">
        <v>0</v>
      </c>
    </row>
    <row r="109" spans="1:12" ht="15">
      <c r="A109" s="86" t="s">
        <v>1135</v>
      </c>
      <c r="B109" s="89" t="s">
        <v>1136</v>
      </c>
      <c r="C109" s="89">
        <v>3</v>
      </c>
      <c r="D109" s="111">
        <v>0.003610411414667391</v>
      </c>
      <c r="E109" s="111">
        <v>2.531052929286764</v>
      </c>
      <c r="F109" s="89" t="s">
        <v>1158</v>
      </c>
      <c r="G109" s="89" t="b">
        <v>1</v>
      </c>
      <c r="H109" s="89" t="b">
        <v>0</v>
      </c>
      <c r="I109" s="89" t="b">
        <v>0</v>
      </c>
      <c r="J109" s="89" t="b">
        <v>0</v>
      </c>
      <c r="K109" s="89" t="b">
        <v>0</v>
      </c>
      <c r="L109" s="89" t="b">
        <v>0</v>
      </c>
    </row>
    <row r="110" spans="1:12" ht="15">
      <c r="A110" s="86" t="s">
        <v>1136</v>
      </c>
      <c r="B110" s="89" t="s">
        <v>1137</v>
      </c>
      <c r="C110" s="89">
        <v>3</v>
      </c>
      <c r="D110" s="111">
        <v>0.003610411414667391</v>
      </c>
      <c r="E110" s="111">
        <v>2.531052929286764</v>
      </c>
      <c r="F110" s="89" t="s">
        <v>1158</v>
      </c>
      <c r="G110" s="89" t="b">
        <v>0</v>
      </c>
      <c r="H110" s="89" t="b">
        <v>0</v>
      </c>
      <c r="I110" s="89" t="b">
        <v>0</v>
      </c>
      <c r="J110" s="89" t="b">
        <v>1</v>
      </c>
      <c r="K110" s="89" t="b">
        <v>0</v>
      </c>
      <c r="L110" s="89" t="b">
        <v>0</v>
      </c>
    </row>
    <row r="111" spans="1:12" ht="15">
      <c r="A111" s="86" t="s">
        <v>1137</v>
      </c>
      <c r="B111" s="89" t="s">
        <v>1138</v>
      </c>
      <c r="C111" s="89">
        <v>3</v>
      </c>
      <c r="D111" s="111">
        <v>0.003610411414667391</v>
      </c>
      <c r="E111" s="111">
        <v>2.531052929286764</v>
      </c>
      <c r="F111" s="89" t="s">
        <v>1158</v>
      </c>
      <c r="G111" s="89" t="b">
        <v>1</v>
      </c>
      <c r="H111" s="89" t="b">
        <v>0</v>
      </c>
      <c r="I111" s="89" t="b">
        <v>0</v>
      </c>
      <c r="J111" s="89" t="b">
        <v>0</v>
      </c>
      <c r="K111" s="89" t="b">
        <v>0</v>
      </c>
      <c r="L111" s="89" t="b">
        <v>0</v>
      </c>
    </row>
    <row r="112" spans="1:12" ht="15">
      <c r="A112" s="86" t="s">
        <v>1138</v>
      </c>
      <c r="B112" s="89" t="s">
        <v>861</v>
      </c>
      <c r="C112" s="89">
        <v>3</v>
      </c>
      <c r="D112" s="111">
        <v>0.003610411414667391</v>
      </c>
      <c r="E112" s="111">
        <v>1.6102341753343887</v>
      </c>
      <c r="F112" s="89" t="s">
        <v>1158</v>
      </c>
      <c r="G112" s="89" t="b">
        <v>0</v>
      </c>
      <c r="H112" s="89" t="b">
        <v>0</v>
      </c>
      <c r="I112" s="89" t="b">
        <v>0</v>
      </c>
      <c r="J112" s="89" t="b">
        <v>0</v>
      </c>
      <c r="K112" s="89" t="b">
        <v>0</v>
      </c>
      <c r="L112" s="89" t="b">
        <v>0</v>
      </c>
    </row>
    <row r="113" spans="1:12" ht="15">
      <c r="A113" s="86" t="s">
        <v>1139</v>
      </c>
      <c r="B113" s="89" t="s">
        <v>1140</v>
      </c>
      <c r="C113" s="89">
        <v>2</v>
      </c>
      <c r="D113" s="111">
        <v>0.0027345525878663497</v>
      </c>
      <c r="E113" s="111">
        <v>2.707144188342445</v>
      </c>
      <c r="F113" s="89" t="s">
        <v>1158</v>
      </c>
      <c r="G113" s="89" t="b">
        <v>0</v>
      </c>
      <c r="H113" s="89" t="b">
        <v>1</v>
      </c>
      <c r="I113" s="89" t="b">
        <v>0</v>
      </c>
      <c r="J113" s="89" t="b">
        <v>1</v>
      </c>
      <c r="K113" s="89" t="b">
        <v>0</v>
      </c>
      <c r="L113" s="89" t="b">
        <v>0</v>
      </c>
    </row>
    <row r="114" spans="1:12" ht="15">
      <c r="A114" s="86" t="s">
        <v>1140</v>
      </c>
      <c r="B114" s="89" t="s">
        <v>1141</v>
      </c>
      <c r="C114" s="89">
        <v>2</v>
      </c>
      <c r="D114" s="111">
        <v>0.0027345525878663497</v>
      </c>
      <c r="E114" s="111">
        <v>2.707144188342445</v>
      </c>
      <c r="F114" s="89" t="s">
        <v>1158</v>
      </c>
      <c r="G114" s="89" t="b">
        <v>1</v>
      </c>
      <c r="H114" s="89" t="b">
        <v>0</v>
      </c>
      <c r="I114" s="89" t="b">
        <v>0</v>
      </c>
      <c r="J114" s="89" t="b">
        <v>1</v>
      </c>
      <c r="K114" s="89" t="b">
        <v>0</v>
      </c>
      <c r="L114" s="89" t="b">
        <v>0</v>
      </c>
    </row>
    <row r="115" spans="1:12" ht="15">
      <c r="A115" s="86" t="s">
        <v>1141</v>
      </c>
      <c r="B115" s="89" t="s">
        <v>1083</v>
      </c>
      <c r="C115" s="89">
        <v>2</v>
      </c>
      <c r="D115" s="111">
        <v>0.0027345525878663497</v>
      </c>
      <c r="E115" s="111">
        <v>2.0081741840064264</v>
      </c>
      <c r="F115" s="89" t="s">
        <v>1158</v>
      </c>
      <c r="G115" s="89" t="b">
        <v>1</v>
      </c>
      <c r="H115" s="89" t="b">
        <v>0</v>
      </c>
      <c r="I115" s="89" t="b">
        <v>0</v>
      </c>
      <c r="J115" s="89" t="b">
        <v>0</v>
      </c>
      <c r="K115" s="89" t="b">
        <v>0</v>
      </c>
      <c r="L115" s="89" t="b">
        <v>0</v>
      </c>
    </row>
    <row r="116" spans="1:12" ht="15">
      <c r="A116" s="86" t="s">
        <v>1083</v>
      </c>
      <c r="B116" s="89" t="s">
        <v>1142</v>
      </c>
      <c r="C116" s="89">
        <v>2</v>
      </c>
      <c r="D116" s="111">
        <v>0.0027345525878663497</v>
      </c>
      <c r="E116" s="111">
        <v>2.0081741840064264</v>
      </c>
      <c r="F116" s="89" t="s">
        <v>1158</v>
      </c>
      <c r="G116" s="89" t="b">
        <v>0</v>
      </c>
      <c r="H116" s="89" t="b">
        <v>0</v>
      </c>
      <c r="I116" s="89" t="b">
        <v>0</v>
      </c>
      <c r="J116" s="89" t="b">
        <v>0</v>
      </c>
      <c r="K116" s="89" t="b">
        <v>0</v>
      </c>
      <c r="L116" s="89" t="b">
        <v>0</v>
      </c>
    </row>
    <row r="117" spans="1:12" ht="15">
      <c r="A117" s="86" t="s">
        <v>1142</v>
      </c>
      <c r="B117" s="89" t="s">
        <v>1143</v>
      </c>
      <c r="C117" s="89">
        <v>2</v>
      </c>
      <c r="D117" s="111">
        <v>0.0027345525878663497</v>
      </c>
      <c r="E117" s="111">
        <v>2.707144188342445</v>
      </c>
      <c r="F117" s="89" t="s">
        <v>1158</v>
      </c>
      <c r="G117" s="89" t="b">
        <v>0</v>
      </c>
      <c r="H117" s="89" t="b">
        <v>0</v>
      </c>
      <c r="I117" s="89" t="b">
        <v>0</v>
      </c>
      <c r="J117" s="89" t="b">
        <v>0</v>
      </c>
      <c r="K117" s="89" t="b">
        <v>0</v>
      </c>
      <c r="L117" s="89" t="b">
        <v>0</v>
      </c>
    </row>
    <row r="118" spans="1:12" ht="15">
      <c r="A118" s="86" t="s">
        <v>1143</v>
      </c>
      <c r="B118" s="89" t="s">
        <v>300</v>
      </c>
      <c r="C118" s="89">
        <v>2</v>
      </c>
      <c r="D118" s="111">
        <v>0.0027345525878663497</v>
      </c>
      <c r="E118" s="111">
        <v>1.8040542013505017</v>
      </c>
      <c r="F118" s="89" t="s">
        <v>1158</v>
      </c>
      <c r="G118" s="89" t="b">
        <v>0</v>
      </c>
      <c r="H118" s="89" t="b">
        <v>0</v>
      </c>
      <c r="I118" s="89" t="b">
        <v>0</v>
      </c>
      <c r="J118" s="89" t="b">
        <v>0</v>
      </c>
      <c r="K118" s="89" t="b">
        <v>0</v>
      </c>
      <c r="L118" s="89" t="b">
        <v>0</v>
      </c>
    </row>
    <row r="119" spans="1:12" ht="15">
      <c r="A119" s="86" t="s">
        <v>292</v>
      </c>
      <c r="B119" s="89" t="s">
        <v>307</v>
      </c>
      <c r="C119" s="89">
        <v>2</v>
      </c>
      <c r="D119" s="111">
        <v>0.0027345525878663497</v>
      </c>
      <c r="E119" s="111">
        <v>2.707144188342445</v>
      </c>
      <c r="F119" s="89" t="s">
        <v>1158</v>
      </c>
      <c r="G119" s="89" t="b">
        <v>0</v>
      </c>
      <c r="H119" s="89" t="b">
        <v>0</v>
      </c>
      <c r="I119" s="89" t="b">
        <v>0</v>
      </c>
      <c r="J119" s="89" t="b">
        <v>0</v>
      </c>
      <c r="K119" s="89" t="b">
        <v>0</v>
      </c>
      <c r="L119" s="89" t="b">
        <v>0</v>
      </c>
    </row>
    <row r="120" spans="1:12" ht="15">
      <c r="A120" s="86" t="s">
        <v>307</v>
      </c>
      <c r="B120" s="89" t="s">
        <v>289</v>
      </c>
      <c r="C120" s="89">
        <v>2</v>
      </c>
      <c r="D120" s="111">
        <v>0.0027345525878663497</v>
      </c>
      <c r="E120" s="111">
        <v>1.116079581315946</v>
      </c>
      <c r="F120" s="89" t="s">
        <v>1158</v>
      </c>
      <c r="G120" s="89" t="b">
        <v>0</v>
      </c>
      <c r="H120" s="89" t="b">
        <v>0</v>
      </c>
      <c r="I120" s="89" t="b">
        <v>0</v>
      </c>
      <c r="J120" s="89" t="b">
        <v>0</v>
      </c>
      <c r="K120" s="89" t="b">
        <v>0</v>
      </c>
      <c r="L120" s="89" t="b">
        <v>0</v>
      </c>
    </row>
    <row r="121" spans="1:12" ht="15">
      <c r="A121" s="86" t="s">
        <v>877</v>
      </c>
      <c r="B121" s="89" t="s">
        <v>878</v>
      </c>
      <c r="C121" s="89">
        <v>2</v>
      </c>
      <c r="D121" s="111">
        <v>0.0027345525878663497</v>
      </c>
      <c r="E121" s="111">
        <v>1.6559916658950637</v>
      </c>
      <c r="F121" s="89" t="s">
        <v>1158</v>
      </c>
      <c r="G121" s="89" t="b">
        <v>0</v>
      </c>
      <c r="H121" s="89" t="b">
        <v>0</v>
      </c>
      <c r="I121" s="89" t="b">
        <v>0</v>
      </c>
      <c r="J121" s="89" t="b">
        <v>0</v>
      </c>
      <c r="K121" s="89" t="b">
        <v>0</v>
      </c>
      <c r="L121" s="89" t="b">
        <v>0</v>
      </c>
    </row>
    <row r="122" spans="1:12" ht="15">
      <c r="A122" s="86" t="s">
        <v>307</v>
      </c>
      <c r="B122" s="89" t="s">
        <v>890</v>
      </c>
      <c r="C122" s="89">
        <v>2</v>
      </c>
      <c r="D122" s="111">
        <v>0.0027345525878663497</v>
      </c>
      <c r="E122" s="111">
        <v>2.406114192678464</v>
      </c>
      <c r="F122" s="89" t="s">
        <v>1158</v>
      </c>
      <c r="G122" s="89" t="b">
        <v>0</v>
      </c>
      <c r="H122" s="89" t="b">
        <v>0</v>
      </c>
      <c r="I122" s="89" t="b">
        <v>0</v>
      </c>
      <c r="J122" s="89" t="b">
        <v>0</v>
      </c>
      <c r="K122" s="89" t="b">
        <v>0</v>
      </c>
      <c r="L122" s="89" t="b">
        <v>0</v>
      </c>
    </row>
    <row r="123" spans="1:12" ht="15">
      <c r="A123" s="86" t="s">
        <v>890</v>
      </c>
      <c r="B123" s="89" t="s">
        <v>891</v>
      </c>
      <c r="C123" s="89">
        <v>2</v>
      </c>
      <c r="D123" s="111">
        <v>0.0027345525878663497</v>
      </c>
      <c r="E123" s="111">
        <v>2.707144188342445</v>
      </c>
      <c r="F123" s="89" t="s">
        <v>1158</v>
      </c>
      <c r="G123" s="89" t="b">
        <v>0</v>
      </c>
      <c r="H123" s="89" t="b">
        <v>0</v>
      </c>
      <c r="I123" s="89" t="b">
        <v>0</v>
      </c>
      <c r="J123" s="89" t="b">
        <v>0</v>
      </c>
      <c r="K123" s="89" t="b">
        <v>0</v>
      </c>
      <c r="L123" s="89" t="b">
        <v>0</v>
      </c>
    </row>
    <row r="124" spans="1:12" ht="15">
      <c r="A124" s="86" t="s">
        <v>891</v>
      </c>
      <c r="B124" s="89" t="s">
        <v>892</v>
      </c>
      <c r="C124" s="89">
        <v>2</v>
      </c>
      <c r="D124" s="111">
        <v>0.0027345525878663497</v>
      </c>
      <c r="E124" s="111">
        <v>2.707144188342445</v>
      </c>
      <c r="F124" s="89" t="s">
        <v>1158</v>
      </c>
      <c r="G124" s="89" t="b">
        <v>0</v>
      </c>
      <c r="H124" s="89" t="b">
        <v>0</v>
      </c>
      <c r="I124" s="89" t="b">
        <v>0</v>
      </c>
      <c r="J124" s="89" t="b">
        <v>0</v>
      </c>
      <c r="K124" s="89" t="b">
        <v>0</v>
      </c>
      <c r="L124" s="89" t="b">
        <v>0</v>
      </c>
    </row>
    <row r="125" spans="1:12" ht="15">
      <c r="A125" s="86" t="s">
        <v>892</v>
      </c>
      <c r="B125" s="89" t="s">
        <v>893</v>
      </c>
      <c r="C125" s="89">
        <v>2</v>
      </c>
      <c r="D125" s="111">
        <v>0.0027345525878663497</v>
      </c>
      <c r="E125" s="111">
        <v>2.707144188342445</v>
      </c>
      <c r="F125" s="89" t="s">
        <v>1158</v>
      </c>
      <c r="G125" s="89" t="b">
        <v>0</v>
      </c>
      <c r="H125" s="89" t="b">
        <v>0</v>
      </c>
      <c r="I125" s="89" t="b">
        <v>0</v>
      </c>
      <c r="J125" s="89" t="b">
        <v>0</v>
      </c>
      <c r="K125" s="89" t="b">
        <v>0</v>
      </c>
      <c r="L125" s="89" t="b">
        <v>0</v>
      </c>
    </row>
    <row r="126" spans="1:12" ht="15">
      <c r="A126" s="86" t="s">
        <v>893</v>
      </c>
      <c r="B126" s="89" t="s">
        <v>894</v>
      </c>
      <c r="C126" s="89">
        <v>2</v>
      </c>
      <c r="D126" s="111">
        <v>0.0027345525878663497</v>
      </c>
      <c r="E126" s="111">
        <v>2.707144188342445</v>
      </c>
      <c r="F126" s="89" t="s">
        <v>1158</v>
      </c>
      <c r="G126" s="89" t="b">
        <v>0</v>
      </c>
      <c r="H126" s="89" t="b">
        <v>0</v>
      </c>
      <c r="I126" s="89" t="b">
        <v>0</v>
      </c>
      <c r="J126" s="89" t="b">
        <v>0</v>
      </c>
      <c r="K126" s="89" t="b">
        <v>0</v>
      </c>
      <c r="L126" s="89" t="b">
        <v>0</v>
      </c>
    </row>
    <row r="127" spans="1:12" ht="15">
      <c r="A127" s="86" t="s">
        <v>894</v>
      </c>
      <c r="B127" s="89" t="s">
        <v>895</v>
      </c>
      <c r="C127" s="89">
        <v>2</v>
      </c>
      <c r="D127" s="111">
        <v>0.0027345525878663497</v>
      </c>
      <c r="E127" s="111">
        <v>2.707144188342445</v>
      </c>
      <c r="F127" s="89" t="s">
        <v>1158</v>
      </c>
      <c r="G127" s="89" t="b">
        <v>0</v>
      </c>
      <c r="H127" s="89" t="b">
        <v>0</v>
      </c>
      <c r="I127" s="89" t="b">
        <v>0</v>
      </c>
      <c r="J127" s="89" t="b">
        <v>0</v>
      </c>
      <c r="K127" s="89" t="b">
        <v>0</v>
      </c>
      <c r="L127" s="89" t="b">
        <v>0</v>
      </c>
    </row>
    <row r="128" spans="1:12" ht="15">
      <c r="A128" s="86" t="s">
        <v>895</v>
      </c>
      <c r="B128" s="89" t="s">
        <v>896</v>
      </c>
      <c r="C128" s="89">
        <v>2</v>
      </c>
      <c r="D128" s="111">
        <v>0.0027345525878663497</v>
      </c>
      <c r="E128" s="111">
        <v>2.707144188342445</v>
      </c>
      <c r="F128" s="89" t="s">
        <v>1158</v>
      </c>
      <c r="G128" s="89" t="b">
        <v>0</v>
      </c>
      <c r="H128" s="89" t="b">
        <v>0</v>
      </c>
      <c r="I128" s="89" t="b">
        <v>0</v>
      </c>
      <c r="J128" s="89" t="b">
        <v>0</v>
      </c>
      <c r="K128" s="89" t="b">
        <v>0</v>
      </c>
      <c r="L128" s="89" t="b">
        <v>0</v>
      </c>
    </row>
    <row r="129" spans="1:12" ht="15">
      <c r="A129" s="86" t="s">
        <v>896</v>
      </c>
      <c r="B129" s="89" t="s">
        <v>1144</v>
      </c>
      <c r="C129" s="89">
        <v>2</v>
      </c>
      <c r="D129" s="111">
        <v>0.0027345525878663497</v>
      </c>
      <c r="E129" s="111">
        <v>2.707144188342445</v>
      </c>
      <c r="F129" s="89" t="s">
        <v>1158</v>
      </c>
      <c r="G129" s="89" t="b">
        <v>0</v>
      </c>
      <c r="H129" s="89" t="b">
        <v>0</v>
      </c>
      <c r="I129" s="89" t="b">
        <v>0</v>
      </c>
      <c r="J129" s="89" t="b">
        <v>0</v>
      </c>
      <c r="K129" s="89" t="b">
        <v>0</v>
      </c>
      <c r="L129" s="89" t="b">
        <v>0</v>
      </c>
    </row>
    <row r="130" spans="1:12" ht="15">
      <c r="A130" s="86" t="s">
        <v>1144</v>
      </c>
      <c r="B130" s="89" t="s">
        <v>1145</v>
      </c>
      <c r="C130" s="89">
        <v>2</v>
      </c>
      <c r="D130" s="111">
        <v>0.0027345525878663497</v>
      </c>
      <c r="E130" s="111">
        <v>2.707144188342445</v>
      </c>
      <c r="F130" s="89" t="s">
        <v>1158</v>
      </c>
      <c r="G130" s="89" t="b">
        <v>0</v>
      </c>
      <c r="H130" s="89" t="b">
        <v>0</v>
      </c>
      <c r="I130" s="89" t="b">
        <v>0</v>
      </c>
      <c r="J130" s="89" t="b">
        <v>0</v>
      </c>
      <c r="K130" s="89" t="b">
        <v>0</v>
      </c>
      <c r="L130" s="89" t="b">
        <v>0</v>
      </c>
    </row>
    <row r="131" spans="1:12" ht="15">
      <c r="A131" s="86" t="s">
        <v>1145</v>
      </c>
      <c r="B131" s="89" t="s">
        <v>1146</v>
      </c>
      <c r="C131" s="89">
        <v>2</v>
      </c>
      <c r="D131" s="111">
        <v>0.0027345525878663497</v>
      </c>
      <c r="E131" s="111">
        <v>2.707144188342445</v>
      </c>
      <c r="F131" s="89" t="s">
        <v>1158</v>
      </c>
      <c r="G131" s="89" t="b">
        <v>0</v>
      </c>
      <c r="H131" s="89" t="b">
        <v>0</v>
      </c>
      <c r="I131" s="89" t="b">
        <v>0</v>
      </c>
      <c r="J131" s="89" t="b">
        <v>0</v>
      </c>
      <c r="K131" s="89" t="b">
        <v>0</v>
      </c>
      <c r="L131" s="89" t="b">
        <v>0</v>
      </c>
    </row>
    <row r="132" spans="1:12" ht="15">
      <c r="A132" s="86" t="s">
        <v>1146</v>
      </c>
      <c r="B132" s="89" t="s">
        <v>1147</v>
      </c>
      <c r="C132" s="89">
        <v>2</v>
      </c>
      <c r="D132" s="111">
        <v>0.0027345525878663497</v>
      </c>
      <c r="E132" s="111">
        <v>2.707144188342445</v>
      </c>
      <c r="F132" s="89" t="s">
        <v>1158</v>
      </c>
      <c r="G132" s="89" t="b">
        <v>0</v>
      </c>
      <c r="H132" s="89" t="b">
        <v>0</v>
      </c>
      <c r="I132" s="89" t="b">
        <v>0</v>
      </c>
      <c r="J132" s="89" t="b">
        <v>0</v>
      </c>
      <c r="K132" s="89" t="b">
        <v>0</v>
      </c>
      <c r="L132" s="89" t="b">
        <v>0</v>
      </c>
    </row>
    <row r="133" spans="1:12" ht="15">
      <c r="A133" s="86" t="s">
        <v>1147</v>
      </c>
      <c r="B133" s="89" t="s">
        <v>1148</v>
      </c>
      <c r="C133" s="89">
        <v>2</v>
      </c>
      <c r="D133" s="111">
        <v>0.0027345525878663497</v>
      </c>
      <c r="E133" s="111">
        <v>2.707144188342445</v>
      </c>
      <c r="F133" s="89" t="s">
        <v>1158</v>
      </c>
      <c r="G133" s="89" t="b">
        <v>0</v>
      </c>
      <c r="H133" s="89" t="b">
        <v>0</v>
      </c>
      <c r="I133" s="89" t="b">
        <v>0</v>
      </c>
      <c r="J133" s="89" t="b">
        <v>0</v>
      </c>
      <c r="K133" s="89" t="b">
        <v>0</v>
      </c>
      <c r="L133" s="89" t="b">
        <v>0</v>
      </c>
    </row>
    <row r="134" spans="1:12" ht="15">
      <c r="A134" s="86" t="s">
        <v>1148</v>
      </c>
      <c r="B134" s="89" t="s">
        <v>1149</v>
      </c>
      <c r="C134" s="89">
        <v>2</v>
      </c>
      <c r="D134" s="111">
        <v>0.0027345525878663497</v>
      </c>
      <c r="E134" s="111">
        <v>2.707144188342445</v>
      </c>
      <c r="F134" s="89" t="s">
        <v>1158</v>
      </c>
      <c r="G134" s="89" t="b">
        <v>0</v>
      </c>
      <c r="H134" s="89" t="b">
        <v>0</v>
      </c>
      <c r="I134" s="89" t="b">
        <v>0</v>
      </c>
      <c r="J134" s="89" t="b">
        <v>0</v>
      </c>
      <c r="K134" s="89" t="b">
        <v>0</v>
      </c>
      <c r="L134" s="89" t="b">
        <v>0</v>
      </c>
    </row>
    <row r="135" spans="1:12" ht="15">
      <c r="A135" s="86" t="s">
        <v>1149</v>
      </c>
      <c r="B135" s="89" t="s">
        <v>1150</v>
      </c>
      <c r="C135" s="89">
        <v>2</v>
      </c>
      <c r="D135" s="111">
        <v>0.0027345525878663497</v>
      </c>
      <c r="E135" s="111">
        <v>2.707144188342445</v>
      </c>
      <c r="F135" s="89" t="s">
        <v>1158</v>
      </c>
      <c r="G135" s="89" t="b">
        <v>0</v>
      </c>
      <c r="H135" s="89" t="b">
        <v>0</v>
      </c>
      <c r="I135" s="89" t="b">
        <v>0</v>
      </c>
      <c r="J135" s="89" t="b">
        <v>0</v>
      </c>
      <c r="K135" s="89" t="b">
        <v>0</v>
      </c>
      <c r="L135" s="89" t="b">
        <v>0</v>
      </c>
    </row>
    <row r="136" spans="1:12" ht="15">
      <c r="A136" s="86" t="s">
        <v>1150</v>
      </c>
      <c r="B136" s="89" t="s">
        <v>1151</v>
      </c>
      <c r="C136" s="89">
        <v>2</v>
      </c>
      <c r="D136" s="111">
        <v>0.0027345525878663497</v>
      </c>
      <c r="E136" s="111">
        <v>2.707144188342445</v>
      </c>
      <c r="F136" s="89" t="s">
        <v>1158</v>
      </c>
      <c r="G136" s="89" t="b">
        <v>0</v>
      </c>
      <c r="H136" s="89" t="b">
        <v>0</v>
      </c>
      <c r="I136" s="89" t="b">
        <v>0</v>
      </c>
      <c r="J136" s="89" t="b">
        <v>0</v>
      </c>
      <c r="K136" s="89" t="b">
        <v>0</v>
      </c>
      <c r="L136" s="89" t="b">
        <v>0</v>
      </c>
    </row>
    <row r="137" spans="1:12" ht="15">
      <c r="A137" s="86" t="s">
        <v>1151</v>
      </c>
      <c r="B137" s="89" t="s">
        <v>289</v>
      </c>
      <c r="C137" s="89">
        <v>2</v>
      </c>
      <c r="D137" s="111">
        <v>0.0027345525878663497</v>
      </c>
      <c r="E137" s="111">
        <v>1.4171095769799273</v>
      </c>
      <c r="F137" s="89" t="s">
        <v>1158</v>
      </c>
      <c r="G137" s="89" t="b">
        <v>0</v>
      </c>
      <c r="H137" s="89" t="b">
        <v>0</v>
      </c>
      <c r="I137" s="89" t="b">
        <v>0</v>
      </c>
      <c r="J137" s="89" t="b">
        <v>0</v>
      </c>
      <c r="K137" s="89" t="b">
        <v>0</v>
      </c>
      <c r="L137" s="89" t="b">
        <v>0</v>
      </c>
    </row>
    <row r="138" spans="1:12" ht="15">
      <c r="A138" s="86" t="s">
        <v>289</v>
      </c>
      <c r="B138" s="89" t="s">
        <v>1152</v>
      </c>
      <c r="C138" s="89">
        <v>2</v>
      </c>
      <c r="D138" s="111">
        <v>0.0027345525878663497</v>
      </c>
      <c r="E138" s="111">
        <v>1.4766952669641713</v>
      </c>
      <c r="F138" s="89" t="s">
        <v>1158</v>
      </c>
      <c r="G138" s="89" t="b">
        <v>0</v>
      </c>
      <c r="H138" s="89" t="b">
        <v>0</v>
      </c>
      <c r="I138" s="89" t="b">
        <v>0</v>
      </c>
      <c r="J138" s="89" t="b">
        <v>0</v>
      </c>
      <c r="K138" s="89" t="b">
        <v>0</v>
      </c>
      <c r="L138" s="89" t="b">
        <v>0</v>
      </c>
    </row>
    <row r="139" spans="1:12" ht="15">
      <c r="A139" s="86" t="s">
        <v>1152</v>
      </c>
      <c r="B139" s="89" t="s">
        <v>878</v>
      </c>
      <c r="C139" s="89">
        <v>2</v>
      </c>
      <c r="D139" s="111">
        <v>0.0027345525878663497</v>
      </c>
      <c r="E139" s="111">
        <v>2.3092041796704077</v>
      </c>
      <c r="F139" s="89" t="s">
        <v>1158</v>
      </c>
      <c r="G139" s="89" t="b">
        <v>0</v>
      </c>
      <c r="H139" s="89" t="b">
        <v>0</v>
      </c>
      <c r="I139" s="89" t="b">
        <v>0</v>
      </c>
      <c r="J139" s="89" t="b">
        <v>0</v>
      </c>
      <c r="K139" s="89" t="b">
        <v>0</v>
      </c>
      <c r="L139" s="89" t="b">
        <v>0</v>
      </c>
    </row>
    <row r="140" spans="1:12" ht="15">
      <c r="A140" s="86" t="s">
        <v>859</v>
      </c>
      <c r="B140" s="89" t="s">
        <v>860</v>
      </c>
      <c r="C140" s="89">
        <v>18</v>
      </c>
      <c r="D140" s="111">
        <v>0.013458985362311231</v>
      </c>
      <c r="E140" s="111">
        <v>1.3392944957592638</v>
      </c>
      <c r="F140" s="89" t="s">
        <v>788</v>
      </c>
      <c r="G140" s="89" t="b">
        <v>0</v>
      </c>
      <c r="H140" s="89" t="b">
        <v>0</v>
      </c>
      <c r="I140" s="89" t="b">
        <v>0</v>
      </c>
      <c r="J140" s="89" t="b">
        <v>0</v>
      </c>
      <c r="K140" s="89" t="b">
        <v>0</v>
      </c>
      <c r="L140" s="89" t="b">
        <v>0</v>
      </c>
    </row>
    <row r="141" spans="1:12" ht="15">
      <c r="A141" s="86" t="s">
        <v>861</v>
      </c>
      <c r="B141" s="89" t="s">
        <v>862</v>
      </c>
      <c r="C141" s="89">
        <v>11</v>
      </c>
      <c r="D141" s="111">
        <v>0.006016060077743418</v>
      </c>
      <c r="E141" s="111">
        <v>1.5766554115538678</v>
      </c>
      <c r="F141" s="89" t="s">
        <v>788</v>
      </c>
      <c r="G141" s="89" t="b">
        <v>0</v>
      </c>
      <c r="H141" s="89" t="b">
        <v>0</v>
      </c>
      <c r="I141" s="89" t="b">
        <v>0</v>
      </c>
      <c r="J141" s="89" t="b">
        <v>0</v>
      </c>
      <c r="K141" s="89" t="b">
        <v>0</v>
      </c>
      <c r="L141" s="89" t="b">
        <v>0</v>
      </c>
    </row>
    <row r="142" spans="1:12" ht="15">
      <c r="A142" s="86" t="s">
        <v>862</v>
      </c>
      <c r="B142" s="89" t="s">
        <v>289</v>
      </c>
      <c r="C142" s="89">
        <v>11</v>
      </c>
      <c r="D142" s="111">
        <v>0.006016060077743418</v>
      </c>
      <c r="E142" s="111">
        <v>1.3392944957592638</v>
      </c>
      <c r="F142" s="89" t="s">
        <v>788</v>
      </c>
      <c r="G142" s="89" t="b">
        <v>0</v>
      </c>
      <c r="H142" s="89" t="b">
        <v>0</v>
      </c>
      <c r="I142" s="89" t="b">
        <v>0</v>
      </c>
      <c r="J142" s="89" t="b">
        <v>0</v>
      </c>
      <c r="K142" s="89" t="b">
        <v>0</v>
      </c>
      <c r="L142" s="89" t="b">
        <v>0</v>
      </c>
    </row>
    <row r="143" spans="1:12" ht="15">
      <c r="A143" s="86" t="s">
        <v>869</v>
      </c>
      <c r="B143" s="89" t="s">
        <v>870</v>
      </c>
      <c r="C143" s="89">
        <v>9</v>
      </c>
      <c r="D143" s="111">
        <v>0.0067294926811556155</v>
      </c>
      <c r="E143" s="111">
        <v>1.663805587272768</v>
      </c>
      <c r="F143" s="89" t="s">
        <v>788</v>
      </c>
      <c r="G143" s="89" t="b">
        <v>0</v>
      </c>
      <c r="H143" s="89" t="b">
        <v>0</v>
      </c>
      <c r="I143" s="89" t="b">
        <v>0</v>
      </c>
      <c r="J143" s="89" t="b">
        <v>0</v>
      </c>
      <c r="K143" s="89" t="b">
        <v>0</v>
      </c>
      <c r="L143" s="89" t="b">
        <v>0</v>
      </c>
    </row>
    <row r="144" spans="1:12" ht="15">
      <c r="A144" s="86" t="s">
        <v>860</v>
      </c>
      <c r="B144" s="89" t="s">
        <v>1069</v>
      </c>
      <c r="C144" s="89">
        <v>9</v>
      </c>
      <c r="D144" s="111">
        <v>0.0067294926811556155</v>
      </c>
      <c r="E144" s="111">
        <v>1.663805587272768</v>
      </c>
      <c r="F144" s="89" t="s">
        <v>788</v>
      </c>
      <c r="G144" s="89" t="b">
        <v>0</v>
      </c>
      <c r="H144" s="89" t="b">
        <v>0</v>
      </c>
      <c r="I144" s="89" t="b">
        <v>0</v>
      </c>
      <c r="J144" s="89" t="b">
        <v>0</v>
      </c>
      <c r="K144" s="89" t="b">
        <v>0</v>
      </c>
      <c r="L144" s="89" t="b">
        <v>0</v>
      </c>
    </row>
    <row r="145" spans="1:12" ht="15">
      <c r="A145" s="86" t="s">
        <v>1069</v>
      </c>
      <c r="B145" s="89" t="s">
        <v>1070</v>
      </c>
      <c r="C145" s="89">
        <v>9</v>
      </c>
      <c r="D145" s="111">
        <v>0.0067294926811556155</v>
      </c>
      <c r="E145" s="111">
        <v>1.663805587272768</v>
      </c>
      <c r="F145" s="89" t="s">
        <v>788</v>
      </c>
      <c r="G145" s="89" t="b">
        <v>0</v>
      </c>
      <c r="H145" s="89" t="b">
        <v>0</v>
      </c>
      <c r="I145" s="89" t="b">
        <v>0</v>
      </c>
      <c r="J145" s="89" t="b">
        <v>0</v>
      </c>
      <c r="K145" s="89" t="b">
        <v>0</v>
      </c>
      <c r="L145" s="89" t="b">
        <v>0</v>
      </c>
    </row>
    <row r="146" spans="1:12" ht="15">
      <c r="A146" s="86" t="s">
        <v>1070</v>
      </c>
      <c r="B146" s="89" t="s">
        <v>1071</v>
      </c>
      <c r="C146" s="89">
        <v>9</v>
      </c>
      <c r="D146" s="111">
        <v>0.0067294926811556155</v>
      </c>
      <c r="E146" s="111">
        <v>1.663805587272768</v>
      </c>
      <c r="F146" s="89" t="s">
        <v>788</v>
      </c>
      <c r="G146" s="89" t="b">
        <v>0</v>
      </c>
      <c r="H146" s="89" t="b">
        <v>0</v>
      </c>
      <c r="I146" s="89" t="b">
        <v>0</v>
      </c>
      <c r="J146" s="89" t="b">
        <v>1</v>
      </c>
      <c r="K146" s="89" t="b">
        <v>0</v>
      </c>
      <c r="L146" s="89" t="b">
        <v>0</v>
      </c>
    </row>
    <row r="147" spans="1:12" ht="15">
      <c r="A147" s="86" t="s">
        <v>1071</v>
      </c>
      <c r="B147" s="89" t="s">
        <v>1072</v>
      </c>
      <c r="C147" s="89">
        <v>9</v>
      </c>
      <c r="D147" s="111">
        <v>0.0067294926811556155</v>
      </c>
      <c r="E147" s="111">
        <v>1.663805587272768</v>
      </c>
      <c r="F147" s="89" t="s">
        <v>788</v>
      </c>
      <c r="G147" s="89" t="b">
        <v>1</v>
      </c>
      <c r="H147" s="89" t="b">
        <v>0</v>
      </c>
      <c r="I147" s="89" t="b">
        <v>0</v>
      </c>
      <c r="J147" s="89" t="b">
        <v>0</v>
      </c>
      <c r="K147" s="89" t="b">
        <v>0</v>
      </c>
      <c r="L147" s="89" t="b">
        <v>0</v>
      </c>
    </row>
    <row r="148" spans="1:12" ht="15">
      <c r="A148" s="86" t="s">
        <v>1072</v>
      </c>
      <c r="B148" s="89" t="s">
        <v>1073</v>
      </c>
      <c r="C148" s="89">
        <v>9</v>
      </c>
      <c r="D148" s="111">
        <v>0.0067294926811556155</v>
      </c>
      <c r="E148" s="111">
        <v>1.663805587272768</v>
      </c>
      <c r="F148" s="89" t="s">
        <v>788</v>
      </c>
      <c r="G148" s="89" t="b">
        <v>0</v>
      </c>
      <c r="H148" s="89" t="b">
        <v>0</v>
      </c>
      <c r="I148" s="89" t="b">
        <v>0</v>
      </c>
      <c r="J148" s="89" t="b">
        <v>0</v>
      </c>
      <c r="K148" s="89" t="b">
        <v>0</v>
      </c>
      <c r="L148" s="89" t="b">
        <v>0</v>
      </c>
    </row>
    <row r="149" spans="1:12" ht="15">
      <c r="A149" s="86" t="s">
        <v>1073</v>
      </c>
      <c r="B149" s="89" t="s">
        <v>1074</v>
      </c>
      <c r="C149" s="89">
        <v>9</v>
      </c>
      <c r="D149" s="111">
        <v>0.0067294926811556155</v>
      </c>
      <c r="E149" s="111">
        <v>1.663805587272768</v>
      </c>
      <c r="F149" s="89" t="s">
        <v>788</v>
      </c>
      <c r="G149" s="89" t="b">
        <v>0</v>
      </c>
      <c r="H149" s="89" t="b">
        <v>0</v>
      </c>
      <c r="I149" s="89" t="b">
        <v>0</v>
      </c>
      <c r="J149" s="89" t="b">
        <v>0</v>
      </c>
      <c r="K149" s="89" t="b">
        <v>0</v>
      </c>
      <c r="L149" s="89" t="b">
        <v>0</v>
      </c>
    </row>
    <row r="150" spans="1:12" ht="15">
      <c r="A150" s="86" t="s">
        <v>1074</v>
      </c>
      <c r="B150" s="89" t="s">
        <v>1075</v>
      </c>
      <c r="C150" s="89">
        <v>9</v>
      </c>
      <c r="D150" s="111">
        <v>0.0067294926811556155</v>
      </c>
      <c r="E150" s="111">
        <v>1.663805587272768</v>
      </c>
      <c r="F150" s="89" t="s">
        <v>788</v>
      </c>
      <c r="G150" s="89" t="b">
        <v>0</v>
      </c>
      <c r="H150" s="89" t="b">
        <v>0</v>
      </c>
      <c r="I150" s="89" t="b">
        <v>0</v>
      </c>
      <c r="J150" s="89" t="b">
        <v>0</v>
      </c>
      <c r="K150" s="89" t="b">
        <v>0</v>
      </c>
      <c r="L150" s="89" t="b">
        <v>0</v>
      </c>
    </row>
    <row r="151" spans="1:12" ht="15">
      <c r="A151" s="86" t="s">
        <v>1075</v>
      </c>
      <c r="B151" s="89" t="s">
        <v>1076</v>
      </c>
      <c r="C151" s="89">
        <v>9</v>
      </c>
      <c r="D151" s="111">
        <v>0.0067294926811556155</v>
      </c>
      <c r="E151" s="111">
        <v>1.663805587272768</v>
      </c>
      <c r="F151" s="89" t="s">
        <v>788</v>
      </c>
      <c r="G151" s="89" t="b">
        <v>0</v>
      </c>
      <c r="H151" s="89" t="b">
        <v>0</v>
      </c>
      <c r="I151" s="89" t="b">
        <v>0</v>
      </c>
      <c r="J151" s="89" t="b">
        <v>0</v>
      </c>
      <c r="K151" s="89" t="b">
        <v>0</v>
      </c>
      <c r="L151" s="89" t="b">
        <v>0</v>
      </c>
    </row>
    <row r="152" spans="1:12" ht="15">
      <c r="A152" s="86" t="s">
        <v>1076</v>
      </c>
      <c r="B152" s="89" t="s">
        <v>1077</v>
      </c>
      <c r="C152" s="89">
        <v>9</v>
      </c>
      <c r="D152" s="111">
        <v>0.0067294926811556155</v>
      </c>
      <c r="E152" s="111">
        <v>1.663805587272768</v>
      </c>
      <c r="F152" s="89" t="s">
        <v>788</v>
      </c>
      <c r="G152" s="89" t="b">
        <v>0</v>
      </c>
      <c r="H152" s="89" t="b">
        <v>0</v>
      </c>
      <c r="I152" s="89" t="b">
        <v>0</v>
      </c>
      <c r="J152" s="89" t="b">
        <v>0</v>
      </c>
      <c r="K152" s="89" t="b">
        <v>1</v>
      </c>
      <c r="L152" s="89" t="b">
        <v>0</v>
      </c>
    </row>
    <row r="153" spans="1:12" ht="15">
      <c r="A153" s="86" t="s">
        <v>1077</v>
      </c>
      <c r="B153" s="89" t="s">
        <v>1078</v>
      </c>
      <c r="C153" s="89">
        <v>9</v>
      </c>
      <c r="D153" s="111">
        <v>0.0067294926811556155</v>
      </c>
      <c r="E153" s="111">
        <v>1.663805587272768</v>
      </c>
      <c r="F153" s="89" t="s">
        <v>788</v>
      </c>
      <c r="G153" s="89" t="b">
        <v>0</v>
      </c>
      <c r="H153" s="89" t="b">
        <v>1</v>
      </c>
      <c r="I153" s="89" t="b">
        <v>0</v>
      </c>
      <c r="J153" s="89" t="b">
        <v>0</v>
      </c>
      <c r="K153" s="89" t="b">
        <v>0</v>
      </c>
      <c r="L153" s="89" t="b">
        <v>0</v>
      </c>
    </row>
    <row r="154" spans="1:12" ht="15">
      <c r="A154" s="86" t="s">
        <v>1078</v>
      </c>
      <c r="B154" s="89" t="s">
        <v>1079</v>
      </c>
      <c r="C154" s="89">
        <v>9</v>
      </c>
      <c r="D154" s="111">
        <v>0.0067294926811556155</v>
      </c>
      <c r="E154" s="111">
        <v>1.663805587272768</v>
      </c>
      <c r="F154" s="89" t="s">
        <v>788</v>
      </c>
      <c r="G154" s="89" t="b">
        <v>0</v>
      </c>
      <c r="H154" s="89" t="b">
        <v>0</v>
      </c>
      <c r="I154" s="89" t="b">
        <v>0</v>
      </c>
      <c r="J154" s="89" t="b">
        <v>0</v>
      </c>
      <c r="K154" s="89" t="b">
        <v>0</v>
      </c>
      <c r="L154" s="89" t="b">
        <v>0</v>
      </c>
    </row>
    <row r="155" spans="1:12" ht="15">
      <c r="A155" s="86" t="s">
        <v>1079</v>
      </c>
      <c r="B155" s="89" t="s">
        <v>1080</v>
      </c>
      <c r="C155" s="89">
        <v>9</v>
      </c>
      <c r="D155" s="111">
        <v>0.0067294926811556155</v>
      </c>
      <c r="E155" s="111">
        <v>1.663805587272768</v>
      </c>
      <c r="F155" s="89" t="s">
        <v>788</v>
      </c>
      <c r="G155" s="89" t="b">
        <v>0</v>
      </c>
      <c r="H155" s="89" t="b">
        <v>0</v>
      </c>
      <c r="I155" s="89" t="b">
        <v>0</v>
      </c>
      <c r="J155" s="89" t="b">
        <v>0</v>
      </c>
      <c r="K155" s="89" t="b">
        <v>0</v>
      </c>
      <c r="L155" s="89" t="b">
        <v>0</v>
      </c>
    </row>
    <row r="156" spans="1:12" ht="15">
      <c r="A156" s="86" t="s">
        <v>1080</v>
      </c>
      <c r="B156" s="89" t="s">
        <v>1081</v>
      </c>
      <c r="C156" s="89">
        <v>9</v>
      </c>
      <c r="D156" s="111">
        <v>0.0067294926811556155</v>
      </c>
      <c r="E156" s="111">
        <v>1.663805587272768</v>
      </c>
      <c r="F156" s="89" t="s">
        <v>788</v>
      </c>
      <c r="G156" s="89" t="b">
        <v>0</v>
      </c>
      <c r="H156" s="89" t="b">
        <v>0</v>
      </c>
      <c r="I156" s="89" t="b">
        <v>0</v>
      </c>
      <c r="J156" s="89" t="b">
        <v>0</v>
      </c>
      <c r="K156" s="89" t="b">
        <v>0</v>
      </c>
      <c r="L156" s="89" t="b">
        <v>0</v>
      </c>
    </row>
    <row r="157" spans="1:12" ht="15">
      <c r="A157" s="86" t="s">
        <v>1081</v>
      </c>
      <c r="B157" s="89" t="s">
        <v>861</v>
      </c>
      <c r="C157" s="89">
        <v>9</v>
      </c>
      <c r="D157" s="111">
        <v>0.0067294926811556155</v>
      </c>
      <c r="E157" s="111">
        <v>1.5766554115538676</v>
      </c>
      <c r="F157" s="89" t="s">
        <v>788</v>
      </c>
      <c r="G157" s="89" t="b">
        <v>0</v>
      </c>
      <c r="H157" s="89" t="b">
        <v>0</v>
      </c>
      <c r="I157" s="89" t="b">
        <v>0</v>
      </c>
      <c r="J157" s="89" t="b">
        <v>0</v>
      </c>
      <c r="K157" s="89" t="b">
        <v>0</v>
      </c>
      <c r="L157" s="89" t="b">
        <v>0</v>
      </c>
    </row>
    <row r="158" spans="1:12" ht="15">
      <c r="A158" s="86" t="s">
        <v>289</v>
      </c>
      <c r="B158" s="89" t="s">
        <v>1067</v>
      </c>
      <c r="C158" s="89">
        <v>9</v>
      </c>
      <c r="D158" s="111">
        <v>0.0067294926811556155</v>
      </c>
      <c r="E158" s="111">
        <v>1.3627755916087867</v>
      </c>
      <c r="F158" s="89" t="s">
        <v>788</v>
      </c>
      <c r="G158" s="89" t="b">
        <v>0</v>
      </c>
      <c r="H158" s="89" t="b">
        <v>0</v>
      </c>
      <c r="I158" s="89" t="b">
        <v>0</v>
      </c>
      <c r="J158" s="89" t="b">
        <v>0</v>
      </c>
      <c r="K158" s="89" t="b">
        <v>0</v>
      </c>
      <c r="L158" s="89" t="b">
        <v>0</v>
      </c>
    </row>
    <row r="159" spans="1:12" ht="15">
      <c r="A159" s="86" t="s">
        <v>1067</v>
      </c>
      <c r="B159" s="89" t="s">
        <v>1082</v>
      </c>
      <c r="C159" s="89">
        <v>9</v>
      </c>
      <c r="D159" s="111">
        <v>0.0067294926811556155</v>
      </c>
      <c r="E159" s="111">
        <v>1.663805587272768</v>
      </c>
      <c r="F159" s="89" t="s">
        <v>788</v>
      </c>
      <c r="G159" s="89" t="b">
        <v>0</v>
      </c>
      <c r="H159" s="89" t="b">
        <v>0</v>
      </c>
      <c r="I159" s="89" t="b">
        <v>0</v>
      </c>
      <c r="J159" s="89" t="b">
        <v>0</v>
      </c>
      <c r="K159" s="89" t="b">
        <v>0</v>
      </c>
      <c r="L159" s="89" t="b">
        <v>0</v>
      </c>
    </row>
    <row r="160" spans="1:12" ht="15">
      <c r="A160" s="86" t="s">
        <v>1082</v>
      </c>
      <c r="B160" s="89" t="s">
        <v>1068</v>
      </c>
      <c r="C160" s="89">
        <v>9</v>
      </c>
      <c r="D160" s="111">
        <v>0.0067294926811556155</v>
      </c>
      <c r="E160" s="111">
        <v>1.663805587272768</v>
      </c>
      <c r="F160" s="89" t="s">
        <v>788</v>
      </c>
      <c r="G160" s="89" t="b">
        <v>0</v>
      </c>
      <c r="H160" s="89" t="b">
        <v>0</v>
      </c>
      <c r="I160" s="89" t="b">
        <v>0</v>
      </c>
      <c r="J160" s="89" t="b">
        <v>0</v>
      </c>
      <c r="K160" s="89" t="b">
        <v>0</v>
      </c>
      <c r="L160" s="89" t="b">
        <v>0</v>
      </c>
    </row>
    <row r="161" spans="1:12" ht="15">
      <c r="A161" s="86" t="s">
        <v>1068</v>
      </c>
      <c r="B161" s="89" t="s">
        <v>859</v>
      </c>
      <c r="C161" s="89">
        <v>9</v>
      </c>
      <c r="D161" s="111">
        <v>0.0067294926811556155</v>
      </c>
      <c r="E161" s="111">
        <v>1.6180480967120927</v>
      </c>
      <c r="F161" s="89" t="s">
        <v>788</v>
      </c>
      <c r="G161" s="89" t="b">
        <v>0</v>
      </c>
      <c r="H161" s="89" t="b">
        <v>0</v>
      </c>
      <c r="I161" s="89" t="b">
        <v>0</v>
      </c>
      <c r="J161" s="89" t="b">
        <v>0</v>
      </c>
      <c r="K161" s="89" t="b">
        <v>0</v>
      </c>
      <c r="L161" s="89" t="b">
        <v>0</v>
      </c>
    </row>
    <row r="162" spans="1:12" ht="15">
      <c r="A162" s="86" t="s">
        <v>863</v>
      </c>
      <c r="B162" s="89" t="s">
        <v>864</v>
      </c>
      <c r="C162" s="89">
        <v>8</v>
      </c>
      <c r="D162" s="111">
        <v>0.00692467491172139</v>
      </c>
      <c r="E162" s="111">
        <v>1.7149581097201492</v>
      </c>
      <c r="F162" s="89" t="s">
        <v>788</v>
      </c>
      <c r="G162" s="89" t="b">
        <v>0</v>
      </c>
      <c r="H162" s="89" t="b">
        <v>0</v>
      </c>
      <c r="I162" s="89" t="b">
        <v>0</v>
      </c>
      <c r="J162" s="89" t="b">
        <v>0</v>
      </c>
      <c r="K162" s="89" t="b">
        <v>0</v>
      </c>
      <c r="L162" s="89" t="b">
        <v>0</v>
      </c>
    </row>
    <row r="163" spans="1:12" ht="15">
      <c r="A163" s="86" t="s">
        <v>864</v>
      </c>
      <c r="B163" s="89" t="s">
        <v>865</v>
      </c>
      <c r="C163" s="89">
        <v>8</v>
      </c>
      <c r="D163" s="111">
        <v>0.00692467491172139</v>
      </c>
      <c r="E163" s="111">
        <v>1.7149581097201492</v>
      </c>
      <c r="F163" s="89" t="s">
        <v>788</v>
      </c>
      <c r="G163" s="89" t="b">
        <v>0</v>
      </c>
      <c r="H163" s="89" t="b">
        <v>0</v>
      </c>
      <c r="I163" s="89" t="b">
        <v>0</v>
      </c>
      <c r="J163" s="89" t="b">
        <v>0</v>
      </c>
      <c r="K163" s="89" t="b">
        <v>1</v>
      </c>
      <c r="L163" s="89" t="b">
        <v>0</v>
      </c>
    </row>
    <row r="164" spans="1:12" ht="15">
      <c r="A164" s="86" t="s">
        <v>865</v>
      </c>
      <c r="B164" s="89" t="s">
        <v>1102</v>
      </c>
      <c r="C164" s="89">
        <v>8</v>
      </c>
      <c r="D164" s="111">
        <v>0.00692467491172139</v>
      </c>
      <c r="E164" s="111">
        <v>1.7149581097201492</v>
      </c>
      <c r="F164" s="89" t="s">
        <v>788</v>
      </c>
      <c r="G164" s="89" t="b">
        <v>0</v>
      </c>
      <c r="H164" s="89" t="b">
        <v>1</v>
      </c>
      <c r="I164" s="89" t="b">
        <v>0</v>
      </c>
      <c r="J164" s="89" t="b">
        <v>0</v>
      </c>
      <c r="K164" s="89" t="b">
        <v>0</v>
      </c>
      <c r="L164" s="89" t="b">
        <v>0</v>
      </c>
    </row>
    <row r="165" spans="1:12" ht="15">
      <c r="A165" s="86" t="s">
        <v>1102</v>
      </c>
      <c r="B165" s="89" t="s">
        <v>289</v>
      </c>
      <c r="C165" s="89">
        <v>8</v>
      </c>
      <c r="D165" s="111">
        <v>0.00692467491172139</v>
      </c>
      <c r="E165" s="111">
        <v>1.3392944957592638</v>
      </c>
      <c r="F165" s="89" t="s">
        <v>788</v>
      </c>
      <c r="G165" s="89" t="b">
        <v>0</v>
      </c>
      <c r="H165" s="89" t="b">
        <v>0</v>
      </c>
      <c r="I165" s="89" t="b">
        <v>0</v>
      </c>
      <c r="J165" s="89" t="b">
        <v>0</v>
      </c>
      <c r="K165" s="89" t="b">
        <v>0</v>
      </c>
      <c r="L165" s="89" t="b">
        <v>0</v>
      </c>
    </row>
    <row r="166" spans="1:12" ht="15">
      <c r="A166" s="86" t="s">
        <v>289</v>
      </c>
      <c r="B166" s="89" t="s">
        <v>1083</v>
      </c>
      <c r="C166" s="89">
        <v>8</v>
      </c>
      <c r="D166" s="111">
        <v>0.00692467491172139</v>
      </c>
      <c r="E166" s="111">
        <v>1.3627755916087867</v>
      </c>
      <c r="F166" s="89" t="s">
        <v>788</v>
      </c>
      <c r="G166" s="89" t="b">
        <v>0</v>
      </c>
      <c r="H166" s="89" t="b">
        <v>0</v>
      </c>
      <c r="I166" s="89" t="b">
        <v>0</v>
      </c>
      <c r="J166" s="89" t="b">
        <v>0</v>
      </c>
      <c r="K166" s="89" t="b">
        <v>0</v>
      </c>
      <c r="L166" s="89" t="b">
        <v>0</v>
      </c>
    </row>
    <row r="167" spans="1:12" ht="15">
      <c r="A167" s="86" t="s">
        <v>1083</v>
      </c>
      <c r="B167" s="89" t="s">
        <v>1103</v>
      </c>
      <c r="C167" s="89">
        <v>8</v>
      </c>
      <c r="D167" s="111">
        <v>0.00692467491172139</v>
      </c>
      <c r="E167" s="111">
        <v>1.7149581097201492</v>
      </c>
      <c r="F167" s="89" t="s">
        <v>788</v>
      </c>
      <c r="G167" s="89" t="b">
        <v>0</v>
      </c>
      <c r="H167" s="89" t="b">
        <v>0</v>
      </c>
      <c r="I167" s="89" t="b">
        <v>0</v>
      </c>
      <c r="J167" s="89" t="b">
        <v>0</v>
      </c>
      <c r="K167" s="89" t="b">
        <v>0</v>
      </c>
      <c r="L167" s="89" t="b">
        <v>0</v>
      </c>
    </row>
    <row r="168" spans="1:12" ht="15">
      <c r="A168" s="86" t="s">
        <v>1103</v>
      </c>
      <c r="B168" s="89" t="s">
        <v>1104</v>
      </c>
      <c r="C168" s="89">
        <v>8</v>
      </c>
      <c r="D168" s="111">
        <v>0.00692467491172139</v>
      </c>
      <c r="E168" s="111">
        <v>1.7149581097201492</v>
      </c>
      <c r="F168" s="89" t="s">
        <v>788</v>
      </c>
      <c r="G168" s="89" t="b">
        <v>0</v>
      </c>
      <c r="H168" s="89" t="b">
        <v>0</v>
      </c>
      <c r="I168" s="89" t="b">
        <v>0</v>
      </c>
      <c r="J168" s="89" t="b">
        <v>0</v>
      </c>
      <c r="K168" s="89" t="b">
        <v>0</v>
      </c>
      <c r="L168" s="89" t="b">
        <v>0</v>
      </c>
    </row>
    <row r="169" spans="1:12" ht="15">
      <c r="A169" s="86" t="s">
        <v>1104</v>
      </c>
      <c r="B169" s="89" t="s">
        <v>1105</v>
      </c>
      <c r="C169" s="89">
        <v>8</v>
      </c>
      <c r="D169" s="111">
        <v>0.00692467491172139</v>
      </c>
      <c r="E169" s="111">
        <v>1.7149581097201492</v>
      </c>
      <c r="F169" s="89" t="s">
        <v>788</v>
      </c>
      <c r="G169" s="89" t="b">
        <v>0</v>
      </c>
      <c r="H169" s="89" t="b">
        <v>0</v>
      </c>
      <c r="I169" s="89" t="b">
        <v>0</v>
      </c>
      <c r="J169" s="89" t="b">
        <v>1</v>
      </c>
      <c r="K169" s="89" t="b">
        <v>0</v>
      </c>
      <c r="L169" s="89" t="b">
        <v>0</v>
      </c>
    </row>
    <row r="170" spans="1:12" ht="15">
      <c r="A170" s="86" t="s">
        <v>1105</v>
      </c>
      <c r="B170" s="89" t="s">
        <v>868</v>
      </c>
      <c r="C170" s="89">
        <v>8</v>
      </c>
      <c r="D170" s="111">
        <v>0.00692467491172139</v>
      </c>
      <c r="E170" s="111">
        <v>1.6638055872727677</v>
      </c>
      <c r="F170" s="89" t="s">
        <v>788</v>
      </c>
      <c r="G170" s="89" t="b">
        <v>1</v>
      </c>
      <c r="H170" s="89" t="b">
        <v>0</v>
      </c>
      <c r="I170" s="89" t="b">
        <v>0</v>
      </c>
      <c r="J170" s="89" t="b">
        <v>0</v>
      </c>
      <c r="K170" s="89" t="b">
        <v>0</v>
      </c>
      <c r="L170" s="89" t="b">
        <v>0</v>
      </c>
    </row>
    <row r="171" spans="1:12" ht="15">
      <c r="A171" s="86" t="s">
        <v>868</v>
      </c>
      <c r="B171" s="89" t="s">
        <v>869</v>
      </c>
      <c r="C171" s="89">
        <v>8</v>
      </c>
      <c r="D171" s="111">
        <v>0.00692467491172139</v>
      </c>
      <c r="E171" s="111">
        <v>1.6126530648253865</v>
      </c>
      <c r="F171" s="89" t="s">
        <v>788</v>
      </c>
      <c r="G171" s="89" t="b">
        <v>0</v>
      </c>
      <c r="H171" s="89" t="b">
        <v>0</v>
      </c>
      <c r="I171" s="89" t="b">
        <v>0</v>
      </c>
      <c r="J171" s="89" t="b">
        <v>0</v>
      </c>
      <c r="K171" s="89" t="b">
        <v>0</v>
      </c>
      <c r="L171" s="89" t="b">
        <v>0</v>
      </c>
    </row>
    <row r="172" spans="1:12" ht="15">
      <c r="A172" s="86" t="s">
        <v>870</v>
      </c>
      <c r="B172" s="89" t="s">
        <v>1084</v>
      </c>
      <c r="C172" s="89">
        <v>8</v>
      </c>
      <c r="D172" s="111">
        <v>0.00692467491172139</v>
      </c>
      <c r="E172" s="111">
        <v>1.6638055872727677</v>
      </c>
      <c r="F172" s="89" t="s">
        <v>788</v>
      </c>
      <c r="G172" s="89" t="b">
        <v>0</v>
      </c>
      <c r="H172" s="89" t="b">
        <v>0</v>
      </c>
      <c r="I172" s="89" t="b">
        <v>0</v>
      </c>
      <c r="J172" s="89" t="b">
        <v>0</v>
      </c>
      <c r="K172" s="89" t="b">
        <v>0</v>
      </c>
      <c r="L172" s="89" t="b">
        <v>0</v>
      </c>
    </row>
    <row r="173" spans="1:12" ht="15">
      <c r="A173" s="86" t="s">
        <v>1084</v>
      </c>
      <c r="B173" s="89" t="s">
        <v>1106</v>
      </c>
      <c r="C173" s="89">
        <v>8</v>
      </c>
      <c r="D173" s="111">
        <v>0.00692467491172139</v>
      </c>
      <c r="E173" s="111">
        <v>1.7149581097201492</v>
      </c>
      <c r="F173" s="89" t="s">
        <v>788</v>
      </c>
      <c r="G173" s="89" t="b">
        <v>0</v>
      </c>
      <c r="H173" s="89" t="b">
        <v>0</v>
      </c>
      <c r="I173" s="89" t="b">
        <v>0</v>
      </c>
      <c r="J173" s="89" t="b">
        <v>0</v>
      </c>
      <c r="K173" s="89" t="b">
        <v>0</v>
      </c>
      <c r="L173" s="89" t="b">
        <v>0</v>
      </c>
    </row>
    <row r="174" spans="1:12" ht="15">
      <c r="A174" s="86" t="s">
        <v>1106</v>
      </c>
      <c r="B174" s="89" t="s">
        <v>1107</v>
      </c>
      <c r="C174" s="89">
        <v>8</v>
      </c>
      <c r="D174" s="111">
        <v>0.00692467491172139</v>
      </c>
      <c r="E174" s="111">
        <v>1.7149581097201492</v>
      </c>
      <c r="F174" s="89" t="s">
        <v>788</v>
      </c>
      <c r="G174" s="89" t="b">
        <v>0</v>
      </c>
      <c r="H174" s="89" t="b">
        <v>0</v>
      </c>
      <c r="I174" s="89" t="b">
        <v>0</v>
      </c>
      <c r="J174" s="89" t="b">
        <v>0</v>
      </c>
      <c r="K174" s="89" t="b">
        <v>0</v>
      </c>
      <c r="L174" s="89" t="b">
        <v>0</v>
      </c>
    </row>
    <row r="175" spans="1:12" ht="15">
      <c r="A175" s="86" t="s">
        <v>1107</v>
      </c>
      <c r="B175" s="89" t="s">
        <v>1108</v>
      </c>
      <c r="C175" s="89">
        <v>8</v>
      </c>
      <c r="D175" s="111">
        <v>0.00692467491172139</v>
      </c>
      <c r="E175" s="111">
        <v>1.7149581097201492</v>
      </c>
      <c r="F175" s="89" t="s">
        <v>788</v>
      </c>
      <c r="G175" s="89" t="b">
        <v>0</v>
      </c>
      <c r="H175" s="89" t="b">
        <v>0</v>
      </c>
      <c r="I175" s="89" t="b">
        <v>0</v>
      </c>
      <c r="J175" s="89" t="b">
        <v>0</v>
      </c>
      <c r="K175" s="89" t="b">
        <v>0</v>
      </c>
      <c r="L175" s="89" t="b">
        <v>0</v>
      </c>
    </row>
    <row r="176" spans="1:12" ht="15">
      <c r="A176" s="86" t="s">
        <v>1108</v>
      </c>
      <c r="B176" s="89" t="s">
        <v>1109</v>
      </c>
      <c r="C176" s="89">
        <v>8</v>
      </c>
      <c r="D176" s="111">
        <v>0.00692467491172139</v>
      </c>
      <c r="E176" s="111">
        <v>1.7149581097201492</v>
      </c>
      <c r="F176" s="89" t="s">
        <v>788</v>
      </c>
      <c r="G176" s="89" t="b">
        <v>0</v>
      </c>
      <c r="H176" s="89" t="b">
        <v>0</v>
      </c>
      <c r="I176" s="89" t="b">
        <v>0</v>
      </c>
      <c r="J176" s="89" t="b">
        <v>0</v>
      </c>
      <c r="K176" s="89" t="b">
        <v>0</v>
      </c>
      <c r="L176" s="89" t="b">
        <v>0</v>
      </c>
    </row>
    <row r="177" spans="1:12" ht="15">
      <c r="A177" s="86" t="s">
        <v>1109</v>
      </c>
      <c r="B177" s="89" t="s">
        <v>1110</v>
      </c>
      <c r="C177" s="89">
        <v>8</v>
      </c>
      <c r="D177" s="111">
        <v>0.00692467491172139</v>
      </c>
      <c r="E177" s="111">
        <v>1.7149581097201492</v>
      </c>
      <c r="F177" s="89" t="s">
        <v>788</v>
      </c>
      <c r="G177" s="89" t="b">
        <v>0</v>
      </c>
      <c r="H177" s="89" t="b">
        <v>0</v>
      </c>
      <c r="I177" s="89" t="b">
        <v>0</v>
      </c>
      <c r="J177" s="89" t="b">
        <v>0</v>
      </c>
      <c r="K177" s="89" t="b">
        <v>0</v>
      </c>
      <c r="L177" s="89" t="b">
        <v>0</v>
      </c>
    </row>
    <row r="178" spans="1:12" ht="15">
      <c r="A178" s="86" t="s">
        <v>1110</v>
      </c>
      <c r="B178" s="89" t="s">
        <v>871</v>
      </c>
      <c r="C178" s="89">
        <v>8</v>
      </c>
      <c r="D178" s="111">
        <v>0.00692467491172139</v>
      </c>
      <c r="E178" s="111">
        <v>1.6638055872727677</v>
      </c>
      <c r="F178" s="89" t="s">
        <v>788</v>
      </c>
      <c r="G178" s="89" t="b">
        <v>0</v>
      </c>
      <c r="H178" s="89" t="b">
        <v>0</v>
      </c>
      <c r="I178" s="89" t="b">
        <v>0</v>
      </c>
      <c r="J178" s="89" t="b">
        <v>0</v>
      </c>
      <c r="K178" s="89" t="b">
        <v>0</v>
      </c>
      <c r="L178" s="89" t="b">
        <v>0</v>
      </c>
    </row>
    <row r="179" spans="1:12" ht="15">
      <c r="A179" s="86" t="s">
        <v>871</v>
      </c>
      <c r="B179" s="89" t="s">
        <v>866</v>
      </c>
      <c r="C179" s="89">
        <v>8</v>
      </c>
      <c r="D179" s="111">
        <v>0.00692467491172139</v>
      </c>
      <c r="E179" s="111">
        <v>1.6126530648253865</v>
      </c>
      <c r="F179" s="89" t="s">
        <v>788</v>
      </c>
      <c r="G179" s="89" t="b">
        <v>0</v>
      </c>
      <c r="H179" s="89" t="b">
        <v>0</v>
      </c>
      <c r="I179" s="89" t="b">
        <v>0</v>
      </c>
      <c r="J179" s="89" t="b">
        <v>0</v>
      </c>
      <c r="K179" s="89" t="b">
        <v>0</v>
      </c>
      <c r="L179" s="89" t="b">
        <v>0</v>
      </c>
    </row>
    <row r="180" spans="1:12" ht="15">
      <c r="A180" s="86" t="s">
        <v>866</v>
      </c>
      <c r="B180" s="89" t="s">
        <v>1111</v>
      </c>
      <c r="C180" s="89">
        <v>8</v>
      </c>
      <c r="D180" s="111">
        <v>0.00692467491172139</v>
      </c>
      <c r="E180" s="111">
        <v>1.6638055872727677</v>
      </c>
      <c r="F180" s="89" t="s">
        <v>788</v>
      </c>
      <c r="G180" s="89" t="b">
        <v>0</v>
      </c>
      <c r="H180" s="89" t="b">
        <v>0</v>
      </c>
      <c r="I180" s="89" t="b">
        <v>0</v>
      </c>
      <c r="J180" s="89" t="b">
        <v>0</v>
      </c>
      <c r="K180" s="89" t="b">
        <v>0</v>
      </c>
      <c r="L180" s="89" t="b">
        <v>0</v>
      </c>
    </row>
    <row r="181" spans="1:12" ht="15">
      <c r="A181" s="86" t="s">
        <v>1111</v>
      </c>
      <c r="B181" s="89" t="s">
        <v>1112</v>
      </c>
      <c r="C181" s="89">
        <v>8</v>
      </c>
      <c r="D181" s="111">
        <v>0.00692467491172139</v>
      </c>
      <c r="E181" s="111">
        <v>1.7149581097201492</v>
      </c>
      <c r="F181" s="89" t="s">
        <v>788</v>
      </c>
      <c r="G181" s="89" t="b">
        <v>0</v>
      </c>
      <c r="H181" s="89" t="b">
        <v>0</v>
      </c>
      <c r="I181" s="89" t="b">
        <v>0</v>
      </c>
      <c r="J181" s="89" t="b">
        <v>0</v>
      </c>
      <c r="K181" s="89" t="b">
        <v>0</v>
      </c>
      <c r="L181" s="89" t="b">
        <v>0</v>
      </c>
    </row>
    <row r="182" spans="1:12" ht="15">
      <c r="A182" s="86" t="s">
        <v>861</v>
      </c>
      <c r="B182" s="89" t="s">
        <v>862</v>
      </c>
      <c r="C182" s="89">
        <v>14</v>
      </c>
      <c r="D182" s="111">
        <v>0.003098405248820216</v>
      </c>
      <c r="E182" s="111">
        <v>1.414973347970818</v>
      </c>
      <c r="F182" s="89" t="s">
        <v>789</v>
      </c>
      <c r="G182" s="89" t="b">
        <v>0</v>
      </c>
      <c r="H182" s="89" t="b">
        <v>0</v>
      </c>
      <c r="I182" s="89" t="b">
        <v>0</v>
      </c>
      <c r="J182" s="89" t="b">
        <v>0</v>
      </c>
      <c r="K182" s="89" t="b">
        <v>0</v>
      </c>
      <c r="L182" s="89" t="b">
        <v>0</v>
      </c>
    </row>
    <row r="183" spans="1:12" ht="15">
      <c r="A183" s="86" t="s">
        <v>862</v>
      </c>
      <c r="B183" s="89" t="s">
        <v>289</v>
      </c>
      <c r="C183" s="89">
        <v>14</v>
      </c>
      <c r="D183" s="111">
        <v>0.003098405248820216</v>
      </c>
      <c r="E183" s="111">
        <v>1.414973347970818</v>
      </c>
      <c r="F183" s="89" t="s">
        <v>789</v>
      </c>
      <c r="G183" s="89" t="b">
        <v>0</v>
      </c>
      <c r="H183" s="89" t="b">
        <v>0</v>
      </c>
      <c r="I183" s="89" t="b">
        <v>0</v>
      </c>
      <c r="J183" s="89" t="b">
        <v>0</v>
      </c>
      <c r="K183" s="89" t="b">
        <v>0</v>
      </c>
      <c r="L183" s="89" t="b">
        <v>0</v>
      </c>
    </row>
    <row r="184" spans="1:12" ht="15">
      <c r="A184" s="86" t="s">
        <v>859</v>
      </c>
      <c r="B184" s="89" t="s">
        <v>860</v>
      </c>
      <c r="C184" s="89">
        <v>11</v>
      </c>
      <c r="D184" s="111">
        <v>0.013058462942102188</v>
      </c>
      <c r="E184" s="111">
        <v>1.4471580313422192</v>
      </c>
      <c r="F184" s="89" t="s">
        <v>789</v>
      </c>
      <c r="G184" s="89" t="b">
        <v>0</v>
      </c>
      <c r="H184" s="89" t="b">
        <v>0</v>
      </c>
      <c r="I184" s="89" t="b">
        <v>0</v>
      </c>
      <c r="J184" s="89" t="b">
        <v>0</v>
      </c>
      <c r="K184" s="89" t="b">
        <v>0</v>
      </c>
      <c r="L184" s="89" t="b">
        <v>0</v>
      </c>
    </row>
    <row r="185" spans="1:12" ht="15">
      <c r="A185" s="86" t="s">
        <v>873</v>
      </c>
      <c r="B185" s="89" t="s">
        <v>868</v>
      </c>
      <c r="C185" s="89">
        <v>7</v>
      </c>
      <c r="D185" s="111">
        <v>0.007079937452882204</v>
      </c>
      <c r="E185" s="111">
        <v>1.7160033436347992</v>
      </c>
      <c r="F185" s="89" t="s">
        <v>789</v>
      </c>
      <c r="G185" s="89" t="b">
        <v>0</v>
      </c>
      <c r="H185" s="89" t="b">
        <v>0</v>
      </c>
      <c r="I185" s="89" t="b">
        <v>0</v>
      </c>
      <c r="J185" s="89" t="b">
        <v>0</v>
      </c>
      <c r="K185" s="89" t="b">
        <v>0</v>
      </c>
      <c r="L185" s="89" t="b">
        <v>0</v>
      </c>
    </row>
    <row r="186" spans="1:12" ht="15">
      <c r="A186" s="86" t="s">
        <v>868</v>
      </c>
      <c r="B186" s="89" t="s">
        <v>874</v>
      </c>
      <c r="C186" s="89">
        <v>7</v>
      </c>
      <c r="D186" s="111">
        <v>0.007079937452882204</v>
      </c>
      <c r="E186" s="111">
        <v>1.7160033436347992</v>
      </c>
      <c r="F186" s="89" t="s">
        <v>789</v>
      </c>
      <c r="G186" s="89" t="b">
        <v>0</v>
      </c>
      <c r="H186" s="89" t="b">
        <v>0</v>
      </c>
      <c r="I186" s="89" t="b">
        <v>0</v>
      </c>
      <c r="J186" s="89" t="b">
        <v>0</v>
      </c>
      <c r="K186" s="89" t="b">
        <v>0</v>
      </c>
      <c r="L186" s="89" t="b">
        <v>0</v>
      </c>
    </row>
    <row r="187" spans="1:12" ht="15">
      <c r="A187" s="86" t="s">
        <v>874</v>
      </c>
      <c r="B187" s="89" t="s">
        <v>869</v>
      </c>
      <c r="C187" s="89">
        <v>7</v>
      </c>
      <c r="D187" s="111">
        <v>0.007079937452882204</v>
      </c>
      <c r="E187" s="111">
        <v>1.7160033436347992</v>
      </c>
      <c r="F187" s="89" t="s">
        <v>789</v>
      </c>
      <c r="G187" s="89" t="b">
        <v>0</v>
      </c>
      <c r="H187" s="89" t="b">
        <v>0</v>
      </c>
      <c r="I187" s="89" t="b">
        <v>0</v>
      </c>
      <c r="J187" s="89" t="b">
        <v>0</v>
      </c>
      <c r="K187" s="89" t="b">
        <v>0</v>
      </c>
      <c r="L187" s="89" t="b">
        <v>0</v>
      </c>
    </row>
    <row r="188" spans="1:12" ht="15">
      <c r="A188" s="86" t="s">
        <v>869</v>
      </c>
      <c r="B188" s="89" t="s">
        <v>870</v>
      </c>
      <c r="C188" s="89">
        <v>7</v>
      </c>
      <c r="D188" s="111">
        <v>0.007079937452882204</v>
      </c>
      <c r="E188" s="111">
        <v>1.7160033436347992</v>
      </c>
      <c r="F188" s="89" t="s">
        <v>789</v>
      </c>
      <c r="G188" s="89" t="b">
        <v>0</v>
      </c>
      <c r="H188" s="89" t="b">
        <v>0</v>
      </c>
      <c r="I188" s="89" t="b">
        <v>0</v>
      </c>
      <c r="J188" s="89" t="b">
        <v>0</v>
      </c>
      <c r="K188" s="89" t="b">
        <v>0</v>
      </c>
      <c r="L188" s="89" t="b">
        <v>0</v>
      </c>
    </row>
    <row r="189" spans="1:12" ht="15">
      <c r="A189" s="86" t="s">
        <v>870</v>
      </c>
      <c r="B189" s="89" t="s">
        <v>1087</v>
      </c>
      <c r="C189" s="89">
        <v>7</v>
      </c>
      <c r="D189" s="111">
        <v>0.007079937452882204</v>
      </c>
      <c r="E189" s="111">
        <v>1.7160033436347992</v>
      </c>
      <c r="F189" s="89" t="s">
        <v>789</v>
      </c>
      <c r="G189" s="89" t="b">
        <v>0</v>
      </c>
      <c r="H189" s="89" t="b">
        <v>0</v>
      </c>
      <c r="I189" s="89" t="b">
        <v>0</v>
      </c>
      <c r="J189" s="89" t="b">
        <v>0</v>
      </c>
      <c r="K189" s="89" t="b">
        <v>0</v>
      </c>
      <c r="L189" s="89" t="b">
        <v>0</v>
      </c>
    </row>
    <row r="190" spans="1:12" ht="15">
      <c r="A190" s="86" t="s">
        <v>1087</v>
      </c>
      <c r="B190" s="89" t="s">
        <v>1088</v>
      </c>
      <c r="C190" s="89">
        <v>7</v>
      </c>
      <c r="D190" s="111">
        <v>0.007079937452882204</v>
      </c>
      <c r="E190" s="111">
        <v>1.7160033436347992</v>
      </c>
      <c r="F190" s="89" t="s">
        <v>789</v>
      </c>
      <c r="G190" s="89" t="b">
        <v>0</v>
      </c>
      <c r="H190" s="89" t="b">
        <v>0</v>
      </c>
      <c r="I190" s="89" t="b">
        <v>0</v>
      </c>
      <c r="J190" s="89" t="b">
        <v>0</v>
      </c>
      <c r="K190" s="89" t="b">
        <v>0</v>
      </c>
      <c r="L190" s="89" t="b">
        <v>0</v>
      </c>
    </row>
    <row r="191" spans="1:12" ht="15">
      <c r="A191" s="86" t="s">
        <v>1088</v>
      </c>
      <c r="B191" s="89" t="s">
        <v>1089</v>
      </c>
      <c r="C191" s="89">
        <v>7</v>
      </c>
      <c r="D191" s="111">
        <v>0.007079937452882204</v>
      </c>
      <c r="E191" s="111">
        <v>1.7160033436347992</v>
      </c>
      <c r="F191" s="89" t="s">
        <v>789</v>
      </c>
      <c r="G191" s="89" t="b">
        <v>0</v>
      </c>
      <c r="H191" s="89" t="b">
        <v>0</v>
      </c>
      <c r="I191" s="89" t="b">
        <v>0</v>
      </c>
      <c r="J191" s="89" t="b">
        <v>0</v>
      </c>
      <c r="K191" s="89" t="b">
        <v>0</v>
      </c>
      <c r="L191" s="89" t="b">
        <v>0</v>
      </c>
    </row>
    <row r="192" spans="1:12" ht="15">
      <c r="A192" s="86" t="s">
        <v>1089</v>
      </c>
      <c r="B192" s="89" t="s">
        <v>1090</v>
      </c>
      <c r="C192" s="89">
        <v>7</v>
      </c>
      <c r="D192" s="111">
        <v>0.007079937452882204</v>
      </c>
      <c r="E192" s="111">
        <v>1.7160033436347992</v>
      </c>
      <c r="F192" s="89" t="s">
        <v>789</v>
      </c>
      <c r="G192" s="89" t="b">
        <v>0</v>
      </c>
      <c r="H192" s="89" t="b">
        <v>0</v>
      </c>
      <c r="I192" s="89" t="b">
        <v>0</v>
      </c>
      <c r="J192" s="89" t="b">
        <v>1</v>
      </c>
      <c r="K192" s="89" t="b">
        <v>0</v>
      </c>
      <c r="L192" s="89" t="b">
        <v>0</v>
      </c>
    </row>
    <row r="193" spans="1:12" ht="15">
      <c r="A193" s="86" t="s">
        <v>1090</v>
      </c>
      <c r="B193" s="89" t="s">
        <v>1091</v>
      </c>
      <c r="C193" s="89">
        <v>7</v>
      </c>
      <c r="D193" s="111">
        <v>0.007079937452882204</v>
      </c>
      <c r="E193" s="111">
        <v>1.7160033436347992</v>
      </c>
      <c r="F193" s="89" t="s">
        <v>789</v>
      </c>
      <c r="G193" s="89" t="b">
        <v>1</v>
      </c>
      <c r="H193" s="89" t="b">
        <v>0</v>
      </c>
      <c r="I193" s="89" t="b">
        <v>0</v>
      </c>
      <c r="J193" s="89" t="b">
        <v>0</v>
      </c>
      <c r="K193" s="89" t="b">
        <v>0</v>
      </c>
      <c r="L193" s="89" t="b">
        <v>0</v>
      </c>
    </row>
    <row r="194" spans="1:12" ht="15">
      <c r="A194" s="86" t="s">
        <v>1091</v>
      </c>
      <c r="B194" s="89" t="s">
        <v>871</v>
      </c>
      <c r="C194" s="89">
        <v>7</v>
      </c>
      <c r="D194" s="111">
        <v>0.007079937452882204</v>
      </c>
      <c r="E194" s="111">
        <v>1.7160033436347992</v>
      </c>
      <c r="F194" s="89" t="s">
        <v>789</v>
      </c>
      <c r="G194" s="89" t="b">
        <v>0</v>
      </c>
      <c r="H194" s="89" t="b">
        <v>0</v>
      </c>
      <c r="I194" s="89" t="b">
        <v>0</v>
      </c>
      <c r="J194" s="89" t="b">
        <v>0</v>
      </c>
      <c r="K194" s="89" t="b">
        <v>0</v>
      </c>
      <c r="L194" s="89" t="b">
        <v>0</v>
      </c>
    </row>
    <row r="195" spans="1:12" ht="15">
      <c r="A195" s="86" t="s">
        <v>871</v>
      </c>
      <c r="B195" s="89" t="s">
        <v>1092</v>
      </c>
      <c r="C195" s="89">
        <v>7</v>
      </c>
      <c r="D195" s="111">
        <v>0.007079937452882204</v>
      </c>
      <c r="E195" s="111">
        <v>1.7160033436347992</v>
      </c>
      <c r="F195" s="89" t="s">
        <v>789</v>
      </c>
      <c r="G195" s="89" t="b">
        <v>0</v>
      </c>
      <c r="H195" s="89" t="b">
        <v>0</v>
      </c>
      <c r="I195" s="89" t="b">
        <v>0</v>
      </c>
      <c r="J195" s="89" t="b">
        <v>0</v>
      </c>
      <c r="K195" s="89" t="b">
        <v>0</v>
      </c>
      <c r="L195" s="89" t="b">
        <v>0</v>
      </c>
    </row>
    <row r="196" spans="1:12" ht="15">
      <c r="A196" s="86" t="s">
        <v>1092</v>
      </c>
      <c r="B196" s="89" t="s">
        <v>1093</v>
      </c>
      <c r="C196" s="89">
        <v>7</v>
      </c>
      <c r="D196" s="111">
        <v>0.007079937452882204</v>
      </c>
      <c r="E196" s="111">
        <v>1.7160033436347992</v>
      </c>
      <c r="F196" s="89" t="s">
        <v>789</v>
      </c>
      <c r="G196" s="89" t="b">
        <v>0</v>
      </c>
      <c r="H196" s="89" t="b">
        <v>0</v>
      </c>
      <c r="I196" s="89" t="b">
        <v>0</v>
      </c>
      <c r="J196" s="89" t="b">
        <v>0</v>
      </c>
      <c r="K196" s="89" t="b">
        <v>0</v>
      </c>
      <c r="L196" s="89" t="b">
        <v>0</v>
      </c>
    </row>
    <row r="197" spans="1:12" ht="15">
      <c r="A197" s="86" t="s">
        <v>1093</v>
      </c>
      <c r="B197" s="89" t="s">
        <v>1094</v>
      </c>
      <c r="C197" s="89">
        <v>7</v>
      </c>
      <c r="D197" s="111">
        <v>0.007079937452882204</v>
      </c>
      <c r="E197" s="111">
        <v>1.7160033436347992</v>
      </c>
      <c r="F197" s="89" t="s">
        <v>789</v>
      </c>
      <c r="G197" s="89" t="b">
        <v>0</v>
      </c>
      <c r="H197" s="89" t="b">
        <v>0</v>
      </c>
      <c r="I197" s="89" t="b">
        <v>0</v>
      </c>
      <c r="J197" s="89" t="b">
        <v>0</v>
      </c>
      <c r="K197" s="89" t="b">
        <v>0</v>
      </c>
      <c r="L197" s="89" t="b">
        <v>0</v>
      </c>
    </row>
    <row r="198" spans="1:12" ht="15">
      <c r="A198" s="86" t="s">
        <v>1094</v>
      </c>
      <c r="B198" s="89" t="s">
        <v>1095</v>
      </c>
      <c r="C198" s="89">
        <v>7</v>
      </c>
      <c r="D198" s="111">
        <v>0.007079937452882204</v>
      </c>
      <c r="E198" s="111">
        <v>1.7160033436347992</v>
      </c>
      <c r="F198" s="89" t="s">
        <v>789</v>
      </c>
      <c r="G198" s="89" t="b">
        <v>0</v>
      </c>
      <c r="H198" s="89" t="b">
        <v>0</v>
      </c>
      <c r="I198" s="89" t="b">
        <v>0</v>
      </c>
      <c r="J198" s="89" t="b">
        <v>0</v>
      </c>
      <c r="K198" s="89" t="b">
        <v>0</v>
      </c>
      <c r="L198" s="89" t="b">
        <v>0</v>
      </c>
    </row>
    <row r="199" spans="1:12" ht="15">
      <c r="A199" s="86" t="s">
        <v>1095</v>
      </c>
      <c r="B199" s="89" t="s">
        <v>861</v>
      </c>
      <c r="C199" s="89">
        <v>7</v>
      </c>
      <c r="D199" s="111">
        <v>0.007079937452882204</v>
      </c>
      <c r="E199" s="111">
        <v>1.414973347970818</v>
      </c>
      <c r="F199" s="89" t="s">
        <v>789</v>
      </c>
      <c r="G199" s="89" t="b">
        <v>0</v>
      </c>
      <c r="H199" s="89" t="b">
        <v>0</v>
      </c>
      <c r="I199" s="89" t="b">
        <v>0</v>
      </c>
      <c r="J199" s="89" t="b">
        <v>0</v>
      </c>
      <c r="K199" s="89" t="b">
        <v>0</v>
      </c>
      <c r="L199" s="89" t="b">
        <v>0</v>
      </c>
    </row>
    <row r="200" spans="1:12" ht="15">
      <c r="A200" s="86" t="s">
        <v>289</v>
      </c>
      <c r="B200" s="89" t="s">
        <v>300</v>
      </c>
      <c r="C200" s="89">
        <v>7</v>
      </c>
      <c r="D200" s="111">
        <v>0.007079937452882204</v>
      </c>
      <c r="E200" s="111">
        <v>1.327018177615688</v>
      </c>
      <c r="F200" s="89" t="s">
        <v>789</v>
      </c>
      <c r="G200" s="89" t="b">
        <v>0</v>
      </c>
      <c r="H200" s="89" t="b">
        <v>0</v>
      </c>
      <c r="I200" s="89" t="b">
        <v>0</v>
      </c>
      <c r="J200" s="89" t="b">
        <v>0</v>
      </c>
      <c r="K200" s="89" t="b">
        <v>0</v>
      </c>
      <c r="L200" s="89" t="b">
        <v>0</v>
      </c>
    </row>
    <row r="201" spans="1:12" ht="15">
      <c r="A201" s="86" t="s">
        <v>300</v>
      </c>
      <c r="B201" s="89" t="s">
        <v>1085</v>
      </c>
      <c r="C201" s="89">
        <v>7</v>
      </c>
      <c r="D201" s="111">
        <v>0.007079937452882204</v>
      </c>
      <c r="E201" s="111">
        <v>1.6580113966571124</v>
      </c>
      <c r="F201" s="89" t="s">
        <v>789</v>
      </c>
      <c r="G201" s="89" t="b">
        <v>0</v>
      </c>
      <c r="H201" s="89" t="b">
        <v>0</v>
      </c>
      <c r="I201" s="89" t="b">
        <v>0</v>
      </c>
      <c r="J201" s="89" t="b">
        <v>0</v>
      </c>
      <c r="K201" s="89" t="b">
        <v>0</v>
      </c>
      <c r="L201" s="89" t="b">
        <v>0</v>
      </c>
    </row>
    <row r="202" spans="1:12" ht="15">
      <c r="A202" s="86" t="s">
        <v>1085</v>
      </c>
      <c r="B202" s="89" t="s">
        <v>1096</v>
      </c>
      <c r="C202" s="89">
        <v>7</v>
      </c>
      <c r="D202" s="111">
        <v>0.007079937452882204</v>
      </c>
      <c r="E202" s="111">
        <v>1.7160033436347992</v>
      </c>
      <c r="F202" s="89" t="s">
        <v>789</v>
      </c>
      <c r="G202" s="89" t="b">
        <v>0</v>
      </c>
      <c r="H202" s="89" t="b">
        <v>0</v>
      </c>
      <c r="I202" s="89" t="b">
        <v>0</v>
      </c>
      <c r="J202" s="89" t="b">
        <v>0</v>
      </c>
      <c r="K202" s="89" t="b">
        <v>0</v>
      </c>
      <c r="L202" s="89" t="b">
        <v>0</v>
      </c>
    </row>
    <row r="203" spans="1:12" ht="15">
      <c r="A203" s="86" t="s">
        <v>1096</v>
      </c>
      <c r="B203" s="89" t="s">
        <v>1097</v>
      </c>
      <c r="C203" s="89">
        <v>7</v>
      </c>
      <c r="D203" s="111">
        <v>0.007079937452882204</v>
      </c>
      <c r="E203" s="111">
        <v>1.7160033436347992</v>
      </c>
      <c r="F203" s="89" t="s">
        <v>789</v>
      </c>
      <c r="G203" s="89" t="b">
        <v>0</v>
      </c>
      <c r="H203" s="89" t="b">
        <v>0</v>
      </c>
      <c r="I203" s="89" t="b">
        <v>0</v>
      </c>
      <c r="J203" s="89" t="b">
        <v>0</v>
      </c>
      <c r="K203" s="89" t="b">
        <v>0</v>
      </c>
      <c r="L203" s="89" t="b">
        <v>0</v>
      </c>
    </row>
    <row r="204" spans="1:12" ht="15">
      <c r="A204" s="86" t="s">
        <v>1097</v>
      </c>
      <c r="B204" s="89" t="s">
        <v>1098</v>
      </c>
      <c r="C204" s="89">
        <v>7</v>
      </c>
      <c r="D204" s="111">
        <v>0.007079937452882204</v>
      </c>
      <c r="E204" s="111">
        <v>1.7160033436347992</v>
      </c>
      <c r="F204" s="89" t="s">
        <v>789</v>
      </c>
      <c r="G204" s="89" t="b">
        <v>0</v>
      </c>
      <c r="H204" s="89" t="b">
        <v>0</v>
      </c>
      <c r="I204" s="89" t="b">
        <v>0</v>
      </c>
      <c r="J204" s="89" t="b">
        <v>0</v>
      </c>
      <c r="K204" s="89" t="b">
        <v>0</v>
      </c>
      <c r="L204" s="89" t="b">
        <v>0</v>
      </c>
    </row>
    <row r="205" spans="1:12" ht="15">
      <c r="A205" s="86" t="s">
        <v>1098</v>
      </c>
      <c r="B205" s="89" t="s">
        <v>1086</v>
      </c>
      <c r="C205" s="89">
        <v>7</v>
      </c>
      <c r="D205" s="111">
        <v>0.007079937452882204</v>
      </c>
      <c r="E205" s="111">
        <v>1.7160033436347992</v>
      </c>
      <c r="F205" s="89" t="s">
        <v>789</v>
      </c>
      <c r="G205" s="89" t="b">
        <v>0</v>
      </c>
      <c r="H205" s="89" t="b">
        <v>0</v>
      </c>
      <c r="I205" s="89" t="b">
        <v>0</v>
      </c>
      <c r="J205" s="89" t="b">
        <v>0</v>
      </c>
      <c r="K205" s="89" t="b">
        <v>0</v>
      </c>
      <c r="L205" s="89" t="b">
        <v>0</v>
      </c>
    </row>
    <row r="206" spans="1:12" ht="15">
      <c r="A206" s="86" t="s">
        <v>1086</v>
      </c>
      <c r="B206" s="89" t="s">
        <v>866</v>
      </c>
      <c r="C206" s="89">
        <v>7</v>
      </c>
      <c r="D206" s="111">
        <v>0.007079937452882204</v>
      </c>
      <c r="E206" s="111">
        <v>1.7160033436347992</v>
      </c>
      <c r="F206" s="89" t="s">
        <v>789</v>
      </c>
      <c r="G206" s="89" t="b">
        <v>0</v>
      </c>
      <c r="H206" s="89" t="b">
        <v>0</v>
      </c>
      <c r="I206" s="89" t="b">
        <v>0</v>
      </c>
      <c r="J206" s="89" t="b">
        <v>0</v>
      </c>
      <c r="K206" s="89" t="b">
        <v>0</v>
      </c>
      <c r="L206" s="89" t="b">
        <v>0</v>
      </c>
    </row>
    <row r="207" spans="1:12" ht="15">
      <c r="A207" s="86" t="s">
        <v>866</v>
      </c>
      <c r="B207" s="89" t="s">
        <v>1099</v>
      </c>
      <c r="C207" s="89">
        <v>7</v>
      </c>
      <c r="D207" s="111">
        <v>0.007079937452882204</v>
      </c>
      <c r="E207" s="111">
        <v>1.7160033436347992</v>
      </c>
      <c r="F207" s="89" t="s">
        <v>789</v>
      </c>
      <c r="G207" s="89" t="b">
        <v>0</v>
      </c>
      <c r="H207" s="89" t="b">
        <v>0</v>
      </c>
      <c r="I207" s="89" t="b">
        <v>0</v>
      </c>
      <c r="J207" s="89" t="b">
        <v>1</v>
      </c>
      <c r="K207" s="89" t="b">
        <v>0</v>
      </c>
      <c r="L207" s="89" t="b">
        <v>0</v>
      </c>
    </row>
    <row r="208" spans="1:12" ht="15">
      <c r="A208" s="86" t="s">
        <v>1099</v>
      </c>
      <c r="B208" s="89" t="s">
        <v>1100</v>
      </c>
      <c r="C208" s="89">
        <v>7</v>
      </c>
      <c r="D208" s="111">
        <v>0.007079937452882204</v>
      </c>
      <c r="E208" s="111">
        <v>1.7160033436347992</v>
      </c>
      <c r="F208" s="89" t="s">
        <v>789</v>
      </c>
      <c r="G208" s="89" t="b">
        <v>1</v>
      </c>
      <c r="H208" s="89" t="b">
        <v>0</v>
      </c>
      <c r="I208" s="89" t="b">
        <v>0</v>
      </c>
      <c r="J208" s="89" t="b">
        <v>0</v>
      </c>
      <c r="K208" s="89" t="b">
        <v>0</v>
      </c>
      <c r="L208" s="89" t="b">
        <v>0</v>
      </c>
    </row>
    <row r="209" spans="1:12" ht="15">
      <c r="A209" s="86" t="s">
        <v>1100</v>
      </c>
      <c r="B209" s="89" t="s">
        <v>1101</v>
      </c>
      <c r="C209" s="89">
        <v>7</v>
      </c>
      <c r="D209" s="111">
        <v>0.007079937452882204</v>
      </c>
      <c r="E209" s="111">
        <v>1.7160033436347992</v>
      </c>
      <c r="F209" s="89" t="s">
        <v>789</v>
      </c>
      <c r="G209" s="89" t="b">
        <v>0</v>
      </c>
      <c r="H209" s="89" t="b">
        <v>0</v>
      </c>
      <c r="I209" s="89" t="b">
        <v>0</v>
      </c>
      <c r="J209" s="89" t="b">
        <v>0</v>
      </c>
      <c r="K209" s="89" t="b">
        <v>0</v>
      </c>
      <c r="L209" s="89" t="b">
        <v>0</v>
      </c>
    </row>
    <row r="210" spans="1:12" ht="15">
      <c r="A210" s="86" t="s">
        <v>860</v>
      </c>
      <c r="B210" s="89" t="s">
        <v>1069</v>
      </c>
      <c r="C210" s="89">
        <v>5</v>
      </c>
      <c r="D210" s="111">
        <v>0.006974788937562404</v>
      </c>
      <c r="E210" s="111">
        <v>1.7829501332654123</v>
      </c>
      <c r="F210" s="89" t="s">
        <v>789</v>
      </c>
      <c r="G210" s="89" t="b">
        <v>0</v>
      </c>
      <c r="H210" s="89" t="b">
        <v>0</v>
      </c>
      <c r="I210" s="89" t="b">
        <v>0</v>
      </c>
      <c r="J210" s="89" t="b">
        <v>0</v>
      </c>
      <c r="K210" s="89" t="b">
        <v>0</v>
      </c>
      <c r="L210" s="89" t="b">
        <v>0</v>
      </c>
    </row>
    <row r="211" spans="1:12" ht="15">
      <c r="A211" s="86" t="s">
        <v>1069</v>
      </c>
      <c r="B211" s="89" t="s">
        <v>1070</v>
      </c>
      <c r="C211" s="89">
        <v>5</v>
      </c>
      <c r="D211" s="111">
        <v>0.006974788937562404</v>
      </c>
      <c r="E211" s="111">
        <v>1.8621313793130372</v>
      </c>
      <c r="F211" s="89" t="s">
        <v>789</v>
      </c>
      <c r="G211" s="89" t="b">
        <v>0</v>
      </c>
      <c r="H211" s="89" t="b">
        <v>0</v>
      </c>
      <c r="I211" s="89" t="b">
        <v>0</v>
      </c>
      <c r="J211" s="89" t="b">
        <v>0</v>
      </c>
      <c r="K211" s="89" t="b">
        <v>0</v>
      </c>
      <c r="L211" s="89" t="b">
        <v>0</v>
      </c>
    </row>
    <row r="212" spans="1:12" ht="15">
      <c r="A212" s="86" t="s">
        <v>1070</v>
      </c>
      <c r="B212" s="89" t="s">
        <v>1071</v>
      </c>
      <c r="C212" s="89">
        <v>5</v>
      </c>
      <c r="D212" s="111">
        <v>0.006974788937562404</v>
      </c>
      <c r="E212" s="111">
        <v>1.8621313793130372</v>
      </c>
      <c r="F212" s="89" t="s">
        <v>789</v>
      </c>
      <c r="G212" s="89" t="b">
        <v>0</v>
      </c>
      <c r="H212" s="89" t="b">
        <v>0</v>
      </c>
      <c r="I212" s="89" t="b">
        <v>0</v>
      </c>
      <c r="J212" s="89" t="b">
        <v>1</v>
      </c>
      <c r="K212" s="89" t="b">
        <v>0</v>
      </c>
      <c r="L212" s="89" t="b">
        <v>0</v>
      </c>
    </row>
    <row r="213" spans="1:12" ht="15">
      <c r="A213" s="86" t="s">
        <v>1071</v>
      </c>
      <c r="B213" s="89" t="s">
        <v>1072</v>
      </c>
      <c r="C213" s="89">
        <v>5</v>
      </c>
      <c r="D213" s="111">
        <v>0.006974788937562404</v>
      </c>
      <c r="E213" s="111">
        <v>1.8621313793130372</v>
      </c>
      <c r="F213" s="89" t="s">
        <v>789</v>
      </c>
      <c r="G213" s="89" t="b">
        <v>1</v>
      </c>
      <c r="H213" s="89" t="b">
        <v>0</v>
      </c>
      <c r="I213" s="89" t="b">
        <v>0</v>
      </c>
      <c r="J213" s="89" t="b">
        <v>0</v>
      </c>
      <c r="K213" s="89" t="b">
        <v>0</v>
      </c>
      <c r="L213" s="89" t="b">
        <v>0</v>
      </c>
    </row>
    <row r="214" spans="1:12" ht="15">
      <c r="A214" s="86" t="s">
        <v>1072</v>
      </c>
      <c r="B214" s="89" t="s">
        <v>1073</v>
      </c>
      <c r="C214" s="89">
        <v>5</v>
      </c>
      <c r="D214" s="111">
        <v>0.006974788937562404</v>
      </c>
      <c r="E214" s="111">
        <v>1.8621313793130372</v>
      </c>
      <c r="F214" s="89" t="s">
        <v>789</v>
      </c>
      <c r="G214" s="89" t="b">
        <v>0</v>
      </c>
      <c r="H214" s="89" t="b">
        <v>0</v>
      </c>
      <c r="I214" s="89" t="b">
        <v>0</v>
      </c>
      <c r="J214" s="89" t="b">
        <v>0</v>
      </c>
      <c r="K214" s="89" t="b">
        <v>0</v>
      </c>
      <c r="L214" s="89" t="b">
        <v>0</v>
      </c>
    </row>
    <row r="215" spans="1:12" ht="15">
      <c r="A215" s="86" t="s">
        <v>1073</v>
      </c>
      <c r="B215" s="89" t="s">
        <v>1074</v>
      </c>
      <c r="C215" s="89">
        <v>5</v>
      </c>
      <c r="D215" s="111">
        <v>0.006974788937562404</v>
      </c>
      <c r="E215" s="111">
        <v>1.8621313793130372</v>
      </c>
      <c r="F215" s="89" t="s">
        <v>789</v>
      </c>
      <c r="G215" s="89" t="b">
        <v>0</v>
      </c>
      <c r="H215" s="89" t="b">
        <v>0</v>
      </c>
      <c r="I215" s="89" t="b">
        <v>0</v>
      </c>
      <c r="J215" s="89" t="b">
        <v>0</v>
      </c>
      <c r="K215" s="89" t="b">
        <v>0</v>
      </c>
      <c r="L215" s="89" t="b">
        <v>0</v>
      </c>
    </row>
    <row r="216" spans="1:12" ht="15">
      <c r="A216" s="86" t="s">
        <v>1074</v>
      </c>
      <c r="B216" s="89" t="s">
        <v>1075</v>
      </c>
      <c r="C216" s="89">
        <v>5</v>
      </c>
      <c r="D216" s="111">
        <v>0.006974788937562404</v>
      </c>
      <c r="E216" s="111">
        <v>1.8621313793130372</v>
      </c>
      <c r="F216" s="89" t="s">
        <v>789</v>
      </c>
      <c r="G216" s="89" t="b">
        <v>0</v>
      </c>
      <c r="H216" s="89" t="b">
        <v>0</v>
      </c>
      <c r="I216" s="89" t="b">
        <v>0</v>
      </c>
      <c r="J216" s="89" t="b">
        <v>0</v>
      </c>
      <c r="K216" s="89" t="b">
        <v>0</v>
      </c>
      <c r="L216" s="89" t="b">
        <v>0</v>
      </c>
    </row>
    <row r="217" spans="1:12" ht="15">
      <c r="A217" s="86" t="s">
        <v>1075</v>
      </c>
      <c r="B217" s="89" t="s">
        <v>1076</v>
      </c>
      <c r="C217" s="89">
        <v>5</v>
      </c>
      <c r="D217" s="111">
        <v>0.006974788937562404</v>
      </c>
      <c r="E217" s="111">
        <v>1.8621313793130372</v>
      </c>
      <c r="F217" s="89" t="s">
        <v>789</v>
      </c>
      <c r="G217" s="89" t="b">
        <v>0</v>
      </c>
      <c r="H217" s="89" t="b">
        <v>0</v>
      </c>
      <c r="I217" s="89" t="b">
        <v>0</v>
      </c>
      <c r="J217" s="89" t="b">
        <v>0</v>
      </c>
      <c r="K217" s="89" t="b">
        <v>0</v>
      </c>
      <c r="L217" s="89" t="b">
        <v>0</v>
      </c>
    </row>
    <row r="218" spans="1:12" ht="15">
      <c r="A218" s="86" t="s">
        <v>1076</v>
      </c>
      <c r="B218" s="89" t="s">
        <v>1077</v>
      </c>
      <c r="C218" s="89">
        <v>5</v>
      </c>
      <c r="D218" s="111">
        <v>0.006974788937562404</v>
      </c>
      <c r="E218" s="111">
        <v>1.8621313793130372</v>
      </c>
      <c r="F218" s="89" t="s">
        <v>789</v>
      </c>
      <c r="G218" s="89" t="b">
        <v>0</v>
      </c>
      <c r="H218" s="89" t="b">
        <v>0</v>
      </c>
      <c r="I218" s="89" t="b">
        <v>0</v>
      </c>
      <c r="J218" s="89" t="b">
        <v>0</v>
      </c>
      <c r="K218" s="89" t="b">
        <v>1</v>
      </c>
      <c r="L218" s="89" t="b">
        <v>0</v>
      </c>
    </row>
    <row r="219" spans="1:12" ht="15">
      <c r="A219" s="86" t="s">
        <v>1077</v>
      </c>
      <c r="B219" s="89" t="s">
        <v>1078</v>
      </c>
      <c r="C219" s="89">
        <v>5</v>
      </c>
      <c r="D219" s="111">
        <v>0.006974788937562404</v>
      </c>
      <c r="E219" s="111">
        <v>1.8621313793130372</v>
      </c>
      <c r="F219" s="89" t="s">
        <v>789</v>
      </c>
      <c r="G219" s="89" t="b">
        <v>0</v>
      </c>
      <c r="H219" s="89" t="b">
        <v>1</v>
      </c>
      <c r="I219" s="89" t="b">
        <v>0</v>
      </c>
      <c r="J219" s="89" t="b">
        <v>0</v>
      </c>
      <c r="K219" s="89" t="b">
        <v>0</v>
      </c>
      <c r="L219" s="89" t="b">
        <v>0</v>
      </c>
    </row>
    <row r="220" spans="1:12" ht="15">
      <c r="A220" s="86" t="s">
        <v>1078</v>
      </c>
      <c r="B220" s="89" t="s">
        <v>1079</v>
      </c>
      <c r="C220" s="89">
        <v>5</v>
      </c>
      <c r="D220" s="111">
        <v>0.006974788937562404</v>
      </c>
      <c r="E220" s="111">
        <v>1.8621313793130372</v>
      </c>
      <c r="F220" s="89" t="s">
        <v>789</v>
      </c>
      <c r="G220" s="89" t="b">
        <v>0</v>
      </c>
      <c r="H220" s="89" t="b">
        <v>0</v>
      </c>
      <c r="I220" s="89" t="b">
        <v>0</v>
      </c>
      <c r="J220" s="89" t="b">
        <v>0</v>
      </c>
      <c r="K220" s="89" t="b">
        <v>0</v>
      </c>
      <c r="L220" s="89" t="b">
        <v>0</v>
      </c>
    </row>
    <row r="221" spans="1:12" ht="15">
      <c r="A221" s="86" t="s">
        <v>1079</v>
      </c>
      <c r="B221" s="89" t="s">
        <v>1080</v>
      </c>
      <c r="C221" s="89">
        <v>5</v>
      </c>
      <c r="D221" s="111">
        <v>0.006974788937562404</v>
      </c>
      <c r="E221" s="111">
        <v>1.8621313793130372</v>
      </c>
      <c r="F221" s="89" t="s">
        <v>789</v>
      </c>
      <c r="G221" s="89" t="b">
        <v>0</v>
      </c>
      <c r="H221" s="89" t="b">
        <v>0</v>
      </c>
      <c r="I221" s="89" t="b">
        <v>0</v>
      </c>
      <c r="J221" s="89" t="b">
        <v>0</v>
      </c>
      <c r="K221" s="89" t="b">
        <v>0</v>
      </c>
      <c r="L221" s="89" t="b">
        <v>0</v>
      </c>
    </row>
    <row r="222" spans="1:12" ht="15">
      <c r="A222" s="86" t="s">
        <v>1080</v>
      </c>
      <c r="B222" s="89" t="s">
        <v>1081</v>
      </c>
      <c r="C222" s="89">
        <v>5</v>
      </c>
      <c r="D222" s="111">
        <v>0.006974788937562404</v>
      </c>
      <c r="E222" s="111">
        <v>1.8621313793130372</v>
      </c>
      <c r="F222" s="89" t="s">
        <v>789</v>
      </c>
      <c r="G222" s="89" t="b">
        <v>0</v>
      </c>
      <c r="H222" s="89" t="b">
        <v>0</v>
      </c>
      <c r="I222" s="89" t="b">
        <v>0</v>
      </c>
      <c r="J222" s="89" t="b">
        <v>0</v>
      </c>
      <c r="K222" s="89" t="b">
        <v>0</v>
      </c>
      <c r="L222" s="89" t="b">
        <v>0</v>
      </c>
    </row>
    <row r="223" spans="1:12" ht="15">
      <c r="A223" s="86" t="s">
        <v>1081</v>
      </c>
      <c r="B223" s="89" t="s">
        <v>861</v>
      </c>
      <c r="C223" s="89">
        <v>5</v>
      </c>
      <c r="D223" s="111">
        <v>0.006974788937562404</v>
      </c>
      <c r="E223" s="111">
        <v>1.414973347970818</v>
      </c>
      <c r="F223" s="89" t="s">
        <v>789</v>
      </c>
      <c r="G223" s="89" t="b">
        <v>0</v>
      </c>
      <c r="H223" s="89" t="b">
        <v>0</v>
      </c>
      <c r="I223" s="89" t="b">
        <v>0</v>
      </c>
      <c r="J223" s="89" t="b">
        <v>0</v>
      </c>
      <c r="K223" s="89" t="b">
        <v>0</v>
      </c>
      <c r="L223" s="89" t="b">
        <v>0</v>
      </c>
    </row>
    <row r="224" spans="1:12" ht="15">
      <c r="A224" s="86" t="s">
        <v>289</v>
      </c>
      <c r="B224" s="89" t="s">
        <v>1067</v>
      </c>
      <c r="C224" s="89">
        <v>5</v>
      </c>
      <c r="D224" s="111">
        <v>0.006974788937562404</v>
      </c>
      <c r="E224" s="111">
        <v>1.4819201376014313</v>
      </c>
      <c r="F224" s="89" t="s">
        <v>789</v>
      </c>
      <c r="G224" s="89" t="b">
        <v>0</v>
      </c>
      <c r="H224" s="89" t="b">
        <v>0</v>
      </c>
      <c r="I224" s="89" t="b">
        <v>0</v>
      </c>
      <c r="J224" s="89" t="b">
        <v>0</v>
      </c>
      <c r="K224" s="89" t="b">
        <v>0</v>
      </c>
      <c r="L224" s="89" t="b">
        <v>0</v>
      </c>
    </row>
    <row r="225" spans="1:12" ht="15">
      <c r="A225" s="86" t="s">
        <v>1067</v>
      </c>
      <c r="B225" s="89" t="s">
        <v>1082</v>
      </c>
      <c r="C225" s="89">
        <v>5</v>
      </c>
      <c r="D225" s="111">
        <v>0.006974788937562404</v>
      </c>
      <c r="E225" s="111">
        <v>1.7829501332654123</v>
      </c>
      <c r="F225" s="89" t="s">
        <v>789</v>
      </c>
      <c r="G225" s="89" t="b">
        <v>0</v>
      </c>
      <c r="H225" s="89" t="b">
        <v>0</v>
      </c>
      <c r="I225" s="89" t="b">
        <v>0</v>
      </c>
      <c r="J225" s="89" t="b">
        <v>0</v>
      </c>
      <c r="K225" s="89" t="b">
        <v>0</v>
      </c>
      <c r="L225" s="89" t="b">
        <v>0</v>
      </c>
    </row>
    <row r="226" spans="1:12" ht="15">
      <c r="A226" s="86" t="s">
        <v>1082</v>
      </c>
      <c r="B226" s="89" t="s">
        <v>1068</v>
      </c>
      <c r="C226" s="89">
        <v>5</v>
      </c>
      <c r="D226" s="111">
        <v>0.006974788937562404</v>
      </c>
      <c r="E226" s="111">
        <v>1.7829501332654123</v>
      </c>
      <c r="F226" s="89" t="s">
        <v>789</v>
      </c>
      <c r="G226" s="89" t="b">
        <v>0</v>
      </c>
      <c r="H226" s="89" t="b">
        <v>0</v>
      </c>
      <c r="I226" s="89" t="b">
        <v>0</v>
      </c>
      <c r="J226" s="89" t="b">
        <v>0</v>
      </c>
      <c r="K226" s="89" t="b">
        <v>0</v>
      </c>
      <c r="L226" s="89" t="b">
        <v>0</v>
      </c>
    </row>
    <row r="227" spans="1:12" ht="15">
      <c r="A227" s="86" t="s">
        <v>1068</v>
      </c>
      <c r="B227" s="89" t="s">
        <v>859</v>
      </c>
      <c r="C227" s="89">
        <v>5</v>
      </c>
      <c r="D227" s="111">
        <v>0.006974788937562404</v>
      </c>
      <c r="E227" s="111">
        <v>1.5788301506094875</v>
      </c>
      <c r="F227" s="89" t="s">
        <v>789</v>
      </c>
      <c r="G227" s="89" t="b">
        <v>0</v>
      </c>
      <c r="H227" s="89" t="b">
        <v>0</v>
      </c>
      <c r="I227" s="89" t="b">
        <v>0</v>
      </c>
      <c r="J227" s="89" t="b">
        <v>0</v>
      </c>
      <c r="K227" s="89" t="b">
        <v>0</v>
      </c>
      <c r="L227" s="89" t="b">
        <v>0</v>
      </c>
    </row>
    <row r="228" spans="1:12" ht="15">
      <c r="A228" s="86" t="s">
        <v>1120</v>
      </c>
      <c r="B228" s="89" t="s">
        <v>1121</v>
      </c>
      <c r="C228" s="89">
        <v>2</v>
      </c>
      <c r="D228" s="111">
        <v>0.004878839505061904</v>
      </c>
      <c r="E228" s="111">
        <v>2.2600713879850747</v>
      </c>
      <c r="F228" s="89" t="s">
        <v>789</v>
      </c>
      <c r="G228" s="89" t="b">
        <v>0</v>
      </c>
      <c r="H228" s="89" t="b">
        <v>0</v>
      </c>
      <c r="I228" s="89" t="b">
        <v>0</v>
      </c>
      <c r="J228" s="89" t="b">
        <v>0</v>
      </c>
      <c r="K228" s="89" t="b">
        <v>0</v>
      </c>
      <c r="L228" s="89" t="b">
        <v>0</v>
      </c>
    </row>
    <row r="229" spans="1:12" ht="15">
      <c r="A229" s="86" t="s">
        <v>1121</v>
      </c>
      <c r="B229" s="89" t="s">
        <v>1122</v>
      </c>
      <c r="C229" s="89">
        <v>2</v>
      </c>
      <c r="D229" s="111">
        <v>0.004878839505061904</v>
      </c>
      <c r="E229" s="111">
        <v>2.2600713879850747</v>
      </c>
      <c r="F229" s="89" t="s">
        <v>789</v>
      </c>
      <c r="G229" s="89" t="b">
        <v>0</v>
      </c>
      <c r="H229" s="89" t="b">
        <v>0</v>
      </c>
      <c r="I229" s="89" t="b">
        <v>0</v>
      </c>
      <c r="J229" s="89" t="b">
        <v>0</v>
      </c>
      <c r="K229" s="89" t="b">
        <v>0</v>
      </c>
      <c r="L229" s="89" t="b">
        <v>0</v>
      </c>
    </row>
    <row r="230" spans="1:12" ht="15">
      <c r="A230" s="86" t="s">
        <v>1122</v>
      </c>
      <c r="B230" s="89" t="s">
        <v>1123</v>
      </c>
      <c r="C230" s="89">
        <v>2</v>
      </c>
      <c r="D230" s="111">
        <v>0.004878839505061904</v>
      </c>
      <c r="E230" s="111">
        <v>2.2600713879850747</v>
      </c>
      <c r="F230" s="89" t="s">
        <v>789</v>
      </c>
      <c r="G230" s="89" t="b">
        <v>0</v>
      </c>
      <c r="H230" s="89" t="b">
        <v>0</v>
      </c>
      <c r="I230" s="89" t="b">
        <v>0</v>
      </c>
      <c r="J230" s="89" t="b">
        <v>0</v>
      </c>
      <c r="K230" s="89" t="b">
        <v>0</v>
      </c>
      <c r="L230" s="89" t="b">
        <v>0</v>
      </c>
    </row>
    <row r="231" spans="1:12" ht="15">
      <c r="A231" s="86" t="s">
        <v>1123</v>
      </c>
      <c r="B231" s="89" t="s">
        <v>1124</v>
      </c>
      <c r="C231" s="89">
        <v>2</v>
      </c>
      <c r="D231" s="111">
        <v>0.004878839505061904</v>
      </c>
      <c r="E231" s="111">
        <v>2.2600713879850747</v>
      </c>
      <c r="F231" s="89" t="s">
        <v>789</v>
      </c>
      <c r="G231" s="89" t="b">
        <v>0</v>
      </c>
      <c r="H231" s="89" t="b">
        <v>0</v>
      </c>
      <c r="I231" s="89" t="b">
        <v>0</v>
      </c>
      <c r="J231" s="89" t="b">
        <v>0</v>
      </c>
      <c r="K231" s="89" t="b">
        <v>0</v>
      </c>
      <c r="L231" s="89" t="b">
        <v>0</v>
      </c>
    </row>
    <row r="232" spans="1:12" ht="15">
      <c r="A232" s="86" t="s">
        <v>1124</v>
      </c>
      <c r="B232" s="89" t="s">
        <v>1125</v>
      </c>
      <c r="C232" s="89">
        <v>2</v>
      </c>
      <c r="D232" s="111">
        <v>0.004878839505061904</v>
      </c>
      <c r="E232" s="111">
        <v>2.2600713879850747</v>
      </c>
      <c r="F232" s="89" t="s">
        <v>789</v>
      </c>
      <c r="G232" s="89" t="b">
        <v>0</v>
      </c>
      <c r="H232" s="89" t="b">
        <v>0</v>
      </c>
      <c r="I232" s="89" t="b">
        <v>0</v>
      </c>
      <c r="J232" s="89" t="b">
        <v>0</v>
      </c>
      <c r="K232" s="89" t="b">
        <v>0</v>
      </c>
      <c r="L232" s="89" t="b">
        <v>0</v>
      </c>
    </row>
    <row r="233" spans="1:12" ht="15">
      <c r="A233" s="86" t="s">
        <v>1125</v>
      </c>
      <c r="B233" s="89" t="s">
        <v>1126</v>
      </c>
      <c r="C233" s="89">
        <v>2</v>
      </c>
      <c r="D233" s="111">
        <v>0.004878839505061904</v>
      </c>
      <c r="E233" s="111">
        <v>2.2600713879850747</v>
      </c>
      <c r="F233" s="89" t="s">
        <v>789</v>
      </c>
      <c r="G233" s="89" t="b">
        <v>0</v>
      </c>
      <c r="H233" s="89" t="b">
        <v>0</v>
      </c>
      <c r="I233" s="89" t="b">
        <v>0</v>
      </c>
      <c r="J233" s="89" t="b">
        <v>0</v>
      </c>
      <c r="K233" s="89" t="b">
        <v>0</v>
      </c>
      <c r="L233" s="89" t="b">
        <v>0</v>
      </c>
    </row>
    <row r="234" spans="1:12" ht="15">
      <c r="A234" s="86" t="s">
        <v>1126</v>
      </c>
      <c r="B234" s="89" t="s">
        <v>1127</v>
      </c>
      <c r="C234" s="89">
        <v>2</v>
      </c>
      <c r="D234" s="111">
        <v>0.004878839505061904</v>
      </c>
      <c r="E234" s="111">
        <v>2.2600713879850747</v>
      </c>
      <c r="F234" s="89" t="s">
        <v>789</v>
      </c>
      <c r="G234" s="89" t="b">
        <v>0</v>
      </c>
      <c r="H234" s="89" t="b">
        <v>0</v>
      </c>
      <c r="I234" s="89" t="b">
        <v>0</v>
      </c>
      <c r="J234" s="89" t="b">
        <v>1</v>
      </c>
      <c r="K234" s="89" t="b">
        <v>0</v>
      </c>
      <c r="L234" s="89" t="b">
        <v>0</v>
      </c>
    </row>
    <row r="235" spans="1:12" ht="15">
      <c r="A235" s="86" t="s">
        <v>1127</v>
      </c>
      <c r="B235" s="89" t="s">
        <v>1128</v>
      </c>
      <c r="C235" s="89">
        <v>2</v>
      </c>
      <c r="D235" s="111">
        <v>0.004878839505061904</v>
      </c>
      <c r="E235" s="111">
        <v>2.2600713879850747</v>
      </c>
      <c r="F235" s="89" t="s">
        <v>789</v>
      </c>
      <c r="G235" s="89" t="b">
        <v>1</v>
      </c>
      <c r="H235" s="89" t="b">
        <v>0</v>
      </c>
      <c r="I235" s="89" t="b">
        <v>0</v>
      </c>
      <c r="J235" s="89" t="b">
        <v>0</v>
      </c>
      <c r="K235" s="89" t="b">
        <v>0</v>
      </c>
      <c r="L235" s="89" t="b">
        <v>0</v>
      </c>
    </row>
    <row r="236" spans="1:12" ht="15">
      <c r="A236" s="86" t="s">
        <v>1128</v>
      </c>
      <c r="B236" s="89" t="s">
        <v>1129</v>
      </c>
      <c r="C236" s="89">
        <v>2</v>
      </c>
      <c r="D236" s="111">
        <v>0.004878839505061904</v>
      </c>
      <c r="E236" s="111">
        <v>2.2600713879850747</v>
      </c>
      <c r="F236" s="89" t="s">
        <v>789</v>
      </c>
      <c r="G236" s="89" t="b">
        <v>0</v>
      </c>
      <c r="H236" s="89" t="b">
        <v>0</v>
      </c>
      <c r="I236" s="89" t="b">
        <v>0</v>
      </c>
      <c r="J236" s="89" t="b">
        <v>1</v>
      </c>
      <c r="K236" s="89" t="b">
        <v>0</v>
      </c>
      <c r="L236" s="89" t="b">
        <v>0</v>
      </c>
    </row>
    <row r="237" spans="1:12" ht="15">
      <c r="A237" s="86" t="s">
        <v>1129</v>
      </c>
      <c r="B237" s="89" t="s">
        <v>1130</v>
      </c>
      <c r="C237" s="89">
        <v>2</v>
      </c>
      <c r="D237" s="111">
        <v>0.004878839505061904</v>
      </c>
      <c r="E237" s="111">
        <v>2.2600713879850747</v>
      </c>
      <c r="F237" s="89" t="s">
        <v>789</v>
      </c>
      <c r="G237" s="89" t="b">
        <v>1</v>
      </c>
      <c r="H237" s="89" t="b">
        <v>0</v>
      </c>
      <c r="I237" s="89" t="b">
        <v>0</v>
      </c>
      <c r="J237" s="89" t="b">
        <v>0</v>
      </c>
      <c r="K237" s="89" t="b">
        <v>0</v>
      </c>
      <c r="L237" s="89" t="b">
        <v>0</v>
      </c>
    </row>
    <row r="238" spans="1:12" ht="15">
      <c r="A238" s="86" t="s">
        <v>1130</v>
      </c>
      <c r="B238" s="89" t="s">
        <v>1131</v>
      </c>
      <c r="C238" s="89">
        <v>2</v>
      </c>
      <c r="D238" s="111">
        <v>0.004878839505061904</v>
      </c>
      <c r="E238" s="111">
        <v>2.2600713879850747</v>
      </c>
      <c r="F238" s="89" t="s">
        <v>789</v>
      </c>
      <c r="G238" s="89" t="b">
        <v>0</v>
      </c>
      <c r="H238" s="89" t="b">
        <v>0</v>
      </c>
      <c r="I238" s="89" t="b">
        <v>0</v>
      </c>
      <c r="J238" s="89" t="b">
        <v>0</v>
      </c>
      <c r="K238" s="89" t="b">
        <v>0</v>
      </c>
      <c r="L238" s="89" t="b">
        <v>0</v>
      </c>
    </row>
    <row r="239" spans="1:12" ht="15">
      <c r="A239" s="86" t="s">
        <v>1131</v>
      </c>
      <c r="B239" s="89" t="s">
        <v>1132</v>
      </c>
      <c r="C239" s="89">
        <v>2</v>
      </c>
      <c r="D239" s="111">
        <v>0.004878839505061904</v>
      </c>
      <c r="E239" s="111">
        <v>2.2600713879850747</v>
      </c>
      <c r="F239" s="89" t="s">
        <v>789</v>
      </c>
      <c r="G239" s="89" t="b">
        <v>0</v>
      </c>
      <c r="H239" s="89" t="b">
        <v>0</v>
      </c>
      <c r="I239" s="89" t="b">
        <v>0</v>
      </c>
      <c r="J239" s="89" t="b">
        <v>0</v>
      </c>
      <c r="K239" s="89" t="b">
        <v>0</v>
      </c>
      <c r="L239" s="89" t="b">
        <v>0</v>
      </c>
    </row>
    <row r="240" spans="1:12" ht="15">
      <c r="A240" s="86" t="s">
        <v>1132</v>
      </c>
      <c r="B240" s="89" t="s">
        <v>1133</v>
      </c>
      <c r="C240" s="89">
        <v>2</v>
      </c>
      <c r="D240" s="111">
        <v>0.004878839505061904</v>
      </c>
      <c r="E240" s="111">
        <v>2.2600713879850747</v>
      </c>
      <c r="F240" s="89" t="s">
        <v>789</v>
      </c>
      <c r="G240" s="89" t="b">
        <v>0</v>
      </c>
      <c r="H240" s="89" t="b">
        <v>0</v>
      </c>
      <c r="I240" s="89" t="b">
        <v>0</v>
      </c>
      <c r="J240" s="89" t="b">
        <v>0</v>
      </c>
      <c r="K240" s="89" t="b">
        <v>0</v>
      </c>
      <c r="L240" s="89" t="b">
        <v>0</v>
      </c>
    </row>
    <row r="241" spans="1:12" ht="15">
      <c r="A241" s="86" t="s">
        <v>1133</v>
      </c>
      <c r="B241" s="89" t="s">
        <v>1134</v>
      </c>
      <c r="C241" s="89">
        <v>2</v>
      </c>
      <c r="D241" s="111">
        <v>0.004878839505061904</v>
      </c>
      <c r="E241" s="111">
        <v>2.2600713879850747</v>
      </c>
      <c r="F241" s="89" t="s">
        <v>789</v>
      </c>
      <c r="G241" s="89" t="b">
        <v>0</v>
      </c>
      <c r="H241" s="89" t="b">
        <v>0</v>
      </c>
      <c r="I241" s="89" t="b">
        <v>0</v>
      </c>
      <c r="J241" s="89" t="b">
        <v>0</v>
      </c>
      <c r="K241" s="89" t="b">
        <v>0</v>
      </c>
      <c r="L241" s="89" t="b">
        <v>0</v>
      </c>
    </row>
    <row r="242" spans="1:12" ht="15">
      <c r="A242" s="86" t="s">
        <v>1134</v>
      </c>
      <c r="B242" s="89" t="s">
        <v>859</v>
      </c>
      <c r="C242" s="89">
        <v>2</v>
      </c>
      <c r="D242" s="111">
        <v>0.004878839505061904</v>
      </c>
      <c r="E242" s="111">
        <v>1.6580113966571124</v>
      </c>
      <c r="F242" s="89" t="s">
        <v>789</v>
      </c>
      <c r="G242" s="89" t="b">
        <v>0</v>
      </c>
      <c r="H242" s="89" t="b">
        <v>0</v>
      </c>
      <c r="I242" s="89" t="b">
        <v>0</v>
      </c>
      <c r="J242" s="89" t="b">
        <v>0</v>
      </c>
      <c r="K242" s="89" t="b">
        <v>0</v>
      </c>
      <c r="L242" s="89" t="b">
        <v>0</v>
      </c>
    </row>
    <row r="243" spans="1:12" ht="15">
      <c r="A243" s="86" t="s">
        <v>859</v>
      </c>
      <c r="B243" s="89" t="s">
        <v>1135</v>
      </c>
      <c r="C243" s="89">
        <v>2</v>
      </c>
      <c r="D243" s="111">
        <v>0.004878839505061904</v>
      </c>
      <c r="E243" s="111">
        <v>1.4471580313422192</v>
      </c>
      <c r="F243" s="89" t="s">
        <v>789</v>
      </c>
      <c r="G243" s="89" t="b">
        <v>0</v>
      </c>
      <c r="H243" s="89" t="b">
        <v>0</v>
      </c>
      <c r="I243" s="89" t="b">
        <v>0</v>
      </c>
      <c r="J243" s="89" t="b">
        <v>1</v>
      </c>
      <c r="K243" s="89" t="b">
        <v>0</v>
      </c>
      <c r="L243" s="89" t="b">
        <v>0</v>
      </c>
    </row>
    <row r="244" spans="1:12" ht="15">
      <c r="A244" s="86" t="s">
        <v>1135</v>
      </c>
      <c r="B244" s="89" t="s">
        <v>1136</v>
      </c>
      <c r="C244" s="89">
        <v>2</v>
      </c>
      <c r="D244" s="111">
        <v>0.004878839505061904</v>
      </c>
      <c r="E244" s="111">
        <v>2.2600713879850747</v>
      </c>
      <c r="F244" s="89" t="s">
        <v>789</v>
      </c>
      <c r="G244" s="89" t="b">
        <v>1</v>
      </c>
      <c r="H244" s="89" t="b">
        <v>0</v>
      </c>
      <c r="I244" s="89" t="b">
        <v>0</v>
      </c>
      <c r="J244" s="89" t="b">
        <v>0</v>
      </c>
      <c r="K244" s="89" t="b">
        <v>0</v>
      </c>
      <c r="L244" s="89" t="b">
        <v>0</v>
      </c>
    </row>
    <row r="245" spans="1:12" ht="15">
      <c r="A245" s="86" t="s">
        <v>1136</v>
      </c>
      <c r="B245" s="89" t="s">
        <v>1137</v>
      </c>
      <c r="C245" s="89">
        <v>2</v>
      </c>
      <c r="D245" s="111">
        <v>0.004878839505061904</v>
      </c>
      <c r="E245" s="111">
        <v>2.2600713879850747</v>
      </c>
      <c r="F245" s="89" t="s">
        <v>789</v>
      </c>
      <c r="G245" s="89" t="b">
        <v>0</v>
      </c>
      <c r="H245" s="89" t="b">
        <v>0</v>
      </c>
      <c r="I245" s="89" t="b">
        <v>0</v>
      </c>
      <c r="J245" s="89" t="b">
        <v>1</v>
      </c>
      <c r="K245" s="89" t="b">
        <v>0</v>
      </c>
      <c r="L245" s="89" t="b">
        <v>0</v>
      </c>
    </row>
    <row r="246" spans="1:12" ht="15">
      <c r="A246" s="86" t="s">
        <v>1137</v>
      </c>
      <c r="B246" s="89" t="s">
        <v>1138</v>
      </c>
      <c r="C246" s="89">
        <v>2</v>
      </c>
      <c r="D246" s="111">
        <v>0.004878839505061904</v>
      </c>
      <c r="E246" s="111">
        <v>2.2600713879850747</v>
      </c>
      <c r="F246" s="89" t="s">
        <v>789</v>
      </c>
      <c r="G246" s="89" t="b">
        <v>1</v>
      </c>
      <c r="H246" s="89" t="b">
        <v>0</v>
      </c>
      <c r="I246" s="89" t="b">
        <v>0</v>
      </c>
      <c r="J246" s="89" t="b">
        <v>0</v>
      </c>
      <c r="K246" s="89" t="b">
        <v>0</v>
      </c>
      <c r="L246" s="89" t="b">
        <v>0</v>
      </c>
    </row>
    <row r="247" spans="1:12" ht="15">
      <c r="A247" s="86" t="s">
        <v>1138</v>
      </c>
      <c r="B247" s="89" t="s">
        <v>861</v>
      </c>
      <c r="C247" s="89">
        <v>2</v>
      </c>
      <c r="D247" s="111">
        <v>0.004878839505061904</v>
      </c>
      <c r="E247" s="111">
        <v>1.414973347970818</v>
      </c>
      <c r="F247" s="89" t="s">
        <v>789</v>
      </c>
      <c r="G247" s="89" t="b">
        <v>0</v>
      </c>
      <c r="H247" s="89" t="b">
        <v>0</v>
      </c>
      <c r="I247" s="89" t="b">
        <v>0</v>
      </c>
      <c r="J247" s="89" t="b">
        <v>0</v>
      </c>
      <c r="K247" s="89" t="b">
        <v>0</v>
      </c>
      <c r="L247" s="89" t="b">
        <v>0</v>
      </c>
    </row>
    <row r="248" spans="1:12" ht="15">
      <c r="A248" s="86" t="s">
        <v>1139</v>
      </c>
      <c r="B248" s="89" t="s">
        <v>1140</v>
      </c>
      <c r="C248" s="89">
        <v>2</v>
      </c>
      <c r="D248" s="111">
        <v>0.004878839505061904</v>
      </c>
      <c r="E248" s="111">
        <v>2.2600713879850747</v>
      </c>
      <c r="F248" s="89" t="s">
        <v>789</v>
      </c>
      <c r="G248" s="89" t="b">
        <v>0</v>
      </c>
      <c r="H248" s="89" t="b">
        <v>1</v>
      </c>
      <c r="I248" s="89" t="b">
        <v>0</v>
      </c>
      <c r="J248" s="89" t="b">
        <v>1</v>
      </c>
      <c r="K248" s="89" t="b">
        <v>0</v>
      </c>
      <c r="L248" s="89" t="b">
        <v>0</v>
      </c>
    </row>
    <row r="249" spans="1:12" ht="15">
      <c r="A249" s="86" t="s">
        <v>1140</v>
      </c>
      <c r="B249" s="89" t="s">
        <v>1141</v>
      </c>
      <c r="C249" s="89">
        <v>2</v>
      </c>
      <c r="D249" s="111">
        <v>0.004878839505061904</v>
      </c>
      <c r="E249" s="111">
        <v>2.2600713879850747</v>
      </c>
      <c r="F249" s="89" t="s">
        <v>789</v>
      </c>
      <c r="G249" s="89" t="b">
        <v>1</v>
      </c>
      <c r="H249" s="89" t="b">
        <v>0</v>
      </c>
      <c r="I249" s="89" t="b">
        <v>0</v>
      </c>
      <c r="J249" s="89" t="b">
        <v>1</v>
      </c>
      <c r="K249" s="89" t="b">
        <v>0</v>
      </c>
      <c r="L249" s="89" t="b">
        <v>0</v>
      </c>
    </row>
    <row r="250" spans="1:12" ht="15">
      <c r="A250" s="86" t="s">
        <v>1141</v>
      </c>
      <c r="B250" s="89" t="s">
        <v>1083</v>
      </c>
      <c r="C250" s="89">
        <v>2</v>
      </c>
      <c r="D250" s="111">
        <v>0.004878839505061904</v>
      </c>
      <c r="E250" s="111">
        <v>2.2600713879850747</v>
      </c>
      <c r="F250" s="89" t="s">
        <v>789</v>
      </c>
      <c r="G250" s="89" t="b">
        <v>1</v>
      </c>
      <c r="H250" s="89" t="b">
        <v>0</v>
      </c>
      <c r="I250" s="89" t="b">
        <v>0</v>
      </c>
      <c r="J250" s="89" t="b">
        <v>0</v>
      </c>
      <c r="K250" s="89" t="b">
        <v>0</v>
      </c>
      <c r="L250" s="89" t="b">
        <v>0</v>
      </c>
    </row>
    <row r="251" spans="1:12" ht="15">
      <c r="A251" s="86" t="s">
        <v>1083</v>
      </c>
      <c r="B251" s="89" t="s">
        <v>1142</v>
      </c>
      <c r="C251" s="89">
        <v>2</v>
      </c>
      <c r="D251" s="111">
        <v>0.004878839505061904</v>
      </c>
      <c r="E251" s="111">
        <v>2.2600713879850747</v>
      </c>
      <c r="F251" s="89" t="s">
        <v>789</v>
      </c>
      <c r="G251" s="89" t="b">
        <v>0</v>
      </c>
      <c r="H251" s="89" t="b">
        <v>0</v>
      </c>
      <c r="I251" s="89" t="b">
        <v>0</v>
      </c>
      <c r="J251" s="89" t="b">
        <v>0</v>
      </c>
      <c r="K251" s="89" t="b">
        <v>0</v>
      </c>
      <c r="L251" s="89" t="b">
        <v>0</v>
      </c>
    </row>
    <row r="252" spans="1:12" ht="15">
      <c r="A252" s="86" t="s">
        <v>1142</v>
      </c>
      <c r="B252" s="89" t="s">
        <v>1143</v>
      </c>
      <c r="C252" s="89">
        <v>2</v>
      </c>
      <c r="D252" s="111">
        <v>0.004878839505061904</v>
      </c>
      <c r="E252" s="111">
        <v>2.2600713879850747</v>
      </c>
      <c r="F252" s="89" t="s">
        <v>789</v>
      </c>
      <c r="G252" s="89" t="b">
        <v>0</v>
      </c>
      <c r="H252" s="89" t="b">
        <v>0</v>
      </c>
      <c r="I252" s="89" t="b">
        <v>0</v>
      </c>
      <c r="J252" s="89" t="b">
        <v>0</v>
      </c>
      <c r="K252" s="89" t="b">
        <v>0</v>
      </c>
      <c r="L252" s="89" t="b">
        <v>0</v>
      </c>
    </row>
    <row r="253" spans="1:12" ht="15">
      <c r="A253" s="86" t="s">
        <v>1143</v>
      </c>
      <c r="B253" s="89" t="s">
        <v>300</v>
      </c>
      <c r="C253" s="89">
        <v>2</v>
      </c>
      <c r="D253" s="111">
        <v>0.004878839505061904</v>
      </c>
      <c r="E253" s="111">
        <v>1.5611013836490562</v>
      </c>
      <c r="F253" s="89" t="s">
        <v>789</v>
      </c>
      <c r="G253" s="89" t="b">
        <v>0</v>
      </c>
      <c r="H253" s="89" t="b">
        <v>0</v>
      </c>
      <c r="I253" s="89" t="b">
        <v>0</v>
      </c>
      <c r="J253" s="89" t="b">
        <v>0</v>
      </c>
      <c r="K253" s="89" t="b">
        <v>0</v>
      </c>
      <c r="L253" s="89" t="b">
        <v>0</v>
      </c>
    </row>
    <row r="254" spans="1:12" ht="15">
      <c r="A254" s="86" t="s">
        <v>863</v>
      </c>
      <c r="B254" s="89" t="s">
        <v>864</v>
      </c>
      <c r="C254" s="89">
        <v>3</v>
      </c>
      <c r="D254" s="111">
        <v>0.025802571056912676</v>
      </c>
      <c r="E254" s="111">
        <v>1.0280287236002434</v>
      </c>
      <c r="F254" s="89" t="s">
        <v>791</v>
      </c>
      <c r="G254" s="89" t="b">
        <v>0</v>
      </c>
      <c r="H254" s="89" t="b">
        <v>0</v>
      </c>
      <c r="I254" s="89" t="b">
        <v>0</v>
      </c>
      <c r="J254" s="89" t="b">
        <v>0</v>
      </c>
      <c r="K254" s="89" t="b">
        <v>0</v>
      </c>
      <c r="L254" s="89" t="b">
        <v>0</v>
      </c>
    </row>
    <row r="255" spans="1:12" ht="15">
      <c r="A255" s="86" t="s">
        <v>864</v>
      </c>
      <c r="B255" s="89" t="s">
        <v>865</v>
      </c>
      <c r="C255" s="89">
        <v>3</v>
      </c>
      <c r="D255" s="111">
        <v>0.025802571056912676</v>
      </c>
      <c r="E255" s="111">
        <v>1.0280287236002434</v>
      </c>
      <c r="F255" s="89" t="s">
        <v>791</v>
      </c>
      <c r="G255" s="89" t="b">
        <v>0</v>
      </c>
      <c r="H255" s="89" t="b">
        <v>0</v>
      </c>
      <c r="I255" s="89" t="b">
        <v>0</v>
      </c>
      <c r="J255" s="89" t="b">
        <v>0</v>
      </c>
      <c r="K255" s="89" t="b">
        <v>1</v>
      </c>
      <c r="L255" s="89" t="b">
        <v>0</v>
      </c>
    </row>
    <row r="256" spans="1:12" ht="15">
      <c r="A256" s="86" t="s">
        <v>865</v>
      </c>
      <c r="B256" s="89" t="s">
        <v>846</v>
      </c>
      <c r="C256" s="89">
        <v>3</v>
      </c>
      <c r="D256" s="111">
        <v>0.025802571056912676</v>
      </c>
      <c r="E256" s="111">
        <v>1.0280287236002434</v>
      </c>
      <c r="F256" s="89" t="s">
        <v>791</v>
      </c>
      <c r="G256" s="89" t="b">
        <v>0</v>
      </c>
      <c r="H256" s="89" t="b">
        <v>1</v>
      </c>
      <c r="I256" s="89" t="b">
        <v>0</v>
      </c>
      <c r="J256" s="89" t="b">
        <v>0</v>
      </c>
      <c r="K256" s="89" t="b">
        <v>0</v>
      </c>
      <c r="L256" s="89" t="b">
        <v>0</v>
      </c>
    </row>
    <row r="257" spans="1:12" ht="15">
      <c r="A257" s="86" t="s">
        <v>846</v>
      </c>
      <c r="B257" s="89" t="s">
        <v>877</v>
      </c>
      <c r="C257" s="89">
        <v>3</v>
      </c>
      <c r="D257" s="111">
        <v>0.025802571056912676</v>
      </c>
      <c r="E257" s="111">
        <v>1.0280287236002434</v>
      </c>
      <c r="F257" s="89" t="s">
        <v>791</v>
      </c>
      <c r="G257" s="89" t="b">
        <v>0</v>
      </c>
      <c r="H257" s="89" t="b">
        <v>0</v>
      </c>
      <c r="I257" s="89" t="b">
        <v>0</v>
      </c>
      <c r="J257" s="89" t="b">
        <v>0</v>
      </c>
      <c r="K257" s="89" t="b">
        <v>0</v>
      </c>
      <c r="L257" s="89" t="b">
        <v>0</v>
      </c>
    </row>
    <row r="258" spans="1:12" ht="15">
      <c r="A258" s="86" t="s">
        <v>877</v>
      </c>
      <c r="B258" s="89" t="s">
        <v>878</v>
      </c>
      <c r="C258" s="89">
        <v>2</v>
      </c>
      <c r="D258" s="111">
        <v>0.027264071698266425</v>
      </c>
      <c r="E258" s="111">
        <v>1.2041199826559248</v>
      </c>
      <c r="F258" s="89" t="s">
        <v>791</v>
      </c>
      <c r="G258" s="89" t="b">
        <v>0</v>
      </c>
      <c r="H258" s="89" t="b">
        <v>0</v>
      </c>
      <c r="I258" s="89" t="b">
        <v>0</v>
      </c>
      <c r="J258" s="89" t="b">
        <v>0</v>
      </c>
      <c r="K258" s="89" t="b">
        <v>0</v>
      </c>
      <c r="L258" s="89" t="b">
        <v>0</v>
      </c>
    </row>
    <row r="259" spans="1:12" ht="15">
      <c r="A259" s="86" t="s">
        <v>880</v>
      </c>
      <c r="B259" s="89" t="s">
        <v>881</v>
      </c>
      <c r="C259" s="89">
        <v>4</v>
      </c>
      <c r="D259" s="111">
        <v>0</v>
      </c>
      <c r="E259" s="111">
        <v>1.278753600952829</v>
      </c>
      <c r="F259" s="89" t="s">
        <v>792</v>
      </c>
      <c r="G259" s="89" t="b">
        <v>0</v>
      </c>
      <c r="H259" s="89" t="b">
        <v>0</v>
      </c>
      <c r="I259" s="89" t="b">
        <v>0</v>
      </c>
      <c r="J259" s="89" t="b">
        <v>0</v>
      </c>
      <c r="K259" s="89" t="b">
        <v>0</v>
      </c>
      <c r="L259" s="89" t="b">
        <v>0</v>
      </c>
    </row>
    <row r="260" spans="1:12" ht="15">
      <c r="A260" s="86" t="s">
        <v>881</v>
      </c>
      <c r="B260" s="89" t="s">
        <v>882</v>
      </c>
      <c r="C260" s="89">
        <v>4</v>
      </c>
      <c r="D260" s="111">
        <v>0</v>
      </c>
      <c r="E260" s="111">
        <v>1.278753600952829</v>
      </c>
      <c r="F260" s="89" t="s">
        <v>792</v>
      </c>
      <c r="G260" s="89" t="b">
        <v>0</v>
      </c>
      <c r="H260" s="89" t="b">
        <v>0</v>
      </c>
      <c r="I260" s="89" t="b">
        <v>0</v>
      </c>
      <c r="J260" s="89" t="b">
        <v>0</v>
      </c>
      <c r="K260" s="89" t="b">
        <v>0</v>
      </c>
      <c r="L260" s="89" t="b">
        <v>0</v>
      </c>
    </row>
    <row r="261" spans="1:12" ht="15">
      <c r="A261" s="86" t="s">
        <v>882</v>
      </c>
      <c r="B261" s="89" t="s">
        <v>306</v>
      </c>
      <c r="C261" s="89">
        <v>4</v>
      </c>
      <c r="D261" s="111">
        <v>0</v>
      </c>
      <c r="E261" s="111">
        <v>1.278753600952829</v>
      </c>
      <c r="F261" s="89" t="s">
        <v>792</v>
      </c>
      <c r="G261" s="89" t="b">
        <v>0</v>
      </c>
      <c r="H261" s="89" t="b">
        <v>0</v>
      </c>
      <c r="I261" s="89" t="b">
        <v>0</v>
      </c>
      <c r="J261" s="89" t="b">
        <v>0</v>
      </c>
      <c r="K261" s="89" t="b">
        <v>0</v>
      </c>
      <c r="L261" s="89" t="b">
        <v>0</v>
      </c>
    </row>
    <row r="262" spans="1:12" ht="15">
      <c r="A262" s="86" t="s">
        <v>306</v>
      </c>
      <c r="B262" s="89" t="s">
        <v>883</v>
      </c>
      <c r="C262" s="89">
        <v>4</v>
      </c>
      <c r="D262" s="111">
        <v>0</v>
      </c>
      <c r="E262" s="111">
        <v>1.278753600952829</v>
      </c>
      <c r="F262" s="89" t="s">
        <v>792</v>
      </c>
      <c r="G262" s="89" t="b">
        <v>0</v>
      </c>
      <c r="H262" s="89" t="b">
        <v>0</v>
      </c>
      <c r="I262" s="89" t="b">
        <v>0</v>
      </c>
      <c r="J262" s="89" t="b">
        <v>0</v>
      </c>
      <c r="K262" s="89" t="b">
        <v>0</v>
      </c>
      <c r="L262" s="89" t="b">
        <v>0</v>
      </c>
    </row>
    <row r="263" spans="1:12" ht="15">
      <c r="A263" s="86" t="s">
        <v>883</v>
      </c>
      <c r="B263" s="89" t="s">
        <v>884</v>
      </c>
      <c r="C263" s="89">
        <v>4</v>
      </c>
      <c r="D263" s="111">
        <v>0</v>
      </c>
      <c r="E263" s="111">
        <v>1.278753600952829</v>
      </c>
      <c r="F263" s="89" t="s">
        <v>792</v>
      </c>
      <c r="G263" s="89" t="b">
        <v>0</v>
      </c>
      <c r="H263" s="89" t="b">
        <v>0</v>
      </c>
      <c r="I263" s="89" t="b">
        <v>0</v>
      </c>
      <c r="J263" s="89" t="b">
        <v>0</v>
      </c>
      <c r="K263" s="89" t="b">
        <v>0</v>
      </c>
      <c r="L263" s="89" t="b">
        <v>0</v>
      </c>
    </row>
    <row r="264" spans="1:12" ht="15">
      <c r="A264" s="86" t="s">
        <v>884</v>
      </c>
      <c r="B264" s="89" t="s">
        <v>885</v>
      </c>
      <c r="C264" s="89">
        <v>4</v>
      </c>
      <c r="D264" s="111">
        <v>0</v>
      </c>
      <c r="E264" s="111">
        <v>1.278753600952829</v>
      </c>
      <c r="F264" s="89" t="s">
        <v>792</v>
      </c>
      <c r="G264" s="89" t="b">
        <v>0</v>
      </c>
      <c r="H264" s="89" t="b">
        <v>0</v>
      </c>
      <c r="I264" s="89" t="b">
        <v>0</v>
      </c>
      <c r="J264" s="89" t="b">
        <v>0</v>
      </c>
      <c r="K264" s="89" t="b">
        <v>0</v>
      </c>
      <c r="L264" s="89" t="b">
        <v>0</v>
      </c>
    </row>
    <row r="265" spans="1:12" ht="15">
      <c r="A265" s="86" t="s">
        <v>885</v>
      </c>
      <c r="B265" s="89" t="s">
        <v>886</v>
      </c>
      <c r="C265" s="89">
        <v>4</v>
      </c>
      <c r="D265" s="111">
        <v>0</v>
      </c>
      <c r="E265" s="111">
        <v>1.278753600952829</v>
      </c>
      <c r="F265" s="89" t="s">
        <v>792</v>
      </c>
      <c r="G265" s="89" t="b">
        <v>0</v>
      </c>
      <c r="H265" s="89" t="b">
        <v>0</v>
      </c>
      <c r="I265" s="89" t="b">
        <v>0</v>
      </c>
      <c r="J265" s="89" t="b">
        <v>0</v>
      </c>
      <c r="K265" s="89" t="b">
        <v>0</v>
      </c>
      <c r="L265" s="89" t="b">
        <v>0</v>
      </c>
    </row>
    <row r="266" spans="1:12" ht="15">
      <c r="A266" s="86" t="s">
        <v>886</v>
      </c>
      <c r="B266" s="89" t="s">
        <v>887</v>
      </c>
      <c r="C266" s="89">
        <v>4</v>
      </c>
      <c r="D266" s="111">
        <v>0</v>
      </c>
      <c r="E266" s="111">
        <v>1.278753600952829</v>
      </c>
      <c r="F266" s="89" t="s">
        <v>792</v>
      </c>
      <c r="G266" s="89" t="b">
        <v>0</v>
      </c>
      <c r="H266" s="89" t="b">
        <v>0</v>
      </c>
      <c r="I266" s="89" t="b">
        <v>0</v>
      </c>
      <c r="J266" s="89" t="b">
        <v>0</v>
      </c>
      <c r="K266" s="89" t="b">
        <v>0</v>
      </c>
      <c r="L266" s="89" t="b">
        <v>0</v>
      </c>
    </row>
    <row r="267" spans="1:12" ht="15">
      <c r="A267" s="86" t="s">
        <v>887</v>
      </c>
      <c r="B267" s="89" t="s">
        <v>888</v>
      </c>
      <c r="C267" s="89">
        <v>4</v>
      </c>
      <c r="D267" s="111">
        <v>0</v>
      </c>
      <c r="E267" s="111">
        <v>1.278753600952829</v>
      </c>
      <c r="F267" s="89" t="s">
        <v>792</v>
      </c>
      <c r="G267" s="89" t="b">
        <v>0</v>
      </c>
      <c r="H267" s="89" t="b">
        <v>0</v>
      </c>
      <c r="I267" s="89" t="b">
        <v>0</v>
      </c>
      <c r="J267" s="89" t="b">
        <v>0</v>
      </c>
      <c r="K267" s="89" t="b">
        <v>0</v>
      </c>
      <c r="L267" s="89" t="b">
        <v>0</v>
      </c>
    </row>
    <row r="268" spans="1:12" ht="15">
      <c r="A268" s="86" t="s">
        <v>888</v>
      </c>
      <c r="B268" s="89" t="s">
        <v>1113</v>
      </c>
      <c r="C268" s="89">
        <v>4</v>
      </c>
      <c r="D268" s="111">
        <v>0</v>
      </c>
      <c r="E268" s="111">
        <v>1.278753600952829</v>
      </c>
      <c r="F268" s="89" t="s">
        <v>792</v>
      </c>
      <c r="G268" s="89" t="b">
        <v>0</v>
      </c>
      <c r="H268" s="89" t="b">
        <v>0</v>
      </c>
      <c r="I268" s="89" t="b">
        <v>0</v>
      </c>
      <c r="J268" s="89" t="b">
        <v>0</v>
      </c>
      <c r="K268" s="89" t="b">
        <v>0</v>
      </c>
      <c r="L268" s="89" t="b">
        <v>0</v>
      </c>
    </row>
    <row r="269" spans="1:12" ht="15">
      <c r="A269" s="86" t="s">
        <v>1113</v>
      </c>
      <c r="B269" s="89" t="s">
        <v>1114</v>
      </c>
      <c r="C269" s="89">
        <v>4</v>
      </c>
      <c r="D269" s="111">
        <v>0</v>
      </c>
      <c r="E269" s="111">
        <v>1.278753600952829</v>
      </c>
      <c r="F269" s="89" t="s">
        <v>792</v>
      </c>
      <c r="G269" s="89" t="b">
        <v>0</v>
      </c>
      <c r="H269" s="89" t="b">
        <v>0</v>
      </c>
      <c r="I269" s="89" t="b">
        <v>0</v>
      </c>
      <c r="J269" s="89" t="b">
        <v>0</v>
      </c>
      <c r="K269" s="89" t="b">
        <v>0</v>
      </c>
      <c r="L269" s="89" t="b">
        <v>0</v>
      </c>
    </row>
    <row r="270" spans="1:12" ht="15">
      <c r="A270" s="86" t="s">
        <v>1114</v>
      </c>
      <c r="B270" s="89" t="s">
        <v>1115</v>
      </c>
      <c r="C270" s="89">
        <v>4</v>
      </c>
      <c r="D270" s="111">
        <v>0</v>
      </c>
      <c r="E270" s="111">
        <v>1.278753600952829</v>
      </c>
      <c r="F270" s="89" t="s">
        <v>792</v>
      </c>
      <c r="G270" s="89" t="b">
        <v>0</v>
      </c>
      <c r="H270" s="89" t="b">
        <v>0</v>
      </c>
      <c r="I270" s="89" t="b">
        <v>0</v>
      </c>
      <c r="J270" s="89" t="b">
        <v>0</v>
      </c>
      <c r="K270" s="89" t="b">
        <v>0</v>
      </c>
      <c r="L270" s="89" t="b">
        <v>0</v>
      </c>
    </row>
    <row r="271" spans="1:12" ht="15">
      <c r="A271" s="86" t="s">
        <v>1115</v>
      </c>
      <c r="B271" s="89" t="s">
        <v>1116</v>
      </c>
      <c r="C271" s="89">
        <v>4</v>
      </c>
      <c r="D271" s="111">
        <v>0</v>
      </c>
      <c r="E271" s="111">
        <v>1.278753600952829</v>
      </c>
      <c r="F271" s="89" t="s">
        <v>792</v>
      </c>
      <c r="G271" s="89" t="b">
        <v>0</v>
      </c>
      <c r="H271" s="89" t="b">
        <v>0</v>
      </c>
      <c r="I271" s="89" t="b">
        <v>0</v>
      </c>
      <c r="J271" s="89" t="b">
        <v>0</v>
      </c>
      <c r="K271" s="89" t="b">
        <v>0</v>
      </c>
      <c r="L271" s="89" t="b">
        <v>0</v>
      </c>
    </row>
    <row r="272" spans="1:12" ht="15">
      <c r="A272" s="86" t="s">
        <v>1116</v>
      </c>
      <c r="B272" s="89" t="s">
        <v>295</v>
      </c>
      <c r="C272" s="89">
        <v>4</v>
      </c>
      <c r="D272" s="111">
        <v>0</v>
      </c>
      <c r="E272" s="111">
        <v>1.278753600952829</v>
      </c>
      <c r="F272" s="89" t="s">
        <v>792</v>
      </c>
      <c r="G272" s="89" t="b">
        <v>0</v>
      </c>
      <c r="H272" s="89" t="b">
        <v>0</v>
      </c>
      <c r="I272" s="89" t="b">
        <v>0</v>
      </c>
      <c r="J272" s="89" t="b">
        <v>0</v>
      </c>
      <c r="K272" s="89" t="b">
        <v>0</v>
      </c>
      <c r="L272" s="89" t="b">
        <v>0</v>
      </c>
    </row>
    <row r="273" spans="1:12" ht="15">
      <c r="A273" s="86" t="s">
        <v>295</v>
      </c>
      <c r="B273" s="89" t="s">
        <v>297</v>
      </c>
      <c r="C273" s="89">
        <v>4</v>
      </c>
      <c r="D273" s="111">
        <v>0</v>
      </c>
      <c r="E273" s="111">
        <v>1.278753600952829</v>
      </c>
      <c r="F273" s="89" t="s">
        <v>792</v>
      </c>
      <c r="G273" s="89" t="b">
        <v>0</v>
      </c>
      <c r="H273" s="89" t="b">
        <v>0</v>
      </c>
      <c r="I273" s="89" t="b">
        <v>0</v>
      </c>
      <c r="J273" s="89" t="b">
        <v>0</v>
      </c>
      <c r="K273" s="89" t="b">
        <v>0</v>
      </c>
      <c r="L273" s="89" t="b">
        <v>0</v>
      </c>
    </row>
    <row r="274" spans="1:12" ht="15">
      <c r="A274" s="86" t="s">
        <v>297</v>
      </c>
      <c r="B274" s="89" t="s">
        <v>1117</v>
      </c>
      <c r="C274" s="89">
        <v>4</v>
      </c>
      <c r="D274" s="111">
        <v>0</v>
      </c>
      <c r="E274" s="111">
        <v>1.278753600952829</v>
      </c>
      <c r="F274" s="89" t="s">
        <v>792</v>
      </c>
      <c r="G274" s="89" t="b">
        <v>0</v>
      </c>
      <c r="H274" s="89" t="b">
        <v>0</v>
      </c>
      <c r="I274" s="89" t="b">
        <v>0</v>
      </c>
      <c r="J274" s="89" t="b">
        <v>0</v>
      </c>
      <c r="K274" s="89" t="b">
        <v>0</v>
      </c>
      <c r="L274" s="89" t="b">
        <v>0</v>
      </c>
    </row>
    <row r="275" spans="1:12" ht="15">
      <c r="A275" s="86" t="s">
        <v>1117</v>
      </c>
      <c r="B275" s="89" t="s">
        <v>1118</v>
      </c>
      <c r="C275" s="89">
        <v>4</v>
      </c>
      <c r="D275" s="111">
        <v>0</v>
      </c>
      <c r="E275" s="111">
        <v>1.278753600952829</v>
      </c>
      <c r="F275" s="89" t="s">
        <v>792</v>
      </c>
      <c r="G275" s="89" t="b">
        <v>0</v>
      </c>
      <c r="H275" s="89" t="b">
        <v>0</v>
      </c>
      <c r="I275" s="89" t="b">
        <v>0</v>
      </c>
      <c r="J275" s="89" t="b">
        <v>0</v>
      </c>
      <c r="K275" s="89" t="b">
        <v>0</v>
      </c>
      <c r="L275" s="89" t="b">
        <v>0</v>
      </c>
    </row>
    <row r="276" spans="1:12" ht="15">
      <c r="A276" s="86" t="s">
        <v>1118</v>
      </c>
      <c r="B276" s="89" t="s">
        <v>300</v>
      </c>
      <c r="C276" s="89">
        <v>4</v>
      </c>
      <c r="D276" s="111">
        <v>0</v>
      </c>
      <c r="E276" s="111">
        <v>1.278753600952829</v>
      </c>
      <c r="F276" s="89" t="s">
        <v>792</v>
      </c>
      <c r="G276" s="89" t="b">
        <v>0</v>
      </c>
      <c r="H276" s="89" t="b">
        <v>0</v>
      </c>
      <c r="I276" s="89" t="b">
        <v>0</v>
      </c>
      <c r="J276" s="89" t="b">
        <v>0</v>
      </c>
      <c r="K276" s="89" t="b">
        <v>0</v>
      </c>
      <c r="L276" s="89" t="b">
        <v>0</v>
      </c>
    </row>
    <row r="277" spans="1:12" ht="15">
      <c r="A277" s="86" t="s">
        <v>300</v>
      </c>
      <c r="B277" s="89" t="s">
        <v>1119</v>
      </c>
      <c r="C277" s="89">
        <v>4</v>
      </c>
      <c r="D277" s="111">
        <v>0</v>
      </c>
      <c r="E277" s="111">
        <v>1.278753600952829</v>
      </c>
      <c r="F277" s="89" t="s">
        <v>792</v>
      </c>
      <c r="G277" s="89" t="b">
        <v>0</v>
      </c>
      <c r="H277" s="89" t="b">
        <v>0</v>
      </c>
      <c r="I277" s="89" t="b">
        <v>0</v>
      </c>
      <c r="J277" s="89" t="b">
        <v>0</v>
      </c>
      <c r="K277" s="89" t="b">
        <v>0</v>
      </c>
      <c r="L277" s="89" t="b">
        <v>0</v>
      </c>
    </row>
    <row r="278" spans="1:12" ht="15">
      <c r="A278" s="86" t="s">
        <v>292</v>
      </c>
      <c r="B278" s="89" t="s">
        <v>307</v>
      </c>
      <c r="C278" s="89">
        <v>2</v>
      </c>
      <c r="D278" s="111">
        <v>0.013683181621090055</v>
      </c>
      <c r="E278" s="111">
        <v>1.301029995663981</v>
      </c>
      <c r="F278" s="89" t="s">
        <v>793</v>
      </c>
      <c r="G278" s="89" t="b">
        <v>0</v>
      </c>
      <c r="H278" s="89" t="b">
        <v>0</v>
      </c>
      <c r="I278" s="89" t="b">
        <v>0</v>
      </c>
      <c r="J278" s="89" t="b">
        <v>0</v>
      </c>
      <c r="K278" s="89" t="b">
        <v>0</v>
      </c>
      <c r="L278" s="89" t="b">
        <v>0</v>
      </c>
    </row>
    <row r="279" spans="1:12" ht="15">
      <c r="A279" s="86" t="s">
        <v>307</v>
      </c>
      <c r="B279" s="89" t="s">
        <v>289</v>
      </c>
      <c r="C279" s="89">
        <v>2</v>
      </c>
      <c r="D279" s="111">
        <v>0.013683181621090055</v>
      </c>
      <c r="E279" s="111">
        <v>0.6989700043360187</v>
      </c>
      <c r="F279" s="89" t="s">
        <v>793</v>
      </c>
      <c r="G279" s="89" t="b">
        <v>0</v>
      </c>
      <c r="H279" s="89" t="b">
        <v>0</v>
      </c>
      <c r="I279" s="89" t="b">
        <v>0</v>
      </c>
      <c r="J279" s="89" t="b">
        <v>0</v>
      </c>
      <c r="K279" s="89" t="b">
        <v>0</v>
      </c>
      <c r="L279" s="89" t="b">
        <v>0</v>
      </c>
    </row>
    <row r="280" spans="1:12" ht="15">
      <c r="A280" s="86" t="s">
        <v>307</v>
      </c>
      <c r="B280" s="89" t="s">
        <v>890</v>
      </c>
      <c r="C280" s="89">
        <v>2</v>
      </c>
      <c r="D280" s="111">
        <v>0.013683181621090055</v>
      </c>
      <c r="E280" s="111">
        <v>0.9999999999999999</v>
      </c>
      <c r="F280" s="89" t="s">
        <v>793</v>
      </c>
      <c r="G280" s="89" t="b">
        <v>0</v>
      </c>
      <c r="H280" s="89" t="b">
        <v>0</v>
      </c>
      <c r="I280" s="89" t="b">
        <v>0</v>
      </c>
      <c r="J280" s="89" t="b">
        <v>0</v>
      </c>
      <c r="K280" s="89" t="b">
        <v>0</v>
      </c>
      <c r="L280" s="89" t="b">
        <v>0</v>
      </c>
    </row>
    <row r="281" spans="1:12" ht="15">
      <c r="A281" s="86" t="s">
        <v>890</v>
      </c>
      <c r="B281" s="89" t="s">
        <v>891</v>
      </c>
      <c r="C281" s="89">
        <v>2</v>
      </c>
      <c r="D281" s="111">
        <v>0.013683181621090055</v>
      </c>
      <c r="E281" s="111">
        <v>1.301029995663981</v>
      </c>
      <c r="F281" s="89" t="s">
        <v>793</v>
      </c>
      <c r="G281" s="89" t="b">
        <v>0</v>
      </c>
      <c r="H281" s="89" t="b">
        <v>0</v>
      </c>
      <c r="I281" s="89" t="b">
        <v>0</v>
      </c>
      <c r="J281" s="89" t="b">
        <v>0</v>
      </c>
      <c r="K281" s="89" t="b">
        <v>0</v>
      </c>
      <c r="L281" s="89" t="b">
        <v>0</v>
      </c>
    </row>
    <row r="282" spans="1:12" ht="15">
      <c r="A282" s="86" t="s">
        <v>891</v>
      </c>
      <c r="B282" s="89" t="s">
        <v>892</v>
      </c>
      <c r="C282" s="89">
        <v>2</v>
      </c>
      <c r="D282" s="111">
        <v>0.013683181621090055</v>
      </c>
      <c r="E282" s="111">
        <v>1.301029995663981</v>
      </c>
      <c r="F282" s="89" t="s">
        <v>793</v>
      </c>
      <c r="G282" s="89" t="b">
        <v>0</v>
      </c>
      <c r="H282" s="89" t="b">
        <v>0</v>
      </c>
      <c r="I282" s="89" t="b">
        <v>0</v>
      </c>
      <c r="J282" s="89" t="b">
        <v>0</v>
      </c>
      <c r="K282" s="89" t="b">
        <v>0</v>
      </c>
      <c r="L282" s="89" t="b">
        <v>0</v>
      </c>
    </row>
    <row r="283" spans="1:12" ht="15">
      <c r="A283" s="86" t="s">
        <v>892</v>
      </c>
      <c r="B283" s="89" t="s">
        <v>893</v>
      </c>
      <c r="C283" s="89">
        <v>2</v>
      </c>
      <c r="D283" s="111">
        <v>0.013683181621090055</v>
      </c>
      <c r="E283" s="111">
        <v>1.301029995663981</v>
      </c>
      <c r="F283" s="89" t="s">
        <v>793</v>
      </c>
      <c r="G283" s="89" t="b">
        <v>0</v>
      </c>
      <c r="H283" s="89" t="b">
        <v>0</v>
      </c>
      <c r="I283" s="89" t="b">
        <v>0</v>
      </c>
      <c r="J283" s="89" t="b">
        <v>0</v>
      </c>
      <c r="K283" s="89" t="b">
        <v>0</v>
      </c>
      <c r="L283" s="89" t="b">
        <v>0</v>
      </c>
    </row>
    <row r="284" spans="1:12" ht="15">
      <c r="A284" s="86" t="s">
        <v>893</v>
      </c>
      <c r="B284" s="89" t="s">
        <v>894</v>
      </c>
      <c r="C284" s="89">
        <v>2</v>
      </c>
      <c r="D284" s="111">
        <v>0.013683181621090055</v>
      </c>
      <c r="E284" s="111">
        <v>1.301029995663981</v>
      </c>
      <c r="F284" s="89" t="s">
        <v>793</v>
      </c>
      <c r="G284" s="89" t="b">
        <v>0</v>
      </c>
      <c r="H284" s="89" t="b">
        <v>0</v>
      </c>
      <c r="I284" s="89" t="b">
        <v>0</v>
      </c>
      <c r="J284" s="89" t="b">
        <v>0</v>
      </c>
      <c r="K284" s="89" t="b">
        <v>0</v>
      </c>
      <c r="L284" s="89" t="b">
        <v>0</v>
      </c>
    </row>
    <row r="285" spans="1:12" ht="15">
      <c r="A285" s="86" t="s">
        <v>894</v>
      </c>
      <c r="B285" s="89" t="s">
        <v>895</v>
      </c>
      <c r="C285" s="89">
        <v>2</v>
      </c>
      <c r="D285" s="111">
        <v>0.013683181621090055</v>
      </c>
      <c r="E285" s="111">
        <v>1.301029995663981</v>
      </c>
      <c r="F285" s="89" t="s">
        <v>793</v>
      </c>
      <c r="G285" s="89" t="b">
        <v>0</v>
      </c>
      <c r="H285" s="89" t="b">
        <v>0</v>
      </c>
      <c r="I285" s="89" t="b">
        <v>0</v>
      </c>
      <c r="J285" s="89" t="b">
        <v>0</v>
      </c>
      <c r="K285" s="89" t="b">
        <v>0</v>
      </c>
      <c r="L285" s="89" t="b">
        <v>0</v>
      </c>
    </row>
    <row r="286" spans="1:12" ht="15">
      <c r="A286" s="86" t="s">
        <v>895</v>
      </c>
      <c r="B286" s="89" t="s">
        <v>896</v>
      </c>
      <c r="C286" s="89">
        <v>2</v>
      </c>
      <c r="D286" s="111">
        <v>0.013683181621090055</v>
      </c>
      <c r="E286" s="111">
        <v>1.301029995663981</v>
      </c>
      <c r="F286" s="89" t="s">
        <v>793</v>
      </c>
      <c r="G286" s="89" t="b">
        <v>0</v>
      </c>
      <c r="H286" s="89" t="b">
        <v>0</v>
      </c>
      <c r="I286" s="89" t="b">
        <v>0</v>
      </c>
      <c r="J286" s="89" t="b">
        <v>0</v>
      </c>
      <c r="K286" s="89" t="b">
        <v>0</v>
      </c>
      <c r="L286" s="89" t="b">
        <v>0</v>
      </c>
    </row>
    <row r="287" spans="1:12" ht="15">
      <c r="A287" s="86" t="s">
        <v>896</v>
      </c>
      <c r="B287" s="89" t="s">
        <v>1144</v>
      </c>
      <c r="C287" s="89">
        <v>2</v>
      </c>
      <c r="D287" s="111">
        <v>0.013683181621090055</v>
      </c>
      <c r="E287" s="111">
        <v>1.301029995663981</v>
      </c>
      <c r="F287" s="89" t="s">
        <v>793</v>
      </c>
      <c r="G287" s="89" t="b">
        <v>0</v>
      </c>
      <c r="H287" s="89" t="b">
        <v>0</v>
      </c>
      <c r="I287" s="89" t="b">
        <v>0</v>
      </c>
      <c r="J287" s="89" t="b">
        <v>0</v>
      </c>
      <c r="K287" s="89" t="b">
        <v>0</v>
      </c>
      <c r="L287" s="89" t="b">
        <v>0</v>
      </c>
    </row>
    <row r="288" spans="1:12" ht="15">
      <c r="A288" s="86" t="s">
        <v>1144</v>
      </c>
      <c r="B288" s="89" t="s">
        <v>1145</v>
      </c>
      <c r="C288" s="89">
        <v>2</v>
      </c>
      <c r="D288" s="111">
        <v>0.013683181621090055</v>
      </c>
      <c r="E288" s="111">
        <v>1.301029995663981</v>
      </c>
      <c r="F288" s="89" t="s">
        <v>793</v>
      </c>
      <c r="G288" s="89" t="b">
        <v>0</v>
      </c>
      <c r="H288" s="89" t="b">
        <v>0</v>
      </c>
      <c r="I288" s="89" t="b">
        <v>0</v>
      </c>
      <c r="J288" s="89" t="b">
        <v>0</v>
      </c>
      <c r="K288" s="89" t="b">
        <v>0</v>
      </c>
      <c r="L288" s="89" t="b">
        <v>0</v>
      </c>
    </row>
    <row r="289" spans="1:12" ht="15">
      <c r="A289" s="86" t="s">
        <v>1145</v>
      </c>
      <c r="B289" s="89" t="s">
        <v>1146</v>
      </c>
      <c r="C289" s="89">
        <v>2</v>
      </c>
      <c r="D289" s="111">
        <v>0.013683181621090055</v>
      </c>
      <c r="E289" s="111">
        <v>1.301029995663981</v>
      </c>
      <c r="F289" s="89" t="s">
        <v>793</v>
      </c>
      <c r="G289" s="89" t="b">
        <v>0</v>
      </c>
      <c r="H289" s="89" t="b">
        <v>0</v>
      </c>
      <c r="I289" s="89" t="b">
        <v>0</v>
      </c>
      <c r="J289" s="89" t="b">
        <v>0</v>
      </c>
      <c r="K289" s="89" t="b">
        <v>0</v>
      </c>
      <c r="L289" s="89" t="b">
        <v>0</v>
      </c>
    </row>
    <row r="290" spans="1:12" ht="15">
      <c r="A290" s="86" t="s">
        <v>1146</v>
      </c>
      <c r="B290" s="89" t="s">
        <v>1147</v>
      </c>
      <c r="C290" s="89">
        <v>2</v>
      </c>
      <c r="D290" s="111">
        <v>0.013683181621090055</v>
      </c>
      <c r="E290" s="111">
        <v>1.301029995663981</v>
      </c>
      <c r="F290" s="89" t="s">
        <v>793</v>
      </c>
      <c r="G290" s="89" t="b">
        <v>0</v>
      </c>
      <c r="H290" s="89" t="b">
        <v>0</v>
      </c>
      <c r="I290" s="89" t="b">
        <v>0</v>
      </c>
      <c r="J290" s="89" t="b">
        <v>0</v>
      </c>
      <c r="K290" s="89" t="b">
        <v>0</v>
      </c>
      <c r="L290" s="89" t="b">
        <v>0</v>
      </c>
    </row>
    <row r="291" spans="1:12" ht="15">
      <c r="A291" s="86" t="s">
        <v>1147</v>
      </c>
      <c r="B291" s="89" t="s">
        <v>1148</v>
      </c>
      <c r="C291" s="89">
        <v>2</v>
      </c>
      <c r="D291" s="111">
        <v>0.013683181621090055</v>
      </c>
      <c r="E291" s="111">
        <v>1.301029995663981</v>
      </c>
      <c r="F291" s="89" t="s">
        <v>793</v>
      </c>
      <c r="G291" s="89" t="b">
        <v>0</v>
      </c>
      <c r="H291" s="89" t="b">
        <v>0</v>
      </c>
      <c r="I291" s="89" t="b">
        <v>0</v>
      </c>
      <c r="J291" s="89" t="b">
        <v>0</v>
      </c>
      <c r="K291" s="89" t="b">
        <v>0</v>
      </c>
      <c r="L291" s="89" t="b">
        <v>0</v>
      </c>
    </row>
    <row r="292" spans="1:12" ht="15">
      <c r="A292" s="86" t="s">
        <v>1148</v>
      </c>
      <c r="B292" s="89" t="s">
        <v>1149</v>
      </c>
      <c r="C292" s="89">
        <v>2</v>
      </c>
      <c r="D292" s="111">
        <v>0.013683181621090055</v>
      </c>
      <c r="E292" s="111">
        <v>1.301029995663981</v>
      </c>
      <c r="F292" s="89" t="s">
        <v>793</v>
      </c>
      <c r="G292" s="89" t="b">
        <v>0</v>
      </c>
      <c r="H292" s="89" t="b">
        <v>0</v>
      </c>
      <c r="I292" s="89" t="b">
        <v>0</v>
      </c>
      <c r="J292" s="89" t="b">
        <v>0</v>
      </c>
      <c r="K292" s="89" t="b">
        <v>0</v>
      </c>
      <c r="L292" s="89" t="b">
        <v>0</v>
      </c>
    </row>
    <row r="293" spans="1:12" ht="15">
      <c r="A293" s="86" t="s">
        <v>1149</v>
      </c>
      <c r="B293" s="89" t="s">
        <v>1150</v>
      </c>
      <c r="C293" s="89">
        <v>2</v>
      </c>
      <c r="D293" s="111">
        <v>0.013683181621090055</v>
      </c>
      <c r="E293" s="111">
        <v>1.301029995663981</v>
      </c>
      <c r="F293" s="89" t="s">
        <v>793</v>
      </c>
      <c r="G293" s="89" t="b">
        <v>0</v>
      </c>
      <c r="H293" s="89" t="b">
        <v>0</v>
      </c>
      <c r="I293" s="89" t="b">
        <v>0</v>
      </c>
      <c r="J293" s="89" t="b">
        <v>0</v>
      </c>
      <c r="K293" s="89" t="b">
        <v>0</v>
      </c>
      <c r="L293" s="89" t="b">
        <v>0</v>
      </c>
    </row>
    <row r="294" spans="1:12" ht="15">
      <c r="A294" s="86" t="s">
        <v>1150</v>
      </c>
      <c r="B294" s="89" t="s">
        <v>1151</v>
      </c>
      <c r="C294" s="89">
        <v>2</v>
      </c>
      <c r="D294" s="111">
        <v>0.013683181621090055</v>
      </c>
      <c r="E294" s="111">
        <v>1.301029995663981</v>
      </c>
      <c r="F294" s="89" t="s">
        <v>793</v>
      </c>
      <c r="G294" s="89" t="b">
        <v>0</v>
      </c>
      <c r="H294" s="89" t="b">
        <v>0</v>
      </c>
      <c r="I294" s="89" t="b">
        <v>0</v>
      </c>
      <c r="J294" s="89" t="b">
        <v>0</v>
      </c>
      <c r="K294" s="89" t="b">
        <v>0</v>
      </c>
      <c r="L294" s="89" t="b">
        <v>0</v>
      </c>
    </row>
    <row r="295" spans="1:12" ht="15">
      <c r="A295" s="86" t="s">
        <v>1151</v>
      </c>
      <c r="B295" s="89" t="s">
        <v>289</v>
      </c>
      <c r="C295" s="89">
        <v>2</v>
      </c>
      <c r="D295" s="111">
        <v>0.013683181621090055</v>
      </c>
      <c r="E295" s="111">
        <v>0.9999999999999999</v>
      </c>
      <c r="F295" s="89" t="s">
        <v>793</v>
      </c>
      <c r="G295" s="89" t="b">
        <v>0</v>
      </c>
      <c r="H295" s="89" t="b">
        <v>0</v>
      </c>
      <c r="I295" s="89" t="b">
        <v>0</v>
      </c>
      <c r="J295" s="89" t="b">
        <v>0</v>
      </c>
      <c r="K295" s="89" t="b">
        <v>0</v>
      </c>
      <c r="L295" s="89" t="b">
        <v>0</v>
      </c>
    </row>
    <row r="296" spans="1:12" ht="15">
      <c r="A296" s="86" t="s">
        <v>289</v>
      </c>
      <c r="B296" s="89" t="s">
        <v>1152</v>
      </c>
      <c r="C296" s="89">
        <v>2</v>
      </c>
      <c r="D296" s="111">
        <v>0.013683181621090055</v>
      </c>
      <c r="E296" s="111">
        <v>1.301029995663981</v>
      </c>
      <c r="F296" s="89" t="s">
        <v>793</v>
      </c>
      <c r="G296" s="89" t="b">
        <v>0</v>
      </c>
      <c r="H296" s="89" t="b">
        <v>0</v>
      </c>
      <c r="I296" s="89" t="b">
        <v>0</v>
      </c>
      <c r="J296" s="89" t="b">
        <v>0</v>
      </c>
      <c r="K296" s="89" t="b">
        <v>0</v>
      </c>
      <c r="L296" s="89" t="b">
        <v>0</v>
      </c>
    </row>
    <row r="297" spans="1:12" ht="15">
      <c r="A297" s="86" t="s">
        <v>1152</v>
      </c>
      <c r="B297" s="89" t="s">
        <v>878</v>
      </c>
      <c r="C297" s="89">
        <v>2</v>
      </c>
      <c r="D297" s="111">
        <v>0.013683181621090055</v>
      </c>
      <c r="E297" s="111">
        <v>1.301029995663981</v>
      </c>
      <c r="F297" s="89" t="s">
        <v>793</v>
      </c>
      <c r="G297" s="89" t="b">
        <v>0</v>
      </c>
      <c r="H297" s="89" t="b">
        <v>0</v>
      </c>
      <c r="I297" s="89" t="b">
        <v>0</v>
      </c>
      <c r="J297" s="89" t="b">
        <v>0</v>
      </c>
      <c r="K297" s="89" t="b">
        <v>0</v>
      </c>
      <c r="L297" s="89" t="b">
        <v>0</v>
      </c>
    </row>
    <row r="298" spans="1:12" ht="15">
      <c r="A298" s="86" t="s">
        <v>863</v>
      </c>
      <c r="B298" s="89" t="s">
        <v>864</v>
      </c>
      <c r="C298" s="89">
        <v>7</v>
      </c>
      <c r="D298" s="111">
        <v>0</v>
      </c>
      <c r="E298" s="111">
        <v>0.9030899869919435</v>
      </c>
      <c r="F298" s="89" t="s">
        <v>795</v>
      </c>
      <c r="G298" s="89" t="b">
        <v>0</v>
      </c>
      <c r="H298" s="89" t="b">
        <v>0</v>
      </c>
      <c r="I298" s="89" t="b">
        <v>0</v>
      </c>
      <c r="J298" s="89" t="b">
        <v>0</v>
      </c>
      <c r="K298" s="89" t="b">
        <v>0</v>
      </c>
      <c r="L298" s="89" t="b">
        <v>0</v>
      </c>
    </row>
    <row r="299" spans="1:12" ht="15">
      <c r="A299" s="86" t="s">
        <v>864</v>
      </c>
      <c r="B299" s="89" t="s">
        <v>865</v>
      </c>
      <c r="C299" s="89">
        <v>7</v>
      </c>
      <c r="D299" s="111">
        <v>0</v>
      </c>
      <c r="E299" s="111">
        <v>0.9030899869919435</v>
      </c>
      <c r="F299" s="89" t="s">
        <v>795</v>
      </c>
      <c r="G299" s="89" t="b">
        <v>0</v>
      </c>
      <c r="H299" s="89" t="b">
        <v>0</v>
      </c>
      <c r="I299" s="89" t="b">
        <v>0</v>
      </c>
      <c r="J299" s="89" t="b">
        <v>0</v>
      </c>
      <c r="K299" s="89" t="b">
        <v>1</v>
      </c>
      <c r="L299" s="89" t="b">
        <v>0</v>
      </c>
    </row>
    <row r="300" spans="1:12" ht="15">
      <c r="A300" s="86" t="s">
        <v>865</v>
      </c>
      <c r="B300" s="89" t="s">
        <v>846</v>
      </c>
      <c r="C300" s="89">
        <v>7</v>
      </c>
      <c r="D300" s="111">
        <v>0</v>
      </c>
      <c r="E300" s="111">
        <v>0.9030899869919435</v>
      </c>
      <c r="F300" s="89" t="s">
        <v>795</v>
      </c>
      <c r="G300" s="89" t="b">
        <v>0</v>
      </c>
      <c r="H300" s="89" t="b">
        <v>1</v>
      </c>
      <c r="I300" s="89" t="b">
        <v>0</v>
      </c>
      <c r="J300" s="89" t="b">
        <v>0</v>
      </c>
      <c r="K300" s="89" t="b">
        <v>0</v>
      </c>
      <c r="L300" s="89" t="b">
        <v>0</v>
      </c>
    </row>
    <row r="301" spans="1:12" ht="15">
      <c r="A301" s="86" t="s">
        <v>846</v>
      </c>
      <c r="B301" s="89" t="s">
        <v>877</v>
      </c>
      <c r="C301" s="89">
        <v>7</v>
      </c>
      <c r="D301" s="111">
        <v>0</v>
      </c>
      <c r="E301" s="111">
        <v>0.9030899869919435</v>
      </c>
      <c r="F301" s="89" t="s">
        <v>795</v>
      </c>
      <c r="G301" s="89" t="b">
        <v>0</v>
      </c>
      <c r="H301" s="89" t="b">
        <v>0</v>
      </c>
      <c r="I301" s="89" t="b">
        <v>0</v>
      </c>
      <c r="J301" s="89" t="b">
        <v>0</v>
      </c>
      <c r="K301" s="89" t="b">
        <v>0</v>
      </c>
      <c r="L301" s="89" t="b">
        <v>0</v>
      </c>
    </row>
    <row r="302" spans="1:12" ht="15">
      <c r="A302" s="86" t="s">
        <v>877</v>
      </c>
      <c r="B302" s="89" t="s">
        <v>899</v>
      </c>
      <c r="C302" s="89">
        <v>7</v>
      </c>
      <c r="D302" s="111">
        <v>0</v>
      </c>
      <c r="E302" s="111">
        <v>0.9030899869919435</v>
      </c>
      <c r="F302" s="89" t="s">
        <v>795</v>
      </c>
      <c r="G302" s="89" t="b">
        <v>0</v>
      </c>
      <c r="H302" s="89" t="b">
        <v>0</v>
      </c>
      <c r="I302" s="89" t="b">
        <v>0</v>
      </c>
      <c r="J302" s="89" t="b">
        <v>0</v>
      </c>
      <c r="K302" s="89" t="b">
        <v>0</v>
      </c>
      <c r="L302" s="89" t="b">
        <v>0</v>
      </c>
    </row>
    <row r="303" spans="1:12" ht="15">
      <c r="A303" s="86" t="s">
        <v>899</v>
      </c>
      <c r="B303" s="89" t="s">
        <v>900</v>
      </c>
      <c r="C303" s="89">
        <v>7</v>
      </c>
      <c r="D303" s="111">
        <v>0</v>
      </c>
      <c r="E303" s="111">
        <v>0.9030899869919435</v>
      </c>
      <c r="F303" s="89" t="s">
        <v>795</v>
      </c>
      <c r="G303" s="89" t="b">
        <v>0</v>
      </c>
      <c r="H303" s="89" t="b">
        <v>0</v>
      </c>
      <c r="I303" s="89" t="b">
        <v>0</v>
      </c>
      <c r="J303" s="89" t="b">
        <v>0</v>
      </c>
      <c r="K303" s="89" t="b">
        <v>0</v>
      </c>
      <c r="L303" s="89" t="b">
        <v>0</v>
      </c>
    </row>
    <row r="304" spans="1:12" ht="15">
      <c r="A304" s="86" t="s">
        <v>900</v>
      </c>
      <c r="B304" s="89" t="s">
        <v>901</v>
      </c>
      <c r="C304" s="89">
        <v>7</v>
      </c>
      <c r="D304" s="111">
        <v>0</v>
      </c>
      <c r="E304" s="111">
        <v>0.9030899869919435</v>
      </c>
      <c r="F304" s="89" t="s">
        <v>795</v>
      </c>
      <c r="G304" s="89" t="b">
        <v>0</v>
      </c>
      <c r="H304" s="89" t="b">
        <v>0</v>
      </c>
      <c r="I304" s="89" t="b">
        <v>0</v>
      </c>
      <c r="J304" s="89" t="b">
        <v>0</v>
      </c>
      <c r="K304" s="89" t="b">
        <v>0</v>
      </c>
      <c r="L304" s="89" t="b">
        <v>0</v>
      </c>
    </row>
    <row r="305" spans="1:12" ht="15">
      <c r="A305" s="86" t="s">
        <v>901</v>
      </c>
      <c r="B305" s="89" t="s">
        <v>902</v>
      </c>
      <c r="C305" s="89">
        <v>7</v>
      </c>
      <c r="D305" s="111">
        <v>0</v>
      </c>
      <c r="E305" s="111">
        <v>0.9030899869919435</v>
      </c>
      <c r="F305" s="89" t="s">
        <v>795</v>
      </c>
      <c r="G305" s="89" t="b">
        <v>0</v>
      </c>
      <c r="H305" s="89" t="b">
        <v>0</v>
      </c>
      <c r="I305" s="89" t="b">
        <v>0</v>
      </c>
      <c r="J305" s="89" t="b">
        <v>0</v>
      </c>
      <c r="K305" s="89" t="b">
        <v>0</v>
      </c>
      <c r="L305"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5B74D-21EA-4F1F-89B7-8A051EF3E530}">
  <dimension ref="A1:C16"/>
  <sheetViews>
    <sheetView workbookViewId="0" topLeftCell="A1"/>
  </sheetViews>
  <sheetFormatPr defaultColWidth="9.140625" defaultRowHeight="15"/>
  <cols>
    <col min="3" max="3" width="11.421875" style="0" bestFit="1" customWidth="1"/>
  </cols>
  <sheetData>
    <row r="1" ht="15">
      <c r="C1" s="34" t="s">
        <v>42</v>
      </c>
    </row>
    <row r="2" spans="1:3" ht="15" customHeight="1">
      <c r="A2" s="13" t="s">
        <v>1182</v>
      </c>
      <c r="B2" s="114" t="s">
        <v>1183</v>
      </c>
      <c r="C2" s="54" t="s">
        <v>1184</v>
      </c>
    </row>
    <row r="3" spans="1:3" ht="15">
      <c r="A3" s="113" t="s">
        <v>788</v>
      </c>
      <c r="B3" s="113" t="s">
        <v>788</v>
      </c>
      <c r="C3" s="35">
        <v>24</v>
      </c>
    </row>
    <row r="4" spans="1:3" ht="15">
      <c r="A4" s="113" t="s">
        <v>788</v>
      </c>
      <c r="B4" s="113" t="s">
        <v>789</v>
      </c>
      <c r="C4" s="35">
        <v>12</v>
      </c>
    </row>
    <row r="5" spans="1:3" ht="15">
      <c r="A5" s="113" t="s">
        <v>789</v>
      </c>
      <c r="B5" s="113" t="s">
        <v>788</v>
      </c>
      <c r="C5" s="35">
        <v>14</v>
      </c>
    </row>
    <row r="6" spans="1:3" ht="15">
      <c r="A6" s="113" t="s">
        <v>789</v>
      </c>
      <c r="B6" s="113" t="s">
        <v>789</v>
      </c>
      <c r="C6" s="35">
        <v>22</v>
      </c>
    </row>
    <row r="7" spans="1:3" ht="15">
      <c r="A7" s="113" t="s">
        <v>790</v>
      </c>
      <c r="B7" s="113" t="s">
        <v>790</v>
      </c>
      <c r="C7" s="35">
        <v>6</v>
      </c>
    </row>
    <row r="8" spans="1:3" ht="15">
      <c r="A8" s="113" t="s">
        <v>791</v>
      </c>
      <c r="B8" s="113" t="s">
        <v>791</v>
      </c>
      <c r="C8" s="35">
        <v>6</v>
      </c>
    </row>
    <row r="9" spans="1:3" ht="15">
      <c r="A9" s="113" t="s">
        <v>792</v>
      </c>
      <c r="B9" s="113" t="s">
        <v>789</v>
      </c>
      <c r="C9" s="35">
        <v>4</v>
      </c>
    </row>
    <row r="10" spans="1:3" ht="15">
      <c r="A10" s="113" t="s">
        <v>792</v>
      </c>
      <c r="B10" s="113" t="s">
        <v>792</v>
      </c>
      <c r="C10" s="35">
        <v>13</v>
      </c>
    </row>
    <row r="11" spans="1:3" ht="15">
      <c r="A11" s="113" t="s">
        <v>793</v>
      </c>
      <c r="B11" s="113" t="s">
        <v>788</v>
      </c>
      <c r="C11" s="35">
        <v>4</v>
      </c>
    </row>
    <row r="12" spans="1:3" ht="15">
      <c r="A12" s="113" t="s">
        <v>793</v>
      </c>
      <c r="B12" s="113" t="s">
        <v>793</v>
      </c>
      <c r="C12" s="35">
        <v>7</v>
      </c>
    </row>
    <row r="13" spans="1:3" ht="15">
      <c r="A13" s="113" t="s">
        <v>794</v>
      </c>
      <c r="B13" s="113" t="s">
        <v>788</v>
      </c>
      <c r="C13" s="35">
        <v>1</v>
      </c>
    </row>
    <row r="14" spans="1:3" ht="15">
      <c r="A14" s="113" t="s">
        <v>794</v>
      </c>
      <c r="B14" s="113" t="s">
        <v>789</v>
      </c>
      <c r="C14" s="35">
        <v>1</v>
      </c>
    </row>
    <row r="15" spans="1:3" ht="15">
      <c r="A15" s="113" t="s">
        <v>794</v>
      </c>
      <c r="B15" s="113" t="s">
        <v>794</v>
      </c>
      <c r="C15" s="35">
        <v>3</v>
      </c>
    </row>
    <row r="16" spans="1:3" ht="15">
      <c r="A16" s="113" t="s">
        <v>795</v>
      </c>
      <c r="B16" s="113" t="s">
        <v>795</v>
      </c>
      <c r="C16" s="35">
        <v>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16DCB-4122-4D28-A3B7-083A9A2370E1}">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1203</v>
      </c>
      <c r="B1" s="13" t="s">
        <v>17</v>
      </c>
    </row>
    <row r="2" spans="1:2" ht="15">
      <c r="A2" s="80" t="s">
        <v>1204</v>
      </c>
      <c r="B2" s="80" t="s">
        <v>1210</v>
      </c>
    </row>
    <row r="3" spans="1:2" ht="15">
      <c r="A3" s="81" t="s">
        <v>1205</v>
      </c>
      <c r="B3" s="80" t="s">
        <v>1211</v>
      </c>
    </row>
    <row r="4" spans="1:2" ht="15">
      <c r="A4" s="81" t="s">
        <v>1206</v>
      </c>
      <c r="B4" s="80" t="s">
        <v>1212</v>
      </c>
    </row>
    <row r="5" spans="1:2" ht="15">
      <c r="A5" s="81" t="s">
        <v>1207</v>
      </c>
      <c r="B5" s="80" t="s">
        <v>1213</v>
      </c>
    </row>
    <row r="6" spans="1:2" ht="15">
      <c r="A6" s="81" t="s">
        <v>1208</v>
      </c>
      <c r="B6" s="80" t="s">
        <v>1214</v>
      </c>
    </row>
    <row r="7" spans="1:2" ht="15">
      <c r="A7" s="81" t="s">
        <v>1209</v>
      </c>
      <c r="B7" s="80" t="s">
        <v>1211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37537-7C6F-4CC7-BEC5-AEB3929B2F47}">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1215</v>
      </c>
      <c r="B1" s="13" t="s">
        <v>34</v>
      </c>
    </row>
    <row r="2" spans="1:2" ht="15">
      <c r="A2" s="106" t="s">
        <v>289</v>
      </c>
      <c r="B2" s="80">
        <v>1149.666667</v>
      </c>
    </row>
    <row r="3" spans="1:2" ht="15">
      <c r="A3" s="107" t="s">
        <v>300</v>
      </c>
      <c r="B3" s="80">
        <v>950</v>
      </c>
    </row>
    <row r="4" spans="1:2" ht="15">
      <c r="A4" s="107" t="s">
        <v>257</v>
      </c>
      <c r="B4" s="80">
        <v>264</v>
      </c>
    </row>
    <row r="5" spans="1:2" ht="15">
      <c r="A5" s="107" t="s">
        <v>283</v>
      </c>
      <c r="B5" s="80">
        <v>30</v>
      </c>
    </row>
    <row r="6" spans="1:2" ht="15">
      <c r="A6" s="107" t="s">
        <v>291</v>
      </c>
      <c r="B6" s="80">
        <v>29.333333</v>
      </c>
    </row>
    <row r="7" spans="1:2" ht="15">
      <c r="A7" s="107" t="s">
        <v>273</v>
      </c>
      <c r="B7" s="80">
        <v>28.666667</v>
      </c>
    </row>
    <row r="8" spans="1:2" ht="15">
      <c r="A8" s="107" t="s">
        <v>292</v>
      </c>
      <c r="B8" s="80">
        <v>28.666667</v>
      </c>
    </row>
    <row r="9" spans="1:2" ht="15">
      <c r="A9" s="107" t="s">
        <v>297</v>
      </c>
      <c r="B9" s="80">
        <v>21</v>
      </c>
    </row>
    <row r="10" spans="1:2" ht="15">
      <c r="A10" s="107" t="s">
        <v>296</v>
      </c>
      <c r="B10" s="80">
        <v>21</v>
      </c>
    </row>
    <row r="11" spans="1:2" ht="15">
      <c r="A11" s="107" t="s">
        <v>295</v>
      </c>
      <c r="B11" s="80">
        <v>21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6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8.421875" style="3" customWidth="1"/>
    <col min="33" max="33" width="9.7109375" style="3" customWidth="1"/>
    <col min="34" max="34" width="10.140625" style="3" customWidth="1"/>
    <col min="35" max="35" width="8.28125" style="0" customWidth="1"/>
    <col min="36" max="36" width="8.140625" style="0" customWidth="1"/>
    <col min="37" max="37" width="15.57421875" style="0" customWidth="1"/>
    <col min="38" max="38" width="11.421875" style="0" customWidth="1"/>
    <col min="39" max="39" width="9.28125" style="0" customWidth="1"/>
    <col min="40" max="40" width="6.421875" style="0" customWidth="1"/>
    <col min="41" max="41" width="10.57421875" style="0" customWidth="1"/>
    <col min="42" max="42" width="13.8515625" style="0" customWidth="1"/>
    <col min="43" max="43" width="10.8515625" style="0" customWidth="1"/>
    <col min="44" max="44" width="8.7109375" style="0" customWidth="1"/>
    <col min="45" max="45" width="14.00390625" style="0" customWidth="1"/>
    <col min="46" max="46" width="8.8515625" style="0" customWidth="1"/>
    <col min="47" max="47" width="10.00390625" style="0" customWidth="1"/>
    <col min="48" max="48" width="7.57421875" style="0" customWidth="1"/>
    <col min="49" max="49" width="17.57421875" style="0" customWidth="1"/>
    <col min="50" max="50" width="8.7109375" style="0" customWidth="1"/>
    <col min="51" max="52" width="14.00390625" style="0" customWidth="1"/>
    <col min="53" max="53" width="13.00390625" style="0" customWidth="1"/>
    <col min="54" max="54" width="8.140625" style="0" customWidth="1"/>
    <col min="55" max="55" width="14.7109375" style="0" customWidth="1"/>
    <col min="56" max="56" width="16.28125" style="0" customWidth="1"/>
    <col min="57" max="57" width="15.00390625" style="0" customWidth="1"/>
    <col min="58" max="58" width="16.28125" style="0" customWidth="1"/>
    <col min="59" max="59" width="15.28125" style="0" customWidth="1"/>
    <col min="60" max="60" width="16.28125" style="0" customWidth="1"/>
    <col min="61" max="61" width="14.7109375" style="0" customWidth="1"/>
    <col min="62" max="62" width="16.28125" style="0" customWidth="1"/>
    <col min="63" max="64" width="16.57421875" style="0" customWidth="1"/>
    <col min="65" max="65" width="16.7109375" style="0" customWidth="1"/>
    <col min="66" max="66" width="20.7109375" style="0" customWidth="1"/>
    <col min="67" max="67" width="16.7109375" style="0" customWidth="1"/>
    <col min="68" max="68" width="20.7109375" style="0" customWidth="1"/>
    <col min="69" max="69" width="16.7109375" style="0" customWidth="1"/>
    <col min="70" max="70" width="20.7109375" style="0" customWidth="1"/>
    <col min="71" max="71" width="15.8515625" style="0" customWidth="1"/>
    <col min="72" max="72" width="19.140625" style="0" customWidth="1"/>
    <col min="73" max="73" width="14.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1227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476</v>
      </c>
      <c r="AF2" s="13" t="s">
        <v>477</v>
      </c>
      <c r="AG2" s="13" t="s">
        <v>478</v>
      </c>
      <c r="AH2" s="13" t="s">
        <v>479</v>
      </c>
      <c r="AI2" s="13" t="s">
        <v>480</v>
      </c>
      <c r="AJ2" s="13" t="s">
        <v>481</v>
      </c>
      <c r="AK2" s="13" t="s">
        <v>482</v>
      </c>
      <c r="AL2" s="13" t="s">
        <v>483</v>
      </c>
      <c r="AM2" s="13" t="s">
        <v>484</v>
      </c>
      <c r="AN2" s="13" t="s">
        <v>485</v>
      </c>
      <c r="AO2" s="13" t="s">
        <v>486</v>
      </c>
      <c r="AP2" s="13" t="s">
        <v>487</v>
      </c>
      <c r="AQ2" s="13" t="s">
        <v>488</v>
      </c>
      <c r="AR2" s="13" t="s">
        <v>489</v>
      </c>
      <c r="AS2" s="13" t="s">
        <v>490</v>
      </c>
      <c r="AT2" s="13" t="s">
        <v>491</v>
      </c>
      <c r="AU2" s="13" t="s">
        <v>231</v>
      </c>
      <c r="AV2" s="13" t="s">
        <v>492</v>
      </c>
      <c r="AW2" s="13" t="s">
        <v>493</v>
      </c>
      <c r="AX2" s="13" t="s">
        <v>494</v>
      </c>
      <c r="AY2" s="13" t="s">
        <v>495</v>
      </c>
      <c r="AZ2" s="13" t="s">
        <v>496</v>
      </c>
      <c r="BA2" s="13" t="s">
        <v>497</v>
      </c>
      <c r="BB2" s="13" t="s">
        <v>804</v>
      </c>
      <c r="BC2" s="108" t="s">
        <v>1015</v>
      </c>
      <c r="BD2" s="108" t="s">
        <v>1016</v>
      </c>
      <c r="BE2" s="108" t="s">
        <v>1017</v>
      </c>
      <c r="BF2" s="108" t="s">
        <v>1018</v>
      </c>
      <c r="BG2" s="108" t="s">
        <v>1019</v>
      </c>
      <c r="BH2" s="108" t="s">
        <v>1020</v>
      </c>
      <c r="BI2" s="108" t="s">
        <v>1021</v>
      </c>
      <c r="BJ2" s="108" t="s">
        <v>1037</v>
      </c>
      <c r="BK2" s="108" t="s">
        <v>1041</v>
      </c>
      <c r="BL2" s="108" t="s">
        <v>1057</v>
      </c>
      <c r="BM2" s="108" t="s">
        <v>1171</v>
      </c>
      <c r="BN2" s="108" t="s">
        <v>1172</v>
      </c>
      <c r="BO2" s="108" t="s">
        <v>1173</v>
      </c>
      <c r="BP2" s="108" t="s">
        <v>1174</v>
      </c>
      <c r="BQ2" s="108" t="s">
        <v>1175</v>
      </c>
      <c r="BR2" s="108" t="s">
        <v>1176</v>
      </c>
      <c r="BS2" s="108" t="s">
        <v>1177</v>
      </c>
      <c r="BT2" s="108" t="s">
        <v>1178</v>
      </c>
      <c r="BU2" s="108" t="s">
        <v>1180</v>
      </c>
      <c r="BV2" s="3"/>
      <c r="BW2" s="3"/>
    </row>
    <row r="3" spans="1:75" ht="41.45" customHeight="1">
      <c r="A3" s="66" t="s">
        <v>251</v>
      </c>
      <c r="C3" s="67"/>
      <c r="D3" s="67" t="s">
        <v>64</v>
      </c>
      <c r="E3" s="68">
        <v>185.92443150095818</v>
      </c>
      <c r="F3" s="70">
        <v>99.87351870256394</v>
      </c>
      <c r="G3" s="104" t="str">
        <f>HYPERLINK("https://pbs.twimg.com/profile_images/1351247926996201475/NJEQcQ_v_normal.jpg")</f>
        <v>https://pbs.twimg.com/profile_images/1351247926996201475/NJEQcQ_v_normal.jpg</v>
      </c>
      <c r="H3" s="67"/>
      <c r="I3" s="71" t="s">
        <v>251</v>
      </c>
      <c r="J3" s="72"/>
      <c r="K3" s="72"/>
      <c r="L3" s="71" t="s">
        <v>786</v>
      </c>
      <c r="M3" s="75">
        <v>43.15200039219007</v>
      </c>
      <c r="N3" s="76">
        <v>4614.93212890625</v>
      </c>
      <c r="O3" s="76">
        <v>7221.6015625</v>
      </c>
      <c r="P3" s="77"/>
      <c r="Q3" s="78"/>
      <c r="R3" s="78"/>
      <c r="S3" s="49"/>
      <c r="T3" s="49">
        <v>0</v>
      </c>
      <c r="U3" s="49">
        <v>3</v>
      </c>
      <c r="V3" s="50">
        <v>0</v>
      </c>
      <c r="W3" s="50">
        <v>0.010638</v>
      </c>
      <c r="X3" s="50">
        <v>0.026463</v>
      </c>
      <c r="Y3" s="50">
        <v>0.721992</v>
      </c>
      <c r="Z3" s="50">
        <v>0.8333333333333334</v>
      </c>
      <c r="AA3" s="50">
        <v>0</v>
      </c>
      <c r="AB3" s="73">
        <v>3</v>
      </c>
      <c r="AC3" s="73"/>
      <c r="AD3" s="74"/>
      <c r="AE3" s="80" t="s">
        <v>560</v>
      </c>
      <c r="AF3" s="89" t="s">
        <v>619</v>
      </c>
      <c r="AG3" s="80">
        <v>2937</v>
      </c>
      <c r="AH3" s="80">
        <v>1902</v>
      </c>
      <c r="AI3" s="80">
        <v>5264</v>
      </c>
      <c r="AJ3" s="80">
        <v>17583</v>
      </c>
      <c r="AK3" s="80"/>
      <c r="AL3" s="80" t="s">
        <v>681</v>
      </c>
      <c r="AM3" s="80" t="s">
        <v>722</v>
      </c>
      <c r="AN3" s="80"/>
      <c r="AO3" s="80"/>
      <c r="AP3" s="82">
        <v>42076.95214120371</v>
      </c>
      <c r="AQ3" s="85" t="str">
        <f>HYPERLINK("https://pbs.twimg.com/profile_banners/3078395160/1617482510")</f>
        <v>https://pbs.twimg.com/profile_banners/3078395160/1617482510</v>
      </c>
      <c r="AR3" s="80" t="b">
        <v>0</v>
      </c>
      <c r="AS3" s="80" t="b">
        <v>0</v>
      </c>
      <c r="AT3" s="80" t="b">
        <v>1</v>
      </c>
      <c r="AU3" s="80"/>
      <c r="AV3" s="80">
        <v>8</v>
      </c>
      <c r="AW3" s="85" t="str">
        <f>HYPERLINK("https://abs.twimg.com/images/themes/theme7/bg.gif")</f>
        <v>https://abs.twimg.com/images/themes/theme7/bg.gif</v>
      </c>
      <c r="AX3" s="80" t="b">
        <v>0</v>
      </c>
      <c r="AY3" s="80" t="s">
        <v>723</v>
      </c>
      <c r="AZ3" s="85" t="str">
        <f>HYPERLINK("https://twitter.com/aaliya_uk")</f>
        <v>https://twitter.com/aaliya_uk</v>
      </c>
      <c r="BA3" s="80" t="s">
        <v>66</v>
      </c>
      <c r="BB3" s="80" t="str">
        <f>REPLACE(INDEX(GroupVertices[Group],MATCH(Vertices[[#This Row],[Vertex]],GroupVertices[Vertex],0)),1,1,"")</f>
        <v>2</v>
      </c>
      <c r="BC3" s="49" t="s">
        <v>809</v>
      </c>
      <c r="BD3" s="49" t="s">
        <v>809</v>
      </c>
      <c r="BE3" s="49" t="s">
        <v>337</v>
      </c>
      <c r="BF3" s="49" t="s">
        <v>337</v>
      </c>
      <c r="BG3" s="49"/>
      <c r="BH3" s="49"/>
      <c r="BI3" s="109" t="s">
        <v>1022</v>
      </c>
      <c r="BJ3" s="109" t="s">
        <v>1022</v>
      </c>
      <c r="BK3" s="109" t="s">
        <v>1042</v>
      </c>
      <c r="BL3" s="109" t="s">
        <v>1042</v>
      </c>
      <c r="BM3" s="109">
        <v>2</v>
      </c>
      <c r="BN3" s="112">
        <v>5</v>
      </c>
      <c r="BO3" s="109">
        <v>0</v>
      </c>
      <c r="BP3" s="112">
        <v>0</v>
      </c>
      <c r="BQ3" s="109">
        <v>0</v>
      </c>
      <c r="BR3" s="112">
        <v>0</v>
      </c>
      <c r="BS3" s="109">
        <v>38</v>
      </c>
      <c r="BT3" s="112">
        <v>95</v>
      </c>
      <c r="BU3" s="109">
        <v>40</v>
      </c>
      <c r="BV3" s="3"/>
      <c r="BW3" s="3"/>
    </row>
    <row r="4" spans="1:78" ht="41.45" customHeight="1">
      <c r="A4" s="66" t="s">
        <v>300</v>
      </c>
      <c r="C4" s="67"/>
      <c r="D4" s="67" t="s">
        <v>64</v>
      </c>
      <c r="E4" s="68">
        <v>1000</v>
      </c>
      <c r="F4" s="70">
        <v>70</v>
      </c>
      <c r="G4" s="104" t="str">
        <f>HYPERLINK("https://pbs.twimg.com/profile_images/1347267264958095361/s9MBwtY2_normal.png")</f>
        <v>https://pbs.twimg.com/profile_images/1347267264958095361/s9MBwtY2_normal.png</v>
      </c>
      <c r="H4" s="67"/>
      <c r="I4" s="71" t="s">
        <v>300</v>
      </c>
      <c r="J4" s="72"/>
      <c r="K4" s="72"/>
      <c r="L4" s="71" t="s">
        <v>724</v>
      </c>
      <c r="M4" s="75">
        <v>9999</v>
      </c>
      <c r="N4" s="76">
        <v>4096.74169921875</v>
      </c>
      <c r="O4" s="76">
        <v>5229.26806640625</v>
      </c>
      <c r="P4" s="77"/>
      <c r="Q4" s="78"/>
      <c r="R4" s="78"/>
      <c r="S4" s="90"/>
      <c r="T4" s="49">
        <v>31</v>
      </c>
      <c r="U4" s="49">
        <v>1</v>
      </c>
      <c r="V4" s="50">
        <v>950</v>
      </c>
      <c r="W4" s="50">
        <v>0.016129</v>
      </c>
      <c r="X4" s="50">
        <v>0.088864</v>
      </c>
      <c r="Y4" s="50">
        <v>6.971024</v>
      </c>
      <c r="Z4" s="50">
        <v>0.043010752688172046</v>
      </c>
      <c r="AA4" s="50">
        <v>0.03225806451612903</v>
      </c>
      <c r="AB4" s="73">
        <v>4</v>
      </c>
      <c r="AC4" s="73"/>
      <c r="AD4" s="74"/>
      <c r="AE4" s="80" t="s">
        <v>498</v>
      </c>
      <c r="AF4" s="89" t="s">
        <v>561</v>
      </c>
      <c r="AG4" s="80">
        <v>6847</v>
      </c>
      <c r="AH4" s="80">
        <v>448772</v>
      </c>
      <c r="AI4" s="80">
        <v>69466</v>
      </c>
      <c r="AJ4" s="80">
        <v>12623</v>
      </c>
      <c r="AK4" s="80"/>
      <c r="AL4" s="80" t="s">
        <v>620</v>
      </c>
      <c r="AM4" s="80" t="s">
        <v>682</v>
      </c>
      <c r="AN4" s="85" t="str">
        <f>HYPERLINK("https://t.co/dSjGXvF8Bg")</f>
        <v>https://t.co/dSjGXvF8Bg</v>
      </c>
      <c r="AO4" s="80"/>
      <c r="AP4" s="82">
        <v>39745.57672453704</v>
      </c>
      <c r="AQ4" s="85" t="str">
        <f>HYPERLINK("https://pbs.twimg.com/profile_banners/16949344/1406283080")</f>
        <v>https://pbs.twimg.com/profile_banners/16949344/1406283080</v>
      </c>
      <c r="AR4" s="80" t="b">
        <v>0</v>
      </c>
      <c r="AS4" s="80" t="b">
        <v>0</v>
      </c>
      <c r="AT4" s="80" t="b">
        <v>1</v>
      </c>
      <c r="AU4" s="80"/>
      <c r="AV4" s="80">
        <v>5936</v>
      </c>
      <c r="AW4" s="85" t="str">
        <f>HYPERLINK("https://abs.twimg.com/images/themes/theme1/bg.png")</f>
        <v>https://abs.twimg.com/images/themes/theme1/bg.png</v>
      </c>
      <c r="AX4" s="80" t="b">
        <v>1</v>
      </c>
      <c r="AY4" s="80" t="s">
        <v>723</v>
      </c>
      <c r="AZ4" s="85" t="str">
        <f>HYPERLINK("https://twitter.com/bmj_latest")</f>
        <v>https://twitter.com/bmj_latest</v>
      </c>
      <c r="BA4" s="80" t="s">
        <v>66</v>
      </c>
      <c r="BB4" s="80" t="str">
        <f>REPLACE(INDEX(GroupVertices[Group],MATCH(Vertices[[#This Row],[Vertex]],GroupVertices[Vertex],0)),1,1,"")</f>
        <v>2</v>
      </c>
      <c r="BC4" s="49" t="s">
        <v>810</v>
      </c>
      <c r="BD4" s="49" t="s">
        <v>810</v>
      </c>
      <c r="BE4" s="49" t="s">
        <v>337</v>
      </c>
      <c r="BF4" s="49" t="s">
        <v>337</v>
      </c>
      <c r="BG4" s="49"/>
      <c r="BH4" s="49"/>
      <c r="BI4" s="109" t="s">
        <v>1023</v>
      </c>
      <c r="BJ4" s="109" t="s">
        <v>1038</v>
      </c>
      <c r="BK4" s="109" t="s">
        <v>1043</v>
      </c>
      <c r="BL4" s="109" t="s">
        <v>1046</v>
      </c>
      <c r="BM4" s="109">
        <v>5</v>
      </c>
      <c r="BN4" s="112">
        <v>7.142857142857143</v>
      </c>
      <c r="BO4" s="109">
        <v>1</v>
      </c>
      <c r="BP4" s="112">
        <v>1.4285714285714286</v>
      </c>
      <c r="BQ4" s="109">
        <v>0</v>
      </c>
      <c r="BR4" s="112">
        <v>0</v>
      </c>
      <c r="BS4" s="109">
        <v>64</v>
      </c>
      <c r="BT4" s="112">
        <v>91.42857142857143</v>
      </c>
      <c r="BU4" s="109">
        <v>70</v>
      </c>
      <c r="BV4" s="2"/>
      <c r="BW4" s="3"/>
      <c r="BX4" s="3"/>
      <c r="BY4" s="3"/>
      <c r="BZ4" s="3"/>
    </row>
    <row r="5" spans="1:78" ht="41.45" customHeight="1">
      <c r="A5" s="66" t="s">
        <v>289</v>
      </c>
      <c r="C5" s="67"/>
      <c r="D5" s="67" t="s">
        <v>64</v>
      </c>
      <c r="E5" s="68">
        <v>502.7334731632237</v>
      </c>
      <c r="F5" s="70">
        <v>98.19864427023678</v>
      </c>
      <c r="G5" s="104" t="str">
        <f>HYPERLINK("https://pbs.twimg.com/profile_images/1112065617438355458/Kl1aYTIX_normal.jpg")</f>
        <v>https://pbs.twimg.com/profile_images/1112065617438355458/Kl1aYTIX_normal.jpg</v>
      </c>
      <c r="H5" s="67"/>
      <c r="I5" s="71" t="s">
        <v>289</v>
      </c>
      <c r="J5" s="72"/>
      <c r="K5" s="72"/>
      <c r="L5" s="71" t="s">
        <v>725</v>
      </c>
      <c r="M5" s="75">
        <v>601.3318195390875</v>
      </c>
      <c r="N5" s="76">
        <v>1533.6068115234375</v>
      </c>
      <c r="O5" s="76">
        <v>4901.00537109375</v>
      </c>
      <c r="P5" s="77"/>
      <c r="Q5" s="78"/>
      <c r="R5" s="78"/>
      <c r="S5" s="90"/>
      <c r="T5" s="49">
        <v>34</v>
      </c>
      <c r="U5" s="49">
        <v>3</v>
      </c>
      <c r="V5" s="50">
        <v>1149.666667</v>
      </c>
      <c r="W5" s="50">
        <v>0.016949</v>
      </c>
      <c r="X5" s="50">
        <v>0.092756</v>
      </c>
      <c r="Y5" s="50">
        <v>7.744938</v>
      </c>
      <c r="Z5" s="50">
        <v>0.0338680926916221</v>
      </c>
      <c r="AA5" s="50">
        <v>0.08823529411764706</v>
      </c>
      <c r="AB5" s="73">
        <v>5</v>
      </c>
      <c r="AC5" s="73"/>
      <c r="AD5" s="74"/>
      <c r="AE5" s="80" t="s">
        <v>499</v>
      </c>
      <c r="AF5" s="89" t="s">
        <v>562</v>
      </c>
      <c r="AG5" s="80">
        <v>503</v>
      </c>
      <c r="AH5" s="80">
        <v>26956</v>
      </c>
      <c r="AI5" s="80">
        <v>12861</v>
      </c>
      <c r="AJ5" s="80">
        <v>21559</v>
      </c>
      <c r="AK5" s="80"/>
      <c r="AL5" s="80" t="s">
        <v>621</v>
      </c>
      <c r="AM5" s="80" t="s">
        <v>683</v>
      </c>
      <c r="AN5" s="85" t="str">
        <f>HYPERLINK("https://t.co/fRkaRT0NP2")</f>
        <v>https://t.co/fRkaRT0NP2</v>
      </c>
      <c r="AO5" s="80"/>
      <c r="AP5" s="82">
        <v>41394.69797453703</v>
      </c>
      <c r="AQ5" s="85" t="str">
        <f>HYPERLINK("https://pbs.twimg.com/profile_banners/1392483492/1559142458")</f>
        <v>https://pbs.twimg.com/profile_banners/1392483492/1559142458</v>
      </c>
      <c r="AR5" s="80" t="b">
        <v>1</v>
      </c>
      <c r="AS5" s="80" t="b">
        <v>0</v>
      </c>
      <c r="AT5" s="80" t="b">
        <v>0</v>
      </c>
      <c r="AU5" s="80"/>
      <c r="AV5" s="80">
        <v>428</v>
      </c>
      <c r="AW5" s="85" t="str">
        <f>HYPERLINK("https://abs.twimg.com/images/themes/theme1/bg.png")</f>
        <v>https://abs.twimg.com/images/themes/theme1/bg.png</v>
      </c>
      <c r="AX5" s="80" t="b">
        <v>1</v>
      </c>
      <c r="AY5" s="80" t="s">
        <v>723</v>
      </c>
      <c r="AZ5" s="85" t="str">
        <f>HYPERLINK("https://twitter.com/apsmunro")</f>
        <v>https://twitter.com/apsmunro</v>
      </c>
      <c r="BA5" s="80" t="s">
        <v>66</v>
      </c>
      <c r="BB5" s="80" t="str">
        <f>REPLACE(INDEX(GroupVertices[Group],MATCH(Vertices[[#This Row],[Vertex]],GroupVertices[Vertex],0)),1,1,"")</f>
        <v>1</v>
      </c>
      <c r="BC5" s="49" t="s">
        <v>809</v>
      </c>
      <c r="BD5" s="49" t="s">
        <v>809</v>
      </c>
      <c r="BE5" s="49" t="s">
        <v>337</v>
      </c>
      <c r="BF5" s="49" t="s">
        <v>337</v>
      </c>
      <c r="BG5" s="49" t="s">
        <v>339</v>
      </c>
      <c r="BH5" s="49" t="s">
        <v>339</v>
      </c>
      <c r="BI5" s="109" t="s">
        <v>1024</v>
      </c>
      <c r="BJ5" s="109" t="s">
        <v>1039</v>
      </c>
      <c r="BK5" s="109" t="s">
        <v>1044</v>
      </c>
      <c r="BL5" s="109" t="s">
        <v>1045</v>
      </c>
      <c r="BM5" s="109">
        <v>3</v>
      </c>
      <c r="BN5" s="112">
        <v>4.054054054054054</v>
      </c>
      <c r="BO5" s="109">
        <v>1</v>
      </c>
      <c r="BP5" s="112">
        <v>1.3513513513513513</v>
      </c>
      <c r="BQ5" s="109">
        <v>0</v>
      </c>
      <c r="BR5" s="112">
        <v>0</v>
      </c>
      <c r="BS5" s="109">
        <v>70</v>
      </c>
      <c r="BT5" s="112">
        <v>94.5945945945946</v>
      </c>
      <c r="BU5" s="109">
        <v>74</v>
      </c>
      <c r="BV5" s="2"/>
      <c r="BW5" s="3"/>
      <c r="BX5" s="3"/>
      <c r="BY5" s="3"/>
      <c r="BZ5" s="3"/>
    </row>
    <row r="6" spans="1:78" ht="41.45" customHeight="1">
      <c r="A6" s="66" t="s">
        <v>290</v>
      </c>
      <c r="C6" s="67"/>
      <c r="D6" s="67" t="s">
        <v>64</v>
      </c>
      <c r="E6" s="68">
        <v>327.89038946145376</v>
      </c>
      <c r="F6" s="70">
        <v>99.12298724045262</v>
      </c>
      <c r="G6" s="104" t="str">
        <f>HYPERLINK("https://pbs.twimg.com/profile_images/1368649481000992772/wv7dIPgZ_normal.jpg")</f>
        <v>https://pbs.twimg.com/profile_images/1368649481000992772/wv7dIPgZ_normal.jpg</v>
      </c>
      <c r="H6" s="67"/>
      <c r="I6" s="71" t="s">
        <v>290</v>
      </c>
      <c r="J6" s="72"/>
      <c r="K6" s="72"/>
      <c r="L6" s="71" t="s">
        <v>726</v>
      </c>
      <c r="M6" s="75">
        <v>293.2791189984892</v>
      </c>
      <c r="N6" s="76">
        <v>4786.6982421875</v>
      </c>
      <c r="O6" s="76">
        <v>4469.79443359375</v>
      </c>
      <c r="P6" s="77"/>
      <c r="Q6" s="78"/>
      <c r="R6" s="78"/>
      <c r="S6" s="90"/>
      <c r="T6" s="49">
        <v>7</v>
      </c>
      <c r="U6" s="49">
        <v>2</v>
      </c>
      <c r="V6" s="50">
        <v>10</v>
      </c>
      <c r="W6" s="50">
        <v>0.011236</v>
      </c>
      <c r="X6" s="50">
        <v>0.040546</v>
      </c>
      <c r="Y6" s="50">
        <v>1.762148</v>
      </c>
      <c r="Z6" s="50">
        <v>0.25</v>
      </c>
      <c r="AA6" s="50">
        <v>0.125</v>
      </c>
      <c r="AB6" s="73">
        <v>6</v>
      </c>
      <c r="AC6" s="73"/>
      <c r="AD6" s="74"/>
      <c r="AE6" s="80" t="s">
        <v>500</v>
      </c>
      <c r="AF6" s="89" t="s">
        <v>563</v>
      </c>
      <c r="AG6" s="80">
        <v>14093</v>
      </c>
      <c r="AH6" s="80">
        <v>13129</v>
      </c>
      <c r="AI6" s="80">
        <v>39435</v>
      </c>
      <c r="AJ6" s="80">
        <v>32497</v>
      </c>
      <c r="AK6" s="80"/>
      <c r="AL6" s="80" t="s">
        <v>622</v>
      </c>
      <c r="AM6" s="80" t="s">
        <v>684</v>
      </c>
      <c r="AN6" s="85" t="str">
        <f>HYPERLINK("https://t.co/DidIHMKsxk")</f>
        <v>https://t.co/DidIHMKsxk</v>
      </c>
      <c r="AO6" s="80"/>
      <c r="AP6" s="82">
        <v>41326.92630787037</v>
      </c>
      <c r="AQ6" s="85" t="str">
        <f>HYPERLINK("https://pbs.twimg.com/profile_banners/1206145507/1603039426")</f>
        <v>https://pbs.twimg.com/profile_banners/1206145507/1603039426</v>
      </c>
      <c r="AR6" s="80" t="b">
        <v>0</v>
      </c>
      <c r="AS6" s="80" t="b">
        <v>0</v>
      </c>
      <c r="AT6" s="80" t="b">
        <v>1</v>
      </c>
      <c r="AU6" s="80"/>
      <c r="AV6" s="80">
        <v>344</v>
      </c>
      <c r="AW6" s="85" t="str">
        <f>HYPERLINK("https://abs.twimg.com/images/themes/theme1/bg.png")</f>
        <v>https://abs.twimg.com/images/themes/theme1/bg.png</v>
      </c>
      <c r="AX6" s="80" t="b">
        <v>0</v>
      </c>
      <c r="AY6" s="80" t="s">
        <v>723</v>
      </c>
      <c r="AZ6" s="85" t="str">
        <f>HYPERLINK("https://twitter.com/gmacscotland")</f>
        <v>https://twitter.com/gmacscotland</v>
      </c>
      <c r="BA6" s="80" t="s">
        <v>66</v>
      </c>
      <c r="BB6" s="80" t="str">
        <f>REPLACE(INDEX(GroupVertices[Group],MATCH(Vertices[[#This Row],[Vertex]],GroupVertices[Vertex],0)),1,1,"")</f>
        <v>2</v>
      </c>
      <c r="BC6" s="49" t="s">
        <v>809</v>
      </c>
      <c r="BD6" s="49" t="s">
        <v>809</v>
      </c>
      <c r="BE6" s="49" t="s">
        <v>337</v>
      </c>
      <c r="BF6" s="49" t="s">
        <v>337</v>
      </c>
      <c r="BG6" s="49"/>
      <c r="BH6" s="49"/>
      <c r="BI6" s="109" t="s">
        <v>1022</v>
      </c>
      <c r="BJ6" s="109" t="s">
        <v>1022</v>
      </c>
      <c r="BK6" s="109" t="s">
        <v>1042</v>
      </c>
      <c r="BL6" s="109" t="s">
        <v>1042</v>
      </c>
      <c r="BM6" s="109">
        <v>2</v>
      </c>
      <c r="BN6" s="112">
        <v>5</v>
      </c>
      <c r="BO6" s="109">
        <v>0</v>
      </c>
      <c r="BP6" s="112">
        <v>0</v>
      </c>
      <c r="BQ6" s="109">
        <v>0</v>
      </c>
      <c r="BR6" s="112">
        <v>0</v>
      </c>
      <c r="BS6" s="109">
        <v>38</v>
      </c>
      <c r="BT6" s="112">
        <v>95</v>
      </c>
      <c r="BU6" s="109">
        <v>40</v>
      </c>
      <c r="BV6" s="2"/>
      <c r="BW6" s="3"/>
      <c r="BX6" s="3"/>
      <c r="BY6" s="3"/>
      <c r="BZ6" s="3"/>
    </row>
    <row r="7" spans="1:78" ht="41.45" customHeight="1">
      <c r="A7" s="66" t="s">
        <v>252</v>
      </c>
      <c r="C7" s="67"/>
      <c r="D7" s="67" t="s">
        <v>64</v>
      </c>
      <c r="E7" s="68">
        <v>775.3354257518372</v>
      </c>
      <c r="F7" s="70">
        <v>96.75747946573017</v>
      </c>
      <c r="G7" s="104" t="str">
        <f>HYPERLINK("https://pbs.twimg.com/profile_images/1349355243537104902/JxkYLf1U_normal.jpg")</f>
        <v>https://pbs.twimg.com/profile_images/1349355243537104902/JxkYLf1U_normal.jpg</v>
      </c>
      <c r="H7" s="67"/>
      <c r="I7" s="71" t="s">
        <v>252</v>
      </c>
      <c r="J7" s="72"/>
      <c r="K7" s="72"/>
      <c r="L7" s="71" t="s">
        <v>727</v>
      </c>
      <c r="M7" s="75">
        <v>1081.6240100543273</v>
      </c>
      <c r="N7" s="76">
        <v>5135.65283203125</v>
      </c>
      <c r="O7" s="76">
        <v>7373.36572265625</v>
      </c>
      <c r="P7" s="77"/>
      <c r="Q7" s="78"/>
      <c r="R7" s="78"/>
      <c r="S7" s="90"/>
      <c r="T7" s="49">
        <v>0</v>
      </c>
      <c r="U7" s="49">
        <v>3</v>
      </c>
      <c r="V7" s="50">
        <v>0</v>
      </c>
      <c r="W7" s="50">
        <v>0.010638</v>
      </c>
      <c r="X7" s="50">
        <v>0.026463</v>
      </c>
      <c r="Y7" s="50">
        <v>0.721992</v>
      </c>
      <c r="Z7" s="50">
        <v>0.8333333333333334</v>
      </c>
      <c r="AA7" s="50">
        <v>0</v>
      </c>
      <c r="AB7" s="73">
        <v>7</v>
      </c>
      <c r="AC7" s="73"/>
      <c r="AD7" s="74"/>
      <c r="AE7" s="80" t="s">
        <v>501</v>
      </c>
      <c r="AF7" s="89" t="s">
        <v>564</v>
      </c>
      <c r="AG7" s="80">
        <v>13603</v>
      </c>
      <c r="AH7" s="80">
        <v>48514</v>
      </c>
      <c r="AI7" s="80">
        <v>224376</v>
      </c>
      <c r="AJ7" s="80">
        <v>88205</v>
      </c>
      <c r="AK7" s="80"/>
      <c r="AL7" s="80" t="s">
        <v>623</v>
      </c>
      <c r="AM7" s="80" t="s">
        <v>685</v>
      </c>
      <c r="AN7" s="85" t="str">
        <f>HYPERLINK("https://t.co/l7PhpQ0Xkn")</f>
        <v>https://t.co/l7PhpQ0Xkn</v>
      </c>
      <c r="AO7" s="80"/>
      <c r="AP7" s="82">
        <v>39906.88859953704</v>
      </c>
      <c r="AQ7" s="85" t="str">
        <f>HYPERLINK("https://pbs.twimg.com/profile_banners/28655732/1584704024")</f>
        <v>https://pbs.twimg.com/profile_banners/28655732/1584704024</v>
      </c>
      <c r="AR7" s="80" t="b">
        <v>0</v>
      </c>
      <c r="AS7" s="80" t="b">
        <v>0</v>
      </c>
      <c r="AT7" s="80" t="b">
        <v>1</v>
      </c>
      <c r="AU7" s="80"/>
      <c r="AV7" s="80">
        <v>1702</v>
      </c>
      <c r="AW7" s="85" t="str">
        <f>HYPERLINK("https://abs.twimg.com/images/themes/theme9/bg.gif")</f>
        <v>https://abs.twimg.com/images/themes/theme9/bg.gif</v>
      </c>
      <c r="AX7" s="80" t="b">
        <v>1</v>
      </c>
      <c r="AY7" s="80" t="s">
        <v>723</v>
      </c>
      <c r="AZ7" s="85" t="str">
        <f>HYPERLINK("https://twitter.com/juliomayol")</f>
        <v>https://twitter.com/juliomayol</v>
      </c>
      <c r="BA7" s="80" t="s">
        <v>66</v>
      </c>
      <c r="BB7" s="80" t="str">
        <f>REPLACE(INDEX(GroupVertices[Group],MATCH(Vertices[[#This Row],[Vertex]],GroupVertices[Vertex],0)),1,1,"")</f>
        <v>2</v>
      </c>
      <c r="BC7" s="49" t="s">
        <v>809</v>
      </c>
      <c r="BD7" s="49" t="s">
        <v>809</v>
      </c>
      <c r="BE7" s="49" t="s">
        <v>337</v>
      </c>
      <c r="BF7" s="49" t="s">
        <v>337</v>
      </c>
      <c r="BG7" s="49"/>
      <c r="BH7" s="49"/>
      <c r="BI7" s="109" t="s">
        <v>1022</v>
      </c>
      <c r="BJ7" s="109" t="s">
        <v>1022</v>
      </c>
      <c r="BK7" s="109" t="s">
        <v>1042</v>
      </c>
      <c r="BL7" s="109" t="s">
        <v>1042</v>
      </c>
      <c r="BM7" s="109">
        <v>2</v>
      </c>
      <c r="BN7" s="112">
        <v>5</v>
      </c>
      <c r="BO7" s="109">
        <v>0</v>
      </c>
      <c r="BP7" s="112">
        <v>0</v>
      </c>
      <c r="BQ7" s="109">
        <v>0</v>
      </c>
      <c r="BR7" s="112">
        <v>0</v>
      </c>
      <c r="BS7" s="109">
        <v>38</v>
      </c>
      <c r="BT7" s="112">
        <v>95</v>
      </c>
      <c r="BU7" s="109">
        <v>40</v>
      </c>
      <c r="BV7" s="2"/>
      <c r="BW7" s="3"/>
      <c r="BX7" s="3"/>
      <c r="BY7" s="3"/>
      <c r="BZ7" s="3"/>
    </row>
    <row r="8" spans="1:78" ht="41.45" customHeight="1">
      <c r="A8" s="66" t="s">
        <v>253</v>
      </c>
      <c r="C8" s="67"/>
      <c r="D8" s="67" t="s">
        <v>64</v>
      </c>
      <c r="E8" s="68">
        <v>162.58167222465332</v>
      </c>
      <c r="F8" s="70">
        <v>99.99692487331815</v>
      </c>
      <c r="G8" s="104" t="str">
        <f>HYPERLINK("https://pbs.twimg.com/profile_images/1374567492346085378/rwZNPvjo_normal.jpg")</f>
        <v>https://pbs.twimg.com/profile_images/1374567492346085378/rwZNPvjo_normal.jpg</v>
      </c>
      <c r="H8" s="67"/>
      <c r="I8" s="71" t="s">
        <v>253</v>
      </c>
      <c r="J8" s="72"/>
      <c r="K8" s="72"/>
      <c r="L8" s="71" t="s">
        <v>728</v>
      </c>
      <c r="M8" s="75">
        <v>2.024837218837602</v>
      </c>
      <c r="N8" s="76">
        <v>1299.759765625</v>
      </c>
      <c r="O8" s="76">
        <v>9668.63671875</v>
      </c>
      <c r="P8" s="77"/>
      <c r="Q8" s="78"/>
      <c r="R8" s="78"/>
      <c r="S8" s="90"/>
      <c r="T8" s="49">
        <v>0</v>
      </c>
      <c r="U8" s="49">
        <v>2</v>
      </c>
      <c r="V8" s="50">
        <v>0</v>
      </c>
      <c r="W8" s="50">
        <v>0.009709</v>
      </c>
      <c r="X8" s="50">
        <v>0.013515</v>
      </c>
      <c r="Y8" s="50">
        <v>0.558187</v>
      </c>
      <c r="Z8" s="50">
        <v>1</v>
      </c>
      <c r="AA8" s="50">
        <v>0</v>
      </c>
      <c r="AB8" s="73">
        <v>8</v>
      </c>
      <c r="AC8" s="73"/>
      <c r="AD8" s="74"/>
      <c r="AE8" s="80" t="s">
        <v>502</v>
      </c>
      <c r="AF8" s="89" t="s">
        <v>565</v>
      </c>
      <c r="AG8" s="80">
        <v>308</v>
      </c>
      <c r="AH8" s="80">
        <v>56</v>
      </c>
      <c r="AI8" s="80">
        <v>7827</v>
      </c>
      <c r="AJ8" s="80">
        <v>15234</v>
      </c>
      <c r="AK8" s="80"/>
      <c r="AL8" s="80" t="s">
        <v>624</v>
      </c>
      <c r="AM8" s="80" t="s">
        <v>686</v>
      </c>
      <c r="AN8" s="80"/>
      <c r="AO8" s="80"/>
      <c r="AP8" s="82">
        <v>43434.094247685185</v>
      </c>
      <c r="AQ8" s="85" t="str">
        <f>HYPERLINK("https://pbs.twimg.com/profile_banners/1068327683455635457/1612415076")</f>
        <v>https://pbs.twimg.com/profile_banners/1068327683455635457/1612415076</v>
      </c>
      <c r="AR8" s="80" t="b">
        <v>0</v>
      </c>
      <c r="AS8" s="80" t="b">
        <v>0</v>
      </c>
      <c r="AT8" s="80" t="b">
        <v>0</v>
      </c>
      <c r="AU8" s="80"/>
      <c r="AV8" s="80">
        <v>0</v>
      </c>
      <c r="AW8" s="85" t="str">
        <f>HYPERLINK("https://abs.twimg.com/images/themes/theme1/bg.png")</f>
        <v>https://abs.twimg.com/images/themes/theme1/bg.png</v>
      </c>
      <c r="AX8" s="80" t="b">
        <v>0</v>
      </c>
      <c r="AY8" s="80" t="s">
        <v>723</v>
      </c>
      <c r="AZ8" s="85" t="str">
        <f>HYPERLINK("https://twitter.com/gabagool_gash")</f>
        <v>https://twitter.com/gabagool_gash</v>
      </c>
      <c r="BA8" s="80" t="s">
        <v>66</v>
      </c>
      <c r="BB8" s="80" t="str">
        <f>REPLACE(INDEX(GroupVertices[Group],MATCH(Vertices[[#This Row],[Vertex]],GroupVertices[Vertex],0)),1,1,"")</f>
        <v>1</v>
      </c>
      <c r="BC8" s="49" t="s">
        <v>809</v>
      </c>
      <c r="BD8" s="49" t="s">
        <v>809</v>
      </c>
      <c r="BE8" s="49" t="s">
        <v>337</v>
      </c>
      <c r="BF8" s="49" t="s">
        <v>337</v>
      </c>
      <c r="BG8" s="49" t="s">
        <v>339</v>
      </c>
      <c r="BH8" s="49" t="s">
        <v>339</v>
      </c>
      <c r="BI8" s="109" t="s">
        <v>1025</v>
      </c>
      <c r="BJ8" s="109" t="s">
        <v>1025</v>
      </c>
      <c r="BK8" s="109" t="s">
        <v>1045</v>
      </c>
      <c r="BL8" s="109" t="s">
        <v>1045</v>
      </c>
      <c r="BM8" s="109">
        <v>1</v>
      </c>
      <c r="BN8" s="112">
        <v>2.9411764705882355</v>
      </c>
      <c r="BO8" s="109">
        <v>1</v>
      </c>
      <c r="BP8" s="112">
        <v>2.9411764705882355</v>
      </c>
      <c r="BQ8" s="109">
        <v>0</v>
      </c>
      <c r="BR8" s="112">
        <v>0</v>
      </c>
      <c r="BS8" s="109">
        <v>32</v>
      </c>
      <c r="BT8" s="112">
        <v>94.11764705882354</v>
      </c>
      <c r="BU8" s="109">
        <v>34</v>
      </c>
      <c r="BV8" s="2"/>
      <c r="BW8" s="3"/>
      <c r="BX8" s="3"/>
      <c r="BY8" s="3"/>
      <c r="BZ8" s="3"/>
    </row>
    <row r="9" spans="1:78" ht="41.45" customHeight="1">
      <c r="A9" s="66" t="s">
        <v>288</v>
      </c>
      <c r="C9" s="67"/>
      <c r="D9" s="67" t="s">
        <v>64</v>
      </c>
      <c r="E9" s="68">
        <v>1000</v>
      </c>
      <c r="F9" s="70">
        <v>95.56974521015594</v>
      </c>
      <c r="G9" s="104" t="str">
        <f>HYPERLINK("https://pbs.twimg.com/profile_images/1229896041064845313/fQd8tE8e_normal.jpg")</f>
        <v>https://pbs.twimg.com/profile_images/1229896041064845313/fQd8tE8e_normal.jpg</v>
      </c>
      <c r="H9" s="67"/>
      <c r="I9" s="71" t="s">
        <v>288</v>
      </c>
      <c r="J9" s="72"/>
      <c r="K9" s="72"/>
      <c r="L9" s="71" t="s">
        <v>729</v>
      </c>
      <c r="M9" s="75">
        <v>1477.4562462953636</v>
      </c>
      <c r="N9" s="76">
        <v>1161.5537109375</v>
      </c>
      <c r="O9" s="76">
        <v>7189.22802734375</v>
      </c>
      <c r="P9" s="77"/>
      <c r="Q9" s="78"/>
      <c r="R9" s="78"/>
      <c r="S9" s="90"/>
      <c r="T9" s="49">
        <v>7</v>
      </c>
      <c r="U9" s="49">
        <v>1</v>
      </c>
      <c r="V9" s="50">
        <v>15</v>
      </c>
      <c r="W9" s="50">
        <v>0.010204</v>
      </c>
      <c r="X9" s="50">
        <v>0.020707</v>
      </c>
      <c r="Y9" s="50">
        <v>1.766998</v>
      </c>
      <c r="Z9" s="50">
        <v>0.14285714285714285</v>
      </c>
      <c r="AA9" s="50">
        <v>0.14285714285714285</v>
      </c>
      <c r="AB9" s="73">
        <v>9</v>
      </c>
      <c r="AC9" s="73"/>
      <c r="AD9" s="74"/>
      <c r="AE9" s="80" t="s">
        <v>503</v>
      </c>
      <c r="AF9" s="89" t="s">
        <v>566</v>
      </c>
      <c r="AG9" s="80">
        <v>3559</v>
      </c>
      <c r="AH9" s="80">
        <v>66281</v>
      </c>
      <c r="AI9" s="80">
        <v>67910</v>
      </c>
      <c r="AJ9" s="80">
        <v>7660</v>
      </c>
      <c r="AK9" s="80"/>
      <c r="AL9" s="80" t="s">
        <v>625</v>
      </c>
      <c r="AM9" s="80" t="s">
        <v>687</v>
      </c>
      <c r="AN9" s="85" t="str">
        <f>HYPERLINK("https://t.co/HaxLtmuETK")</f>
        <v>https://t.co/HaxLtmuETK</v>
      </c>
      <c r="AO9" s="80"/>
      <c r="AP9" s="82">
        <v>40855.049675925926</v>
      </c>
      <c r="AQ9" s="85" t="str">
        <f>HYPERLINK("https://pbs.twimg.com/profile_banners/407395156/1605556092")</f>
        <v>https://pbs.twimg.com/profile_banners/407395156/1605556092</v>
      </c>
      <c r="AR9" s="80" t="b">
        <v>0</v>
      </c>
      <c r="AS9" s="80" t="b">
        <v>0</v>
      </c>
      <c r="AT9" s="80" t="b">
        <v>0</v>
      </c>
      <c r="AU9" s="80"/>
      <c r="AV9" s="80">
        <v>1238</v>
      </c>
      <c r="AW9" s="85" t="str">
        <f>HYPERLINK("https://abs.twimg.com/images/themes/theme1/bg.png")</f>
        <v>https://abs.twimg.com/images/themes/theme1/bg.png</v>
      </c>
      <c r="AX9" s="80" t="b">
        <v>1</v>
      </c>
      <c r="AY9" s="80" t="s">
        <v>723</v>
      </c>
      <c r="AZ9" s="85" t="str">
        <f>HYPERLINK("https://twitter.com/caulfieldtim")</f>
        <v>https://twitter.com/caulfieldtim</v>
      </c>
      <c r="BA9" s="80" t="s">
        <v>66</v>
      </c>
      <c r="BB9" s="80" t="str">
        <f>REPLACE(INDEX(GroupVertices[Group],MATCH(Vertices[[#This Row],[Vertex]],GroupVertices[Vertex],0)),1,1,"")</f>
        <v>1</v>
      </c>
      <c r="BC9" s="49" t="s">
        <v>809</v>
      </c>
      <c r="BD9" s="49" t="s">
        <v>809</v>
      </c>
      <c r="BE9" s="49" t="s">
        <v>337</v>
      </c>
      <c r="BF9" s="49" t="s">
        <v>337</v>
      </c>
      <c r="BG9" s="49" t="s">
        <v>339</v>
      </c>
      <c r="BH9" s="49" t="s">
        <v>339</v>
      </c>
      <c r="BI9" s="109" t="s">
        <v>1025</v>
      </c>
      <c r="BJ9" s="109" t="s">
        <v>1025</v>
      </c>
      <c r="BK9" s="109" t="s">
        <v>1045</v>
      </c>
      <c r="BL9" s="109" t="s">
        <v>1045</v>
      </c>
      <c r="BM9" s="109">
        <v>1</v>
      </c>
      <c r="BN9" s="112">
        <v>2.9411764705882355</v>
      </c>
      <c r="BO9" s="109">
        <v>1</v>
      </c>
      <c r="BP9" s="112">
        <v>2.9411764705882355</v>
      </c>
      <c r="BQ9" s="109">
        <v>0</v>
      </c>
      <c r="BR9" s="112">
        <v>0</v>
      </c>
      <c r="BS9" s="109">
        <v>32</v>
      </c>
      <c r="BT9" s="112">
        <v>94.11764705882354</v>
      </c>
      <c r="BU9" s="109">
        <v>34</v>
      </c>
      <c r="BV9" s="2"/>
      <c r="BW9" s="3"/>
      <c r="BX9" s="3"/>
      <c r="BY9" s="3"/>
      <c r="BZ9" s="3"/>
    </row>
    <row r="10" spans="1:78" ht="41.45" customHeight="1">
      <c r="A10" s="66" t="s">
        <v>254</v>
      </c>
      <c r="C10" s="67"/>
      <c r="D10" s="67" t="s">
        <v>64</v>
      </c>
      <c r="E10" s="68">
        <v>164.52900967240572</v>
      </c>
      <c r="F10" s="70">
        <v>99.98662988399197</v>
      </c>
      <c r="G10" s="104" t="str">
        <f>HYPERLINK("https://pbs.twimg.com/profile_images/1366674352083591174/hMsdwqs2_normal.jpg")</f>
        <v>https://pbs.twimg.com/profile_images/1366674352083591174/hMsdwqs2_normal.jpg</v>
      </c>
      <c r="H10" s="67"/>
      <c r="I10" s="71" t="s">
        <v>254</v>
      </c>
      <c r="J10" s="72"/>
      <c r="K10" s="72"/>
      <c r="L10" s="71" t="s">
        <v>730</v>
      </c>
      <c r="M10" s="75">
        <v>5.455813994946096</v>
      </c>
      <c r="N10" s="76">
        <v>644.5385131835938</v>
      </c>
      <c r="O10" s="76">
        <v>9266.0712890625</v>
      </c>
      <c r="P10" s="77"/>
      <c r="Q10" s="78"/>
      <c r="R10" s="78"/>
      <c r="S10" s="90"/>
      <c r="T10" s="49">
        <v>0</v>
      </c>
      <c r="U10" s="49">
        <v>2</v>
      </c>
      <c r="V10" s="50">
        <v>0</v>
      </c>
      <c r="W10" s="50">
        <v>0.010526</v>
      </c>
      <c r="X10" s="50">
        <v>0.021633</v>
      </c>
      <c r="Y10" s="50">
        <v>0.534764</v>
      </c>
      <c r="Z10" s="50">
        <v>1</v>
      </c>
      <c r="AA10" s="50">
        <v>0</v>
      </c>
      <c r="AB10" s="73">
        <v>10</v>
      </c>
      <c r="AC10" s="73"/>
      <c r="AD10" s="74"/>
      <c r="AE10" s="80" t="s">
        <v>504</v>
      </c>
      <c r="AF10" s="89" t="s">
        <v>567</v>
      </c>
      <c r="AG10" s="80">
        <v>1637</v>
      </c>
      <c r="AH10" s="80">
        <v>210</v>
      </c>
      <c r="AI10" s="80">
        <v>67996</v>
      </c>
      <c r="AJ10" s="80">
        <v>1056</v>
      </c>
      <c r="AK10" s="80"/>
      <c r="AL10" s="80" t="s">
        <v>626</v>
      </c>
      <c r="AM10" s="80" t="s">
        <v>688</v>
      </c>
      <c r="AN10" s="80"/>
      <c r="AO10" s="80"/>
      <c r="AP10" s="82">
        <v>43671.28820601852</v>
      </c>
      <c r="AQ10" s="85" t="str">
        <f>HYPERLINK("https://pbs.twimg.com/profile_banners/1154283898358001664/1613564003")</f>
        <v>https://pbs.twimg.com/profile_banners/1154283898358001664/1613564003</v>
      </c>
      <c r="AR10" s="80" t="b">
        <v>1</v>
      </c>
      <c r="AS10" s="80" t="b">
        <v>0</v>
      </c>
      <c r="AT10" s="80" t="b">
        <v>1</v>
      </c>
      <c r="AU10" s="80"/>
      <c r="AV10" s="80">
        <v>1</v>
      </c>
      <c r="AW10" s="80"/>
      <c r="AX10" s="80" t="b">
        <v>0</v>
      </c>
      <c r="AY10" s="80" t="s">
        <v>723</v>
      </c>
      <c r="AZ10" s="85" t="str">
        <f>HYPERLINK("https://twitter.com/mwmjenard")</f>
        <v>https://twitter.com/mwmjenard</v>
      </c>
      <c r="BA10" s="80" t="s">
        <v>66</v>
      </c>
      <c r="BB10" s="80" t="str">
        <f>REPLACE(INDEX(GroupVertices[Group],MATCH(Vertices[[#This Row],[Vertex]],GroupVertices[Vertex],0)),1,1,"")</f>
        <v>1</v>
      </c>
      <c r="BC10" s="49" t="s">
        <v>810</v>
      </c>
      <c r="BD10" s="49" t="s">
        <v>810</v>
      </c>
      <c r="BE10" s="49" t="s">
        <v>337</v>
      </c>
      <c r="BF10" s="49" t="s">
        <v>337</v>
      </c>
      <c r="BG10" s="49"/>
      <c r="BH10" s="49"/>
      <c r="BI10" s="109" t="s">
        <v>1026</v>
      </c>
      <c r="BJ10" s="109" t="s">
        <v>1026</v>
      </c>
      <c r="BK10" s="109" t="s">
        <v>1046</v>
      </c>
      <c r="BL10" s="109" t="s">
        <v>1046</v>
      </c>
      <c r="BM10" s="109">
        <v>1</v>
      </c>
      <c r="BN10" s="112">
        <v>2.7777777777777777</v>
      </c>
      <c r="BO10" s="109">
        <v>1</v>
      </c>
      <c r="BP10" s="112">
        <v>2.7777777777777777</v>
      </c>
      <c r="BQ10" s="109">
        <v>0</v>
      </c>
      <c r="BR10" s="112">
        <v>0</v>
      </c>
      <c r="BS10" s="109">
        <v>34</v>
      </c>
      <c r="BT10" s="112">
        <v>94.44444444444444</v>
      </c>
      <c r="BU10" s="109">
        <v>36</v>
      </c>
      <c r="BV10" s="2"/>
      <c r="BW10" s="3"/>
      <c r="BX10" s="3"/>
      <c r="BY10" s="3"/>
      <c r="BZ10" s="3"/>
    </row>
    <row r="11" spans="1:78" ht="41.45" customHeight="1">
      <c r="A11" s="66" t="s">
        <v>255</v>
      </c>
      <c r="C11" s="67"/>
      <c r="D11" s="67" t="s">
        <v>64</v>
      </c>
      <c r="E11" s="68">
        <v>199.26495752289838</v>
      </c>
      <c r="F11" s="70">
        <v>99.80299134062153</v>
      </c>
      <c r="G11" s="104" t="str">
        <f>HYPERLINK("https://pbs.twimg.com/profile_images/592867719118254080/r4rww3AR_normal.jpg")</f>
        <v>https://pbs.twimg.com/profile_images/592867719118254080/r4rww3AR_normal.jpg</v>
      </c>
      <c r="H11" s="67"/>
      <c r="I11" s="71" t="s">
        <v>255</v>
      </c>
      <c r="J11" s="72"/>
      <c r="K11" s="72"/>
      <c r="L11" s="71" t="s">
        <v>731</v>
      </c>
      <c r="M11" s="75">
        <v>66.65641921553073</v>
      </c>
      <c r="N11" s="76">
        <v>1039.498046875</v>
      </c>
      <c r="O11" s="76">
        <v>3700.4375</v>
      </c>
      <c r="P11" s="77"/>
      <c r="Q11" s="78"/>
      <c r="R11" s="78"/>
      <c r="S11" s="90"/>
      <c r="T11" s="49">
        <v>0</v>
      </c>
      <c r="U11" s="49">
        <v>2</v>
      </c>
      <c r="V11" s="50">
        <v>0</v>
      </c>
      <c r="W11" s="50">
        <v>0.009709</v>
      </c>
      <c r="X11" s="50">
        <v>0.013515</v>
      </c>
      <c r="Y11" s="50">
        <v>0.558187</v>
      </c>
      <c r="Z11" s="50">
        <v>1</v>
      </c>
      <c r="AA11" s="50">
        <v>0</v>
      </c>
      <c r="AB11" s="73">
        <v>11</v>
      </c>
      <c r="AC11" s="73"/>
      <c r="AD11" s="74"/>
      <c r="AE11" s="80" t="s">
        <v>505</v>
      </c>
      <c r="AF11" s="89" t="s">
        <v>568</v>
      </c>
      <c r="AG11" s="80">
        <v>14</v>
      </c>
      <c r="AH11" s="80">
        <v>2957</v>
      </c>
      <c r="AI11" s="80">
        <v>20202</v>
      </c>
      <c r="AJ11" s="80">
        <v>74</v>
      </c>
      <c r="AK11" s="80"/>
      <c r="AL11" s="80" t="s">
        <v>627</v>
      </c>
      <c r="AM11" s="80" t="s">
        <v>689</v>
      </c>
      <c r="AN11" s="85" t="str">
        <f>HYPERLINK("http://t.co/by8NTl1hEJ")</f>
        <v>http://t.co/by8NTl1hEJ</v>
      </c>
      <c r="AO11" s="80"/>
      <c r="AP11" s="82">
        <v>41406.04798611111</v>
      </c>
      <c r="AQ11" s="85" t="str">
        <f>HYPERLINK("https://pbs.twimg.com/profile_banners/1421951876/1446640010")</f>
        <v>https://pbs.twimg.com/profile_banners/1421951876/1446640010</v>
      </c>
      <c r="AR11" s="80" t="b">
        <v>0</v>
      </c>
      <c r="AS11" s="80" t="b">
        <v>0</v>
      </c>
      <c r="AT11" s="80" t="b">
        <v>0</v>
      </c>
      <c r="AU11" s="80"/>
      <c r="AV11" s="80">
        <v>107</v>
      </c>
      <c r="AW11" s="85" t="str">
        <f>HYPERLINK("https://abs.twimg.com/images/themes/theme1/bg.png")</f>
        <v>https://abs.twimg.com/images/themes/theme1/bg.png</v>
      </c>
      <c r="AX11" s="80" t="b">
        <v>0</v>
      </c>
      <c r="AY11" s="80" t="s">
        <v>723</v>
      </c>
      <c r="AZ11" s="85" t="str">
        <f>HYPERLINK("https://twitter.com/friendsofscimed")</f>
        <v>https://twitter.com/friendsofscimed</v>
      </c>
      <c r="BA11" s="80" t="s">
        <v>66</v>
      </c>
      <c r="BB11" s="80" t="str">
        <f>REPLACE(INDEX(GroupVertices[Group],MATCH(Vertices[[#This Row],[Vertex]],GroupVertices[Vertex],0)),1,1,"")</f>
        <v>1</v>
      </c>
      <c r="BC11" s="49" t="s">
        <v>809</v>
      </c>
      <c r="BD11" s="49" t="s">
        <v>809</v>
      </c>
      <c r="BE11" s="49" t="s">
        <v>337</v>
      </c>
      <c r="BF11" s="49" t="s">
        <v>337</v>
      </c>
      <c r="BG11" s="49" t="s">
        <v>339</v>
      </c>
      <c r="BH11" s="49" t="s">
        <v>339</v>
      </c>
      <c r="BI11" s="109" t="s">
        <v>1025</v>
      </c>
      <c r="BJ11" s="109" t="s">
        <v>1025</v>
      </c>
      <c r="BK11" s="109" t="s">
        <v>1045</v>
      </c>
      <c r="BL11" s="109" t="s">
        <v>1045</v>
      </c>
      <c r="BM11" s="109">
        <v>1</v>
      </c>
      <c r="BN11" s="112">
        <v>2.9411764705882355</v>
      </c>
      <c r="BO11" s="109">
        <v>1</v>
      </c>
      <c r="BP11" s="112">
        <v>2.9411764705882355</v>
      </c>
      <c r="BQ11" s="109">
        <v>0</v>
      </c>
      <c r="BR11" s="112">
        <v>0</v>
      </c>
      <c r="BS11" s="109">
        <v>32</v>
      </c>
      <c r="BT11" s="112">
        <v>94.11764705882354</v>
      </c>
      <c r="BU11" s="109">
        <v>34</v>
      </c>
      <c r="BV11" s="2"/>
      <c r="BW11" s="3"/>
      <c r="BX11" s="3"/>
      <c r="BY11" s="3"/>
      <c r="BZ11" s="3"/>
    </row>
    <row r="12" spans="1:78" ht="41.45" customHeight="1">
      <c r="A12" s="66" t="s">
        <v>256</v>
      </c>
      <c r="C12" s="67"/>
      <c r="D12" s="67" t="s">
        <v>64</v>
      </c>
      <c r="E12" s="68">
        <v>162.50580193448116</v>
      </c>
      <c r="F12" s="70">
        <v>99.9973259767984</v>
      </c>
      <c r="G12" s="104" t="str">
        <f>HYPERLINK("https://pbs.twimg.com/profile_images/1278411997856612354/83MeTnP4_normal.jpg")</f>
        <v>https://pbs.twimg.com/profile_images/1278411997856612354/83MeTnP4_normal.jpg</v>
      </c>
      <c r="H12" s="67"/>
      <c r="I12" s="71" t="s">
        <v>256</v>
      </c>
      <c r="J12" s="72"/>
      <c r="K12" s="72"/>
      <c r="L12" s="71" t="s">
        <v>732</v>
      </c>
      <c r="M12" s="75">
        <v>1.8911627989892192</v>
      </c>
      <c r="N12" s="76">
        <v>8389.443359375</v>
      </c>
      <c r="O12" s="76">
        <v>9000.568359375</v>
      </c>
      <c r="P12" s="77"/>
      <c r="Q12" s="78"/>
      <c r="R12" s="78"/>
      <c r="S12" s="90"/>
      <c r="T12" s="49">
        <v>1</v>
      </c>
      <c r="U12" s="49">
        <v>1</v>
      </c>
      <c r="V12" s="50">
        <v>0</v>
      </c>
      <c r="W12" s="50">
        <v>0</v>
      </c>
      <c r="X12" s="50">
        <v>0</v>
      </c>
      <c r="Y12" s="50">
        <v>0.999992</v>
      </c>
      <c r="Z12" s="50">
        <v>0</v>
      </c>
      <c r="AA12" s="50">
        <v>0</v>
      </c>
      <c r="AB12" s="73">
        <v>12</v>
      </c>
      <c r="AC12" s="73"/>
      <c r="AD12" s="74"/>
      <c r="AE12" s="80" t="s">
        <v>506</v>
      </c>
      <c r="AF12" s="89" t="s">
        <v>569</v>
      </c>
      <c r="AG12" s="80">
        <v>0</v>
      </c>
      <c r="AH12" s="80">
        <v>50</v>
      </c>
      <c r="AI12" s="80">
        <v>16601</v>
      </c>
      <c r="AJ12" s="80">
        <v>2015</v>
      </c>
      <c r="AK12" s="80"/>
      <c r="AL12" s="80" t="s">
        <v>628</v>
      </c>
      <c r="AM12" s="80" t="s">
        <v>690</v>
      </c>
      <c r="AN12" s="80"/>
      <c r="AO12" s="80"/>
      <c r="AP12" s="82">
        <v>43249.78732638889</v>
      </c>
      <c r="AQ12" s="85" t="str">
        <f>HYPERLINK("https://pbs.twimg.com/profile_banners/1001537091497529349/1593984680")</f>
        <v>https://pbs.twimg.com/profile_banners/1001537091497529349/1593984680</v>
      </c>
      <c r="AR12" s="80" t="b">
        <v>1</v>
      </c>
      <c r="AS12" s="80" t="b">
        <v>0</v>
      </c>
      <c r="AT12" s="80" t="b">
        <v>0</v>
      </c>
      <c r="AU12" s="80"/>
      <c r="AV12" s="80">
        <v>1</v>
      </c>
      <c r="AW12" s="80"/>
      <c r="AX12" s="80" t="b">
        <v>0</v>
      </c>
      <c r="AY12" s="80" t="s">
        <v>723</v>
      </c>
      <c r="AZ12" s="85" t="str">
        <f>HYPERLINK("https://twitter.com/thespoonless")</f>
        <v>https://twitter.com/thespoonless</v>
      </c>
      <c r="BA12" s="80" t="s">
        <v>66</v>
      </c>
      <c r="BB12" s="80" t="str">
        <f>REPLACE(INDEX(GroupVertices[Group],MATCH(Vertices[[#This Row],[Vertex]],GroupVertices[Vertex],0)),1,1,"")</f>
        <v>4</v>
      </c>
      <c r="BC12" s="49" t="s">
        <v>809</v>
      </c>
      <c r="BD12" s="49" t="s">
        <v>809</v>
      </c>
      <c r="BE12" s="49" t="s">
        <v>337</v>
      </c>
      <c r="BF12" s="49" t="s">
        <v>337</v>
      </c>
      <c r="BG12" s="49"/>
      <c r="BH12" s="49"/>
      <c r="BI12" s="109" t="s">
        <v>462</v>
      </c>
      <c r="BJ12" s="109" t="s">
        <v>462</v>
      </c>
      <c r="BK12" s="109" t="s">
        <v>462</v>
      </c>
      <c r="BL12" s="109" t="s">
        <v>462</v>
      </c>
      <c r="BM12" s="109">
        <v>0</v>
      </c>
      <c r="BN12" s="112">
        <v>0</v>
      </c>
      <c r="BO12" s="109">
        <v>0</v>
      </c>
      <c r="BP12" s="112">
        <v>0</v>
      </c>
      <c r="BQ12" s="109">
        <v>0</v>
      </c>
      <c r="BR12" s="112">
        <v>0</v>
      </c>
      <c r="BS12" s="109">
        <v>0</v>
      </c>
      <c r="BT12" s="112">
        <v>0</v>
      </c>
      <c r="BU12" s="109">
        <v>0</v>
      </c>
      <c r="BV12" s="2"/>
      <c r="BW12" s="3"/>
      <c r="BX12" s="3"/>
      <c r="BY12" s="3"/>
      <c r="BZ12" s="3"/>
    </row>
    <row r="13" spans="1:78" ht="41.45" customHeight="1">
      <c r="A13" s="66" t="s">
        <v>257</v>
      </c>
      <c r="C13" s="67"/>
      <c r="D13" s="67" t="s">
        <v>64</v>
      </c>
      <c r="E13" s="68">
        <v>162.18967572543042</v>
      </c>
      <c r="F13" s="70">
        <v>99.99899724129939</v>
      </c>
      <c r="G13" s="104" t="str">
        <f>HYPERLINK("https://abs.twimg.com/sticky/default_profile_images/default_profile_normal.png")</f>
        <v>https://abs.twimg.com/sticky/default_profile_images/default_profile_normal.png</v>
      </c>
      <c r="H13" s="67"/>
      <c r="I13" s="71" t="s">
        <v>257</v>
      </c>
      <c r="J13" s="72"/>
      <c r="K13" s="72"/>
      <c r="L13" s="71" t="s">
        <v>733</v>
      </c>
      <c r="M13" s="75">
        <v>1.3341860496209572</v>
      </c>
      <c r="N13" s="76">
        <v>7412.49951171875</v>
      </c>
      <c r="O13" s="76">
        <v>4746.22119140625</v>
      </c>
      <c r="P13" s="77"/>
      <c r="Q13" s="78"/>
      <c r="R13" s="78"/>
      <c r="S13" s="90"/>
      <c r="T13" s="49">
        <v>0</v>
      </c>
      <c r="U13" s="49">
        <v>5</v>
      </c>
      <c r="V13" s="50">
        <v>264</v>
      </c>
      <c r="W13" s="50">
        <v>0.011236</v>
      </c>
      <c r="X13" s="50">
        <v>0.022595</v>
      </c>
      <c r="Y13" s="50">
        <v>1.619174</v>
      </c>
      <c r="Z13" s="50">
        <v>0.1</v>
      </c>
      <c r="AA13" s="50">
        <v>0</v>
      </c>
      <c r="AB13" s="73">
        <v>13</v>
      </c>
      <c r="AC13" s="73"/>
      <c r="AD13" s="74"/>
      <c r="AE13" s="80" t="s">
        <v>507</v>
      </c>
      <c r="AF13" s="89" t="s">
        <v>570</v>
      </c>
      <c r="AG13" s="80">
        <v>42</v>
      </c>
      <c r="AH13" s="80">
        <v>25</v>
      </c>
      <c r="AI13" s="80">
        <v>656</v>
      </c>
      <c r="AJ13" s="80">
        <v>1236</v>
      </c>
      <c r="AK13" s="80"/>
      <c r="AL13" s="80" t="s">
        <v>629</v>
      </c>
      <c r="AM13" s="80"/>
      <c r="AN13" s="80"/>
      <c r="AO13" s="80"/>
      <c r="AP13" s="82">
        <v>42110.659849537034</v>
      </c>
      <c r="AQ13" s="80"/>
      <c r="AR13" s="80" t="b">
        <v>1</v>
      </c>
      <c r="AS13" s="80" t="b">
        <v>1</v>
      </c>
      <c r="AT13" s="80" t="b">
        <v>0</v>
      </c>
      <c r="AU13" s="80"/>
      <c r="AV13" s="80">
        <v>1</v>
      </c>
      <c r="AW13" s="85" t="str">
        <f>HYPERLINK("https://abs.twimg.com/images/themes/theme1/bg.png")</f>
        <v>https://abs.twimg.com/images/themes/theme1/bg.png</v>
      </c>
      <c r="AX13" s="80" t="b">
        <v>0</v>
      </c>
      <c r="AY13" s="80" t="s">
        <v>723</v>
      </c>
      <c r="AZ13" s="85" t="str">
        <f>HYPERLINK("https://twitter.com/walangprof")</f>
        <v>https://twitter.com/walangprof</v>
      </c>
      <c r="BA13" s="80" t="s">
        <v>66</v>
      </c>
      <c r="BB13" s="80" t="str">
        <f>REPLACE(INDEX(GroupVertices[Group],MATCH(Vertices[[#This Row],[Vertex]],GroupVertices[Vertex],0)),1,1,"")</f>
        <v>7</v>
      </c>
      <c r="BC13" s="49" t="s">
        <v>809</v>
      </c>
      <c r="BD13" s="49" t="s">
        <v>809</v>
      </c>
      <c r="BE13" s="49" t="s">
        <v>337</v>
      </c>
      <c r="BF13" s="49" t="s">
        <v>337</v>
      </c>
      <c r="BG13" s="49"/>
      <c r="BH13" s="49"/>
      <c r="BI13" s="109" t="s">
        <v>1027</v>
      </c>
      <c r="BJ13" s="109" t="s">
        <v>1027</v>
      </c>
      <c r="BK13" s="109" t="s">
        <v>1047</v>
      </c>
      <c r="BL13" s="109" t="s">
        <v>1047</v>
      </c>
      <c r="BM13" s="109">
        <v>1</v>
      </c>
      <c r="BN13" s="112">
        <v>5</v>
      </c>
      <c r="BO13" s="109">
        <v>0</v>
      </c>
      <c r="BP13" s="112">
        <v>0</v>
      </c>
      <c r="BQ13" s="109">
        <v>0</v>
      </c>
      <c r="BR13" s="112">
        <v>0</v>
      </c>
      <c r="BS13" s="109">
        <v>19</v>
      </c>
      <c r="BT13" s="112">
        <v>95</v>
      </c>
      <c r="BU13" s="109">
        <v>20</v>
      </c>
      <c r="BV13" s="2"/>
      <c r="BW13" s="3"/>
      <c r="BX13" s="3"/>
      <c r="BY13" s="3"/>
      <c r="BZ13" s="3"/>
    </row>
    <row r="14" spans="1:78" ht="41.45" customHeight="1">
      <c r="A14" s="66" t="s">
        <v>303</v>
      </c>
      <c r="C14" s="67"/>
      <c r="D14" s="67" t="s">
        <v>64</v>
      </c>
      <c r="E14" s="68">
        <v>360.2743583166091</v>
      </c>
      <c r="F14" s="70">
        <v>98.95178290496968</v>
      </c>
      <c r="G14" s="104" t="str">
        <f>HYPERLINK("https://pbs.twimg.com/profile_images/1309617787669819404/RkJSpyWk_normal.jpg")</f>
        <v>https://pbs.twimg.com/profile_images/1309617787669819404/RkJSpyWk_normal.jpg</v>
      </c>
      <c r="H14" s="67"/>
      <c r="I14" s="71" t="s">
        <v>303</v>
      </c>
      <c r="J14" s="72"/>
      <c r="K14" s="72"/>
      <c r="L14" s="71" t="s">
        <v>734</v>
      </c>
      <c r="M14" s="75">
        <v>350.33581720377396</v>
      </c>
      <c r="N14" s="76">
        <v>7412.49951171875</v>
      </c>
      <c r="O14" s="76">
        <v>3578.937255859375</v>
      </c>
      <c r="P14" s="77"/>
      <c r="Q14" s="78"/>
      <c r="R14" s="78"/>
      <c r="S14" s="90"/>
      <c r="T14" s="49">
        <v>1</v>
      </c>
      <c r="U14" s="49">
        <v>0</v>
      </c>
      <c r="V14" s="50">
        <v>0</v>
      </c>
      <c r="W14" s="50">
        <v>0.007463</v>
      </c>
      <c r="X14" s="50">
        <v>0.002691</v>
      </c>
      <c r="Y14" s="50">
        <v>0.425259</v>
      </c>
      <c r="Z14" s="50">
        <v>0</v>
      </c>
      <c r="AA14" s="50">
        <v>0</v>
      </c>
      <c r="AB14" s="73">
        <v>14</v>
      </c>
      <c r="AC14" s="73"/>
      <c r="AD14" s="74"/>
      <c r="AE14" s="80" t="s">
        <v>508</v>
      </c>
      <c r="AF14" s="89" t="s">
        <v>571</v>
      </c>
      <c r="AG14" s="80">
        <v>427</v>
      </c>
      <c r="AH14" s="80">
        <v>15690</v>
      </c>
      <c r="AI14" s="80">
        <v>16092</v>
      </c>
      <c r="AJ14" s="80">
        <v>782</v>
      </c>
      <c r="AK14" s="80"/>
      <c r="AL14" s="80" t="s">
        <v>630</v>
      </c>
      <c r="AM14" s="80" t="s">
        <v>691</v>
      </c>
      <c r="AN14" s="85" t="str">
        <f>HYPERLINK("https://t.co/N7YXTBWOrp")</f>
        <v>https://t.co/N7YXTBWOrp</v>
      </c>
      <c r="AO14" s="80"/>
      <c r="AP14" s="82">
        <v>39862.01719907407</v>
      </c>
      <c r="AQ14" s="85" t="str">
        <f>HYPERLINK("https://pbs.twimg.com/profile_banners/21150961/1431443150")</f>
        <v>https://pbs.twimg.com/profile_banners/21150961/1431443150</v>
      </c>
      <c r="AR14" s="80" t="b">
        <v>0</v>
      </c>
      <c r="AS14" s="80" t="b">
        <v>0</v>
      </c>
      <c r="AT14" s="80" t="b">
        <v>0</v>
      </c>
      <c r="AU14" s="80"/>
      <c r="AV14" s="80">
        <v>294</v>
      </c>
      <c r="AW14" s="85" t="str">
        <f>HYPERLINK("https://abs.twimg.com/images/themes/theme4/bg.gif")</f>
        <v>https://abs.twimg.com/images/themes/theme4/bg.gif</v>
      </c>
      <c r="AX14" s="80" t="b">
        <v>0</v>
      </c>
      <c r="AY14" s="80" t="s">
        <v>723</v>
      </c>
      <c r="AZ14" s="85" t="str">
        <f>HYPERLINK("https://twitter.com/kamranabbasi")</f>
        <v>https://twitter.com/kamranabbasi</v>
      </c>
      <c r="BA14" s="80" t="s">
        <v>65</v>
      </c>
      <c r="BB14" s="80" t="str">
        <f>REPLACE(INDEX(GroupVertices[Group],MATCH(Vertices[[#This Row],[Vertex]],GroupVertices[Vertex],0)),1,1,"")</f>
        <v>7</v>
      </c>
      <c r="BC14" s="49"/>
      <c r="BD14" s="49"/>
      <c r="BE14" s="49"/>
      <c r="BF14" s="49"/>
      <c r="BG14" s="49"/>
      <c r="BH14" s="49"/>
      <c r="BI14" s="49"/>
      <c r="BJ14" s="49"/>
      <c r="BK14" s="49"/>
      <c r="BL14" s="49"/>
      <c r="BM14" s="49"/>
      <c r="BN14" s="50"/>
      <c r="BO14" s="49"/>
      <c r="BP14" s="50"/>
      <c r="BQ14" s="49"/>
      <c r="BR14" s="50"/>
      <c r="BS14" s="49"/>
      <c r="BT14" s="50"/>
      <c r="BU14" s="49"/>
      <c r="BV14" s="2"/>
      <c r="BW14" s="3"/>
      <c r="BX14" s="3"/>
      <c r="BY14" s="3"/>
      <c r="BZ14" s="3"/>
    </row>
    <row r="15" spans="1:78" ht="41.45" customHeight="1">
      <c r="A15" s="66" t="s">
        <v>304</v>
      </c>
      <c r="C15" s="67"/>
      <c r="D15" s="67" t="s">
        <v>64</v>
      </c>
      <c r="E15" s="68">
        <v>365.4461830966788</v>
      </c>
      <c r="F15" s="70">
        <v>98.92444101773323</v>
      </c>
      <c r="G15" s="104" t="str">
        <f>HYPERLINK("https://pbs.twimg.com/profile_images/689233713390071809/NkZwZjgn_normal.jpg")</f>
        <v>https://pbs.twimg.com/profile_images/689233713390071809/NkZwZjgn_normal.jpg</v>
      </c>
      <c r="H15" s="67"/>
      <c r="I15" s="71" t="s">
        <v>304</v>
      </c>
      <c r="J15" s="72"/>
      <c r="K15" s="72"/>
      <c r="L15" s="71" t="s">
        <v>735</v>
      </c>
      <c r="M15" s="75">
        <v>359.4479568234387</v>
      </c>
      <c r="N15" s="76">
        <v>8464.1826171875</v>
      </c>
      <c r="O15" s="76">
        <v>3578.937255859375</v>
      </c>
      <c r="P15" s="77"/>
      <c r="Q15" s="78"/>
      <c r="R15" s="78"/>
      <c r="S15" s="90"/>
      <c r="T15" s="49">
        <v>1</v>
      </c>
      <c r="U15" s="49">
        <v>0</v>
      </c>
      <c r="V15" s="50">
        <v>0</v>
      </c>
      <c r="W15" s="50">
        <v>0.007463</v>
      </c>
      <c r="X15" s="50">
        <v>0.002691</v>
      </c>
      <c r="Y15" s="50">
        <v>0.425259</v>
      </c>
      <c r="Z15" s="50">
        <v>0</v>
      </c>
      <c r="AA15" s="50">
        <v>0</v>
      </c>
      <c r="AB15" s="73">
        <v>15</v>
      </c>
      <c r="AC15" s="73"/>
      <c r="AD15" s="74"/>
      <c r="AE15" s="80" t="s">
        <v>509</v>
      </c>
      <c r="AF15" s="89" t="s">
        <v>572</v>
      </c>
      <c r="AG15" s="80">
        <v>736</v>
      </c>
      <c r="AH15" s="80">
        <v>16099</v>
      </c>
      <c r="AI15" s="80">
        <v>1309</v>
      </c>
      <c r="AJ15" s="80">
        <v>10</v>
      </c>
      <c r="AK15" s="80"/>
      <c r="AL15" s="80" t="s">
        <v>631</v>
      </c>
      <c r="AM15" s="80" t="s">
        <v>692</v>
      </c>
      <c r="AN15" s="85" t="str">
        <f>HYPERLINK("https://t.co/dSjGXvF8Bg")</f>
        <v>https://t.co/dSjGXvF8Bg</v>
      </c>
      <c r="AO15" s="80"/>
      <c r="AP15" s="82">
        <v>39745.43111111111</v>
      </c>
      <c r="AQ15" s="85" t="str">
        <f>HYPERLINK("https://pbs.twimg.com/profile_banners/16947009/1479625450")</f>
        <v>https://pbs.twimg.com/profile_banners/16947009/1479625450</v>
      </c>
      <c r="AR15" s="80" t="b">
        <v>0</v>
      </c>
      <c r="AS15" s="80" t="b">
        <v>0</v>
      </c>
      <c r="AT15" s="80" t="b">
        <v>0</v>
      </c>
      <c r="AU15" s="80"/>
      <c r="AV15" s="80">
        <v>372</v>
      </c>
      <c r="AW15" s="85" t="str">
        <f>HYPERLINK("https://abs.twimg.com/images/themes/theme1/bg.png")</f>
        <v>https://abs.twimg.com/images/themes/theme1/bg.png</v>
      </c>
      <c r="AX15" s="80" t="b">
        <v>0</v>
      </c>
      <c r="AY15" s="80" t="s">
        <v>723</v>
      </c>
      <c r="AZ15" s="85" t="str">
        <f>HYPERLINK("https://twitter.com/fgodlee")</f>
        <v>https://twitter.com/fgodlee</v>
      </c>
      <c r="BA15" s="80" t="s">
        <v>65</v>
      </c>
      <c r="BB15" s="80" t="str">
        <f>REPLACE(INDEX(GroupVertices[Group],MATCH(Vertices[[#This Row],[Vertex]],GroupVertices[Vertex],0)),1,1,"")</f>
        <v>7</v>
      </c>
      <c r="BC15" s="49"/>
      <c r="BD15" s="49"/>
      <c r="BE15" s="49"/>
      <c r="BF15" s="49"/>
      <c r="BG15" s="49"/>
      <c r="BH15" s="49"/>
      <c r="BI15" s="49"/>
      <c r="BJ15" s="49"/>
      <c r="BK15" s="49"/>
      <c r="BL15" s="49"/>
      <c r="BM15" s="49"/>
      <c r="BN15" s="50"/>
      <c r="BO15" s="49"/>
      <c r="BP15" s="50"/>
      <c r="BQ15" s="49"/>
      <c r="BR15" s="50"/>
      <c r="BS15" s="49"/>
      <c r="BT15" s="50"/>
      <c r="BU15" s="49"/>
      <c r="BV15" s="2"/>
      <c r="BW15" s="3"/>
      <c r="BX15" s="3"/>
      <c r="BY15" s="3"/>
      <c r="BZ15" s="3"/>
    </row>
    <row r="16" spans="1:78" ht="41.45" customHeight="1">
      <c r="A16" s="66" t="s">
        <v>305</v>
      </c>
      <c r="C16" s="67"/>
      <c r="D16" s="67" t="s">
        <v>64</v>
      </c>
      <c r="E16" s="68">
        <v>197.79813191290307</v>
      </c>
      <c r="F16" s="70">
        <v>99.81074600790619</v>
      </c>
      <c r="G16" s="104" t="str">
        <f>HYPERLINK("https://pbs.twimg.com/profile_images/1269149233010995203/jXcxvJfo_normal.jpg")</f>
        <v>https://pbs.twimg.com/profile_images/1269149233010995203/jXcxvJfo_normal.jpg</v>
      </c>
      <c r="H16" s="67"/>
      <c r="I16" s="71" t="s">
        <v>305</v>
      </c>
      <c r="J16" s="72"/>
      <c r="K16" s="72"/>
      <c r="L16" s="71" t="s">
        <v>736</v>
      </c>
      <c r="M16" s="75">
        <v>64.072047098462</v>
      </c>
      <c r="N16" s="76">
        <v>8464.1826171875</v>
      </c>
      <c r="O16" s="76">
        <v>4746.22119140625</v>
      </c>
      <c r="P16" s="77"/>
      <c r="Q16" s="78"/>
      <c r="R16" s="78"/>
      <c r="S16" s="90"/>
      <c r="T16" s="49">
        <v>1</v>
      </c>
      <c r="U16" s="49">
        <v>0</v>
      </c>
      <c r="V16" s="50">
        <v>0</v>
      </c>
      <c r="W16" s="50">
        <v>0.007463</v>
      </c>
      <c r="X16" s="50">
        <v>0.002691</v>
      </c>
      <c r="Y16" s="50">
        <v>0.425259</v>
      </c>
      <c r="Z16" s="50">
        <v>0</v>
      </c>
      <c r="AA16" s="50">
        <v>0</v>
      </c>
      <c r="AB16" s="73">
        <v>16</v>
      </c>
      <c r="AC16" s="73"/>
      <c r="AD16" s="74"/>
      <c r="AE16" s="80" t="s">
        <v>510</v>
      </c>
      <c r="AF16" s="89" t="s">
        <v>463</v>
      </c>
      <c r="AG16" s="80">
        <v>1227</v>
      </c>
      <c r="AH16" s="80">
        <v>2841</v>
      </c>
      <c r="AI16" s="80">
        <v>11580</v>
      </c>
      <c r="AJ16" s="80">
        <v>14901</v>
      </c>
      <c r="AK16" s="80"/>
      <c r="AL16" s="80" t="s">
        <v>632</v>
      </c>
      <c r="AM16" s="80" t="s">
        <v>693</v>
      </c>
      <c r="AN16" s="85" t="str">
        <f>HYPERLINK("https://t.co/eKEYFHq8lq")</f>
        <v>https://t.co/eKEYFHq8lq</v>
      </c>
      <c r="AO16" s="80"/>
      <c r="AP16" s="82">
        <v>43904.921331018515</v>
      </c>
      <c r="AQ16" s="85" t="str">
        <f>HYPERLINK("https://pbs.twimg.com/profile_banners/1238949674989416449/1612856936")</f>
        <v>https://pbs.twimg.com/profile_banners/1238949674989416449/1612856936</v>
      </c>
      <c r="AR16" s="80" t="b">
        <v>1</v>
      </c>
      <c r="AS16" s="80" t="b">
        <v>0</v>
      </c>
      <c r="AT16" s="80" t="b">
        <v>0</v>
      </c>
      <c r="AU16" s="80"/>
      <c r="AV16" s="80">
        <v>40</v>
      </c>
      <c r="AW16" s="80"/>
      <c r="AX16" s="80" t="b">
        <v>0</v>
      </c>
      <c r="AY16" s="80" t="s">
        <v>723</v>
      </c>
      <c r="AZ16" s="85" t="str">
        <f>HYPERLINK("https://twitter.com/youarelobbylud")</f>
        <v>https://twitter.com/youarelobbylud</v>
      </c>
      <c r="BA16" s="80" t="s">
        <v>65</v>
      </c>
      <c r="BB16" s="80" t="str">
        <f>REPLACE(INDEX(GroupVertices[Group],MATCH(Vertices[[#This Row],[Vertex]],GroupVertices[Vertex],0)),1,1,"")</f>
        <v>7</v>
      </c>
      <c r="BC16" s="49"/>
      <c r="BD16" s="49"/>
      <c r="BE16" s="49"/>
      <c r="BF16" s="49"/>
      <c r="BG16" s="49"/>
      <c r="BH16" s="49"/>
      <c r="BI16" s="49"/>
      <c r="BJ16" s="49"/>
      <c r="BK16" s="49"/>
      <c r="BL16" s="49"/>
      <c r="BM16" s="49"/>
      <c r="BN16" s="50"/>
      <c r="BO16" s="49"/>
      <c r="BP16" s="50"/>
      <c r="BQ16" s="49"/>
      <c r="BR16" s="50"/>
      <c r="BS16" s="49"/>
      <c r="BT16" s="50"/>
      <c r="BU16" s="49"/>
      <c r="BV16" s="2"/>
      <c r="BW16" s="3"/>
      <c r="BX16" s="3"/>
      <c r="BY16" s="3"/>
      <c r="BZ16" s="3"/>
    </row>
    <row r="17" spans="1:78" ht="41.45" customHeight="1">
      <c r="A17" s="66" t="s">
        <v>258</v>
      </c>
      <c r="C17" s="67"/>
      <c r="D17" s="67" t="s">
        <v>64</v>
      </c>
      <c r="E17" s="68">
        <v>174.73356370056285</v>
      </c>
      <c r="F17" s="70">
        <v>99.93268146589952</v>
      </c>
      <c r="G17" s="104" t="str">
        <f>HYPERLINK("https://pbs.twimg.com/profile_images/911677957063749632/xMEhq9nJ_normal.jpg")</f>
        <v>https://pbs.twimg.com/profile_images/911677957063749632/xMEhq9nJ_normal.jpg</v>
      </c>
      <c r="H17" s="67"/>
      <c r="I17" s="71" t="s">
        <v>258</v>
      </c>
      <c r="J17" s="72"/>
      <c r="K17" s="72"/>
      <c r="L17" s="71" t="s">
        <v>737</v>
      </c>
      <c r="M17" s="75">
        <v>23.435023464553595</v>
      </c>
      <c r="N17" s="76">
        <v>3433.4521484375</v>
      </c>
      <c r="O17" s="76">
        <v>8714.9296875</v>
      </c>
      <c r="P17" s="77"/>
      <c r="Q17" s="78"/>
      <c r="R17" s="78"/>
      <c r="S17" s="90"/>
      <c r="T17" s="49">
        <v>0</v>
      </c>
      <c r="U17" s="49">
        <v>2</v>
      </c>
      <c r="V17" s="50">
        <v>0</v>
      </c>
      <c r="W17" s="50">
        <v>0.010526</v>
      </c>
      <c r="X17" s="50">
        <v>0.021633</v>
      </c>
      <c r="Y17" s="50">
        <v>0.534764</v>
      </c>
      <c r="Z17" s="50">
        <v>1</v>
      </c>
      <c r="AA17" s="50">
        <v>0</v>
      </c>
      <c r="AB17" s="73">
        <v>17</v>
      </c>
      <c r="AC17" s="73"/>
      <c r="AD17" s="74"/>
      <c r="AE17" s="80" t="s">
        <v>511</v>
      </c>
      <c r="AF17" s="89" t="s">
        <v>573</v>
      </c>
      <c r="AG17" s="80">
        <v>1507</v>
      </c>
      <c r="AH17" s="80">
        <v>1017</v>
      </c>
      <c r="AI17" s="80">
        <v>36616</v>
      </c>
      <c r="AJ17" s="80">
        <v>30474</v>
      </c>
      <c r="AK17" s="80"/>
      <c r="AL17" s="80" t="s">
        <v>633</v>
      </c>
      <c r="AM17" s="80" t="s">
        <v>694</v>
      </c>
      <c r="AN17" s="85" t="str">
        <f>HYPERLINK("https://t.co/vTm4p9X4B9")</f>
        <v>https://t.co/vTm4p9X4B9</v>
      </c>
      <c r="AO17" s="80"/>
      <c r="AP17" s="82">
        <v>40122.82252314815</v>
      </c>
      <c r="AQ17" s="85" t="str">
        <f>HYPERLINK("https://pbs.twimg.com/profile_banners/87765761/1506195448")</f>
        <v>https://pbs.twimg.com/profile_banners/87765761/1506195448</v>
      </c>
      <c r="AR17" s="80" t="b">
        <v>0</v>
      </c>
      <c r="AS17" s="80" t="b">
        <v>0</v>
      </c>
      <c r="AT17" s="80" t="b">
        <v>1</v>
      </c>
      <c r="AU17" s="80"/>
      <c r="AV17" s="80">
        <v>62</v>
      </c>
      <c r="AW17" s="85" t="str">
        <f>HYPERLINK("https://abs.twimg.com/images/themes/theme1/bg.png")</f>
        <v>https://abs.twimg.com/images/themes/theme1/bg.png</v>
      </c>
      <c r="AX17" s="80" t="b">
        <v>0</v>
      </c>
      <c r="AY17" s="80" t="s">
        <v>723</v>
      </c>
      <c r="AZ17" s="85" t="str">
        <f>HYPERLINK("https://twitter.com/magwes")</f>
        <v>https://twitter.com/magwes</v>
      </c>
      <c r="BA17" s="80" t="s">
        <v>66</v>
      </c>
      <c r="BB17" s="80" t="str">
        <f>REPLACE(INDEX(GroupVertices[Group],MATCH(Vertices[[#This Row],[Vertex]],GroupVertices[Vertex],0)),1,1,"")</f>
        <v>2</v>
      </c>
      <c r="BC17" s="49" t="s">
        <v>810</v>
      </c>
      <c r="BD17" s="49" t="s">
        <v>810</v>
      </c>
      <c r="BE17" s="49" t="s">
        <v>337</v>
      </c>
      <c r="BF17" s="49" t="s">
        <v>337</v>
      </c>
      <c r="BG17" s="49"/>
      <c r="BH17" s="49"/>
      <c r="BI17" s="109" t="s">
        <v>1026</v>
      </c>
      <c r="BJ17" s="109" t="s">
        <v>1026</v>
      </c>
      <c r="BK17" s="109" t="s">
        <v>1046</v>
      </c>
      <c r="BL17" s="109" t="s">
        <v>1046</v>
      </c>
      <c r="BM17" s="109">
        <v>1</v>
      </c>
      <c r="BN17" s="112">
        <v>2.7777777777777777</v>
      </c>
      <c r="BO17" s="109">
        <v>1</v>
      </c>
      <c r="BP17" s="112">
        <v>2.7777777777777777</v>
      </c>
      <c r="BQ17" s="109">
        <v>0</v>
      </c>
      <c r="BR17" s="112">
        <v>0</v>
      </c>
      <c r="BS17" s="109">
        <v>34</v>
      </c>
      <c r="BT17" s="112">
        <v>94.44444444444444</v>
      </c>
      <c r="BU17" s="109">
        <v>36</v>
      </c>
      <c r="BV17" s="2"/>
      <c r="BW17" s="3"/>
      <c r="BX17" s="3"/>
      <c r="BY17" s="3"/>
      <c r="BZ17" s="3"/>
    </row>
    <row r="18" spans="1:78" ht="41.45" customHeight="1">
      <c r="A18" s="66" t="s">
        <v>259</v>
      </c>
      <c r="C18" s="67"/>
      <c r="D18" s="67" t="s">
        <v>64</v>
      </c>
      <c r="E18" s="68">
        <v>165.7049991700744</v>
      </c>
      <c r="F18" s="70">
        <v>99.98041278004823</v>
      </c>
      <c r="G18" s="104" t="str">
        <f>HYPERLINK("https://pbs.twimg.com/profile_images/1291005465577611264/uix91Bpt_normal.jpg")</f>
        <v>https://pbs.twimg.com/profile_images/1291005465577611264/uix91Bpt_normal.jpg</v>
      </c>
      <c r="H18" s="67"/>
      <c r="I18" s="71" t="s">
        <v>259</v>
      </c>
      <c r="J18" s="72"/>
      <c r="K18" s="72"/>
      <c r="L18" s="71" t="s">
        <v>738</v>
      </c>
      <c r="M18" s="75">
        <v>7.5277675025960304</v>
      </c>
      <c r="N18" s="76">
        <v>1692.538330078125</v>
      </c>
      <c r="O18" s="76">
        <v>394.29339599609375</v>
      </c>
      <c r="P18" s="77"/>
      <c r="Q18" s="78"/>
      <c r="R18" s="78"/>
      <c r="S18" s="90"/>
      <c r="T18" s="49">
        <v>0</v>
      </c>
      <c r="U18" s="49">
        <v>2</v>
      </c>
      <c r="V18" s="50">
        <v>0</v>
      </c>
      <c r="W18" s="50">
        <v>0.010526</v>
      </c>
      <c r="X18" s="50">
        <v>0.021633</v>
      </c>
      <c r="Y18" s="50">
        <v>0.534764</v>
      </c>
      <c r="Z18" s="50">
        <v>1</v>
      </c>
      <c r="AA18" s="50">
        <v>0</v>
      </c>
      <c r="AB18" s="73">
        <v>18</v>
      </c>
      <c r="AC18" s="73"/>
      <c r="AD18" s="74"/>
      <c r="AE18" s="80" t="s">
        <v>512</v>
      </c>
      <c r="AF18" s="89" t="s">
        <v>574</v>
      </c>
      <c r="AG18" s="80">
        <v>388</v>
      </c>
      <c r="AH18" s="80">
        <v>303</v>
      </c>
      <c r="AI18" s="80">
        <v>216</v>
      </c>
      <c r="AJ18" s="80">
        <v>715</v>
      </c>
      <c r="AK18" s="80"/>
      <c r="AL18" s="80" t="s">
        <v>634</v>
      </c>
      <c r="AM18" s="80"/>
      <c r="AN18" s="80"/>
      <c r="AO18" s="80"/>
      <c r="AP18" s="82">
        <v>44048.56736111111</v>
      </c>
      <c r="AQ18" s="85" t="str">
        <f>HYPERLINK("https://pbs.twimg.com/profile_banners/1291005157111726080/1599238421")</f>
        <v>https://pbs.twimg.com/profile_banners/1291005157111726080/1599238421</v>
      </c>
      <c r="AR18" s="80" t="b">
        <v>1</v>
      </c>
      <c r="AS18" s="80" t="b">
        <v>0</v>
      </c>
      <c r="AT18" s="80" t="b">
        <v>0</v>
      </c>
      <c r="AU18" s="80"/>
      <c r="AV18" s="80">
        <v>2</v>
      </c>
      <c r="AW18" s="80"/>
      <c r="AX18" s="80" t="b">
        <v>0</v>
      </c>
      <c r="AY18" s="80" t="s">
        <v>723</v>
      </c>
      <c r="AZ18" s="85" t="str">
        <f>HYPERLINK("https://twitter.com/wimceelen")</f>
        <v>https://twitter.com/wimceelen</v>
      </c>
      <c r="BA18" s="80" t="s">
        <v>66</v>
      </c>
      <c r="BB18" s="80" t="str">
        <f>REPLACE(INDEX(GroupVertices[Group],MATCH(Vertices[[#This Row],[Vertex]],GroupVertices[Vertex],0)),1,1,"")</f>
        <v>1</v>
      </c>
      <c r="BC18" s="49" t="s">
        <v>810</v>
      </c>
      <c r="BD18" s="49" t="s">
        <v>810</v>
      </c>
      <c r="BE18" s="49" t="s">
        <v>337</v>
      </c>
      <c r="BF18" s="49" t="s">
        <v>337</v>
      </c>
      <c r="BG18" s="49"/>
      <c r="BH18" s="49"/>
      <c r="BI18" s="109" t="s">
        <v>1026</v>
      </c>
      <c r="BJ18" s="109" t="s">
        <v>1026</v>
      </c>
      <c r="BK18" s="109" t="s">
        <v>1046</v>
      </c>
      <c r="BL18" s="109" t="s">
        <v>1046</v>
      </c>
      <c r="BM18" s="109">
        <v>1</v>
      </c>
      <c r="BN18" s="112">
        <v>2.7777777777777777</v>
      </c>
      <c r="BO18" s="109">
        <v>1</v>
      </c>
      <c r="BP18" s="112">
        <v>2.7777777777777777</v>
      </c>
      <c r="BQ18" s="109">
        <v>0</v>
      </c>
      <c r="BR18" s="112">
        <v>0</v>
      </c>
      <c r="BS18" s="109">
        <v>34</v>
      </c>
      <c r="BT18" s="112">
        <v>94.44444444444444</v>
      </c>
      <c r="BU18" s="109">
        <v>36</v>
      </c>
      <c r="BV18" s="2"/>
      <c r="BW18" s="3"/>
      <c r="BX18" s="3"/>
      <c r="BY18" s="3"/>
      <c r="BZ18" s="3"/>
    </row>
    <row r="19" spans="1:78" ht="41.45" customHeight="1">
      <c r="A19" s="66" t="s">
        <v>260</v>
      </c>
      <c r="C19" s="67"/>
      <c r="D19" s="67" t="s">
        <v>64</v>
      </c>
      <c r="E19" s="68">
        <v>163.45418056163328</v>
      </c>
      <c r="F19" s="70">
        <v>99.99231218329538</v>
      </c>
      <c r="G19" s="104" t="str">
        <f>HYPERLINK("https://pbs.twimg.com/profile_images/1350949668692353024/dnxuL6FK_normal.jpg")</f>
        <v>https://pbs.twimg.com/profile_images/1350949668692353024/dnxuL6FK_normal.jpg</v>
      </c>
      <c r="H19" s="67"/>
      <c r="I19" s="71" t="s">
        <v>260</v>
      </c>
      <c r="J19" s="72"/>
      <c r="K19" s="72"/>
      <c r="L19" s="71" t="s">
        <v>739</v>
      </c>
      <c r="M19" s="75">
        <v>3.562093047094005</v>
      </c>
      <c r="N19" s="76">
        <v>2973.541259765625</v>
      </c>
      <c r="O19" s="76">
        <v>5177.8359375</v>
      </c>
      <c r="P19" s="77"/>
      <c r="Q19" s="78"/>
      <c r="R19" s="78"/>
      <c r="S19" s="90"/>
      <c r="T19" s="49">
        <v>0</v>
      </c>
      <c r="U19" s="49">
        <v>2</v>
      </c>
      <c r="V19" s="50">
        <v>0</v>
      </c>
      <c r="W19" s="50">
        <v>0.010526</v>
      </c>
      <c r="X19" s="50">
        <v>0.021633</v>
      </c>
      <c r="Y19" s="50">
        <v>0.534764</v>
      </c>
      <c r="Z19" s="50">
        <v>1</v>
      </c>
      <c r="AA19" s="50">
        <v>0</v>
      </c>
      <c r="AB19" s="73">
        <v>19</v>
      </c>
      <c r="AC19" s="73"/>
      <c r="AD19" s="74"/>
      <c r="AE19" s="80" t="s">
        <v>513</v>
      </c>
      <c r="AF19" s="89" t="s">
        <v>575</v>
      </c>
      <c r="AG19" s="80">
        <v>128</v>
      </c>
      <c r="AH19" s="80">
        <v>125</v>
      </c>
      <c r="AI19" s="80">
        <v>212</v>
      </c>
      <c r="AJ19" s="80">
        <v>543</v>
      </c>
      <c r="AK19" s="80"/>
      <c r="AL19" s="80" t="s">
        <v>635</v>
      </c>
      <c r="AM19" s="80"/>
      <c r="AN19" s="85" t="str">
        <f>HYPERLINK("https://t.co/HchjT6TUiH")</f>
        <v>https://t.co/HchjT6TUiH</v>
      </c>
      <c r="AO19" s="80"/>
      <c r="AP19" s="82">
        <v>43154.76532407408</v>
      </c>
      <c r="AQ19" s="85" t="str">
        <f>HYPERLINK("https://pbs.twimg.com/profile_banners/967102272973897728/1603818703")</f>
        <v>https://pbs.twimg.com/profile_banners/967102272973897728/1603818703</v>
      </c>
      <c r="AR19" s="80" t="b">
        <v>1</v>
      </c>
      <c r="AS19" s="80" t="b">
        <v>0</v>
      </c>
      <c r="AT19" s="80" t="b">
        <v>0</v>
      </c>
      <c r="AU19" s="80"/>
      <c r="AV19" s="80">
        <v>0</v>
      </c>
      <c r="AW19" s="80"/>
      <c r="AX19" s="80" t="b">
        <v>0</v>
      </c>
      <c r="AY19" s="80" t="s">
        <v>723</v>
      </c>
      <c r="AZ19" s="85" t="str">
        <f>HYPERLINK("https://twitter.com/jenniferathomp")</f>
        <v>https://twitter.com/jenniferathomp</v>
      </c>
      <c r="BA19" s="80" t="s">
        <v>66</v>
      </c>
      <c r="BB19" s="80" t="str">
        <f>REPLACE(INDEX(GroupVertices[Group],MATCH(Vertices[[#This Row],[Vertex]],GroupVertices[Vertex],0)),1,1,"")</f>
        <v>2</v>
      </c>
      <c r="BC19" s="49" t="s">
        <v>810</v>
      </c>
      <c r="BD19" s="49" t="s">
        <v>810</v>
      </c>
      <c r="BE19" s="49" t="s">
        <v>337</v>
      </c>
      <c r="BF19" s="49" t="s">
        <v>337</v>
      </c>
      <c r="BG19" s="49"/>
      <c r="BH19" s="49"/>
      <c r="BI19" s="109" t="s">
        <v>1026</v>
      </c>
      <c r="BJ19" s="109" t="s">
        <v>1026</v>
      </c>
      <c r="BK19" s="109" t="s">
        <v>1046</v>
      </c>
      <c r="BL19" s="109" t="s">
        <v>1046</v>
      </c>
      <c r="BM19" s="109">
        <v>1</v>
      </c>
      <c r="BN19" s="112">
        <v>2.7777777777777777</v>
      </c>
      <c r="BO19" s="109">
        <v>1</v>
      </c>
      <c r="BP19" s="112">
        <v>2.7777777777777777</v>
      </c>
      <c r="BQ19" s="109">
        <v>0</v>
      </c>
      <c r="BR19" s="112">
        <v>0</v>
      </c>
      <c r="BS19" s="109">
        <v>34</v>
      </c>
      <c r="BT19" s="112">
        <v>94.44444444444444</v>
      </c>
      <c r="BU19" s="109">
        <v>36</v>
      </c>
      <c r="BV19" s="2"/>
      <c r="BW19" s="3"/>
      <c r="BX19" s="3"/>
      <c r="BY19" s="3"/>
      <c r="BZ19" s="3"/>
    </row>
    <row r="20" spans="1:78" ht="41.45" customHeight="1">
      <c r="A20" s="66" t="s">
        <v>261</v>
      </c>
      <c r="C20" s="67"/>
      <c r="D20" s="67" t="s">
        <v>64</v>
      </c>
      <c r="E20" s="68">
        <v>174.7588537972869</v>
      </c>
      <c r="F20" s="70">
        <v>99.93254776473944</v>
      </c>
      <c r="G20" s="104" t="str">
        <f>HYPERLINK("https://pbs.twimg.com/profile_images/1187981630201184256/dvK3Xvnt_normal.jpg")</f>
        <v>https://pbs.twimg.com/profile_images/1187981630201184256/dvK3Xvnt_normal.jpg</v>
      </c>
      <c r="H20" s="67"/>
      <c r="I20" s="71" t="s">
        <v>261</v>
      </c>
      <c r="J20" s="72"/>
      <c r="K20" s="72"/>
      <c r="L20" s="71" t="s">
        <v>740</v>
      </c>
      <c r="M20" s="75">
        <v>23.479581604503053</v>
      </c>
      <c r="N20" s="76">
        <v>2786.9609375</v>
      </c>
      <c r="O20" s="76">
        <v>5980.37060546875</v>
      </c>
      <c r="P20" s="77"/>
      <c r="Q20" s="78"/>
      <c r="R20" s="78"/>
      <c r="S20" s="90"/>
      <c r="T20" s="49">
        <v>0</v>
      </c>
      <c r="U20" s="49">
        <v>2</v>
      </c>
      <c r="V20" s="50">
        <v>0</v>
      </c>
      <c r="W20" s="50">
        <v>0.010526</v>
      </c>
      <c r="X20" s="50">
        <v>0.021633</v>
      </c>
      <c r="Y20" s="50">
        <v>0.534764</v>
      </c>
      <c r="Z20" s="50">
        <v>1</v>
      </c>
      <c r="AA20" s="50">
        <v>0</v>
      </c>
      <c r="AB20" s="73">
        <v>20</v>
      </c>
      <c r="AC20" s="73"/>
      <c r="AD20" s="74"/>
      <c r="AE20" s="80" t="s">
        <v>514</v>
      </c>
      <c r="AF20" s="89" t="s">
        <v>576</v>
      </c>
      <c r="AG20" s="80">
        <v>1722</v>
      </c>
      <c r="AH20" s="80">
        <v>1019</v>
      </c>
      <c r="AI20" s="80">
        <v>5689</v>
      </c>
      <c r="AJ20" s="80">
        <v>10337</v>
      </c>
      <c r="AK20" s="80"/>
      <c r="AL20" s="80" t="s">
        <v>636</v>
      </c>
      <c r="AM20" s="80"/>
      <c r="AN20" s="85" t="str">
        <f>HYPERLINK("https://t.co/KWbHPoTMRg")</f>
        <v>https://t.co/KWbHPoTMRg</v>
      </c>
      <c r="AO20" s="80"/>
      <c r="AP20" s="82">
        <v>39913.85223379629</v>
      </c>
      <c r="AQ20" s="85" t="str">
        <f>HYPERLINK("https://pbs.twimg.com/profile_banners/30304483/1497818516")</f>
        <v>https://pbs.twimg.com/profile_banners/30304483/1497818516</v>
      </c>
      <c r="AR20" s="80" t="b">
        <v>0</v>
      </c>
      <c r="AS20" s="80" t="b">
        <v>0</v>
      </c>
      <c r="AT20" s="80" t="b">
        <v>1</v>
      </c>
      <c r="AU20" s="80"/>
      <c r="AV20" s="80">
        <v>12</v>
      </c>
      <c r="AW20" s="85" t="str">
        <f>HYPERLINK("https://abs.twimg.com/images/themes/theme18/bg.gif")</f>
        <v>https://abs.twimg.com/images/themes/theme18/bg.gif</v>
      </c>
      <c r="AX20" s="80" t="b">
        <v>0</v>
      </c>
      <c r="AY20" s="80" t="s">
        <v>723</v>
      </c>
      <c r="AZ20" s="85" t="str">
        <f>HYPERLINK("https://twitter.com/ibavli")</f>
        <v>https://twitter.com/ibavli</v>
      </c>
      <c r="BA20" s="80" t="s">
        <v>66</v>
      </c>
      <c r="BB20" s="80" t="str">
        <f>REPLACE(INDEX(GroupVertices[Group],MATCH(Vertices[[#This Row],[Vertex]],GroupVertices[Vertex],0)),1,1,"")</f>
        <v>1</v>
      </c>
      <c r="BC20" s="49" t="s">
        <v>810</v>
      </c>
      <c r="BD20" s="49" t="s">
        <v>810</v>
      </c>
      <c r="BE20" s="49" t="s">
        <v>337</v>
      </c>
      <c r="BF20" s="49" t="s">
        <v>337</v>
      </c>
      <c r="BG20" s="49"/>
      <c r="BH20" s="49"/>
      <c r="BI20" s="109" t="s">
        <v>1026</v>
      </c>
      <c r="BJ20" s="109" t="s">
        <v>1026</v>
      </c>
      <c r="BK20" s="109" t="s">
        <v>1046</v>
      </c>
      <c r="BL20" s="109" t="s">
        <v>1046</v>
      </c>
      <c r="BM20" s="109">
        <v>1</v>
      </c>
      <c r="BN20" s="112">
        <v>2.7777777777777777</v>
      </c>
      <c r="BO20" s="109">
        <v>1</v>
      </c>
      <c r="BP20" s="112">
        <v>2.7777777777777777</v>
      </c>
      <c r="BQ20" s="109">
        <v>0</v>
      </c>
      <c r="BR20" s="112">
        <v>0</v>
      </c>
      <c r="BS20" s="109">
        <v>34</v>
      </c>
      <c r="BT20" s="112">
        <v>94.44444444444444</v>
      </c>
      <c r="BU20" s="109">
        <v>36</v>
      </c>
      <c r="BV20" s="2"/>
      <c r="BW20" s="3"/>
      <c r="BX20" s="3"/>
      <c r="BY20" s="3"/>
      <c r="BZ20" s="3"/>
    </row>
    <row r="21" spans="1:78" ht="41.45" customHeight="1">
      <c r="A21" s="66" t="s">
        <v>262</v>
      </c>
      <c r="C21" s="67"/>
      <c r="D21" s="67" t="s">
        <v>64</v>
      </c>
      <c r="E21" s="68">
        <v>165.19919723559326</v>
      </c>
      <c r="F21" s="70">
        <v>99.98308680324983</v>
      </c>
      <c r="G21" s="104" t="str">
        <f>HYPERLINK("https://pbs.twimg.com/profile_images/1095879849879785472/Lnzaj0He_normal.jpg")</f>
        <v>https://pbs.twimg.com/profile_images/1095879849879785472/Lnzaj0He_normal.jpg</v>
      </c>
      <c r="H21" s="67"/>
      <c r="I21" s="71" t="s">
        <v>262</v>
      </c>
      <c r="J21" s="72"/>
      <c r="K21" s="72"/>
      <c r="L21" s="71" t="s">
        <v>741</v>
      </c>
      <c r="M21" s="75">
        <v>6.636604703606811</v>
      </c>
      <c r="N21" s="76">
        <v>5471.95654296875</v>
      </c>
      <c r="O21" s="76">
        <v>2042.767333984375</v>
      </c>
      <c r="P21" s="77"/>
      <c r="Q21" s="78"/>
      <c r="R21" s="78"/>
      <c r="S21" s="90"/>
      <c r="T21" s="49">
        <v>0</v>
      </c>
      <c r="U21" s="49">
        <v>5</v>
      </c>
      <c r="V21" s="50">
        <v>21</v>
      </c>
      <c r="W21" s="50">
        <v>0.009804</v>
      </c>
      <c r="X21" s="50">
        <v>0.018066</v>
      </c>
      <c r="Y21" s="50">
        <v>1.079636</v>
      </c>
      <c r="Z21" s="50">
        <v>0.6</v>
      </c>
      <c r="AA21" s="50">
        <v>0</v>
      </c>
      <c r="AB21" s="73">
        <v>21</v>
      </c>
      <c r="AC21" s="73"/>
      <c r="AD21" s="74"/>
      <c r="AE21" s="80" t="s">
        <v>515</v>
      </c>
      <c r="AF21" s="89" t="s">
        <v>577</v>
      </c>
      <c r="AG21" s="80">
        <v>98</v>
      </c>
      <c r="AH21" s="80">
        <v>263</v>
      </c>
      <c r="AI21" s="80">
        <v>394</v>
      </c>
      <c r="AJ21" s="80">
        <v>130</v>
      </c>
      <c r="AK21" s="80"/>
      <c r="AL21" s="80" t="s">
        <v>637</v>
      </c>
      <c r="AM21" s="80" t="s">
        <v>695</v>
      </c>
      <c r="AN21" s="80"/>
      <c r="AO21" s="80"/>
      <c r="AP21" s="82">
        <v>41346.77297453704</v>
      </c>
      <c r="AQ21" s="80"/>
      <c r="AR21" s="80" t="b">
        <v>1</v>
      </c>
      <c r="AS21" s="80" t="b">
        <v>0</v>
      </c>
      <c r="AT21" s="80" t="b">
        <v>1</v>
      </c>
      <c r="AU21" s="80"/>
      <c r="AV21" s="80">
        <v>2</v>
      </c>
      <c r="AW21" s="85" t="str">
        <f>HYPERLINK("https://abs.twimg.com/images/themes/theme1/bg.png")</f>
        <v>https://abs.twimg.com/images/themes/theme1/bg.png</v>
      </c>
      <c r="AX21" s="80" t="b">
        <v>0</v>
      </c>
      <c r="AY21" s="80" t="s">
        <v>723</v>
      </c>
      <c r="AZ21" s="85" t="str">
        <f>HYPERLINK("https://twitter.com/ggsoca")</f>
        <v>https://twitter.com/ggsoca</v>
      </c>
      <c r="BA21" s="80" t="s">
        <v>66</v>
      </c>
      <c r="BB21" s="80" t="str">
        <f>REPLACE(INDEX(GroupVertices[Group],MATCH(Vertices[[#This Row],[Vertex]],GroupVertices[Vertex],0)),1,1,"")</f>
        <v>5</v>
      </c>
      <c r="BC21" s="49" t="s">
        <v>336</v>
      </c>
      <c r="BD21" s="49" t="s">
        <v>336</v>
      </c>
      <c r="BE21" s="49" t="s">
        <v>337</v>
      </c>
      <c r="BF21" s="49" t="s">
        <v>337</v>
      </c>
      <c r="BG21" s="49"/>
      <c r="BH21" s="49"/>
      <c r="BI21" s="109" t="s">
        <v>1028</v>
      </c>
      <c r="BJ21" s="109" t="s">
        <v>1028</v>
      </c>
      <c r="BK21" s="109" t="s">
        <v>1048</v>
      </c>
      <c r="BL21" s="109" t="s">
        <v>1048</v>
      </c>
      <c r="BM21" s="109">
        <v>0</v>
      </c>
      <c r="BN21" s="112">
        <v>0</v>
      </c>
      <c r="BO21" s="109">
        <v>0</v>
      </c>
      <c r="BP21" s="112">
        <v>0</v>
      </c>
      <c r="BQ21" s="109">
        <v>0</v>
      </c>
      <c r="BR21" s="112">
        <v>0</v>
      </c>
      <c r="BS21" s="109">
        <v>30</v>
      </c>
      <c r="BT21" s="112">
        <v>100</v>
      </c>
      <c r="BU21" s="109">
        <v>30</v>
      </c>
      <c r="BV21" s="2"/>
      <c r="BW21" s="3"/>
      <c r="BX21" s="3"/>
      <c r="BY21" s="3"/>
      <c r="BZ21" s="3"/>
    </row>
    <row r="22" spans="1:78" ht="41.45" customHeight="1">
      <c r="A22" s="66" t="s">
        <v>297</v>
      </c>
      <c r="C22" s="67"/>
      <c r="D22" s="67" t="s">
        <v>64</v>
      </c>
      <c r="E22" s="68">
        <v>199.23966742617435</v>
      </c>
      <c r="F22" s="70">
        <v>99.80312504178161</v>
      </c>
      <c r="G22" s="104" t="str">
        <f>HYPERLINK("https://pbs.twimg.com/profile_images/1069690072897851393/YJL3DLwd_normal.jpg")</f>
        <v>https://pbs.twimg.com/profile_images/1069690072897851393/YJL3DLwd_normal.jpg</v>
      </c>
      <c r="H22" s="67"/>
      <c r="I22" s="71" t="s">
        <v>297</v>
      </c>
      <c r="J22" s="72"/>
      <c r="K22" s="72"/>
      <c r="L22" s="71" t="s">
        <v>742</v>
      </c>
      <c r="M22" s="75">
        <v>66.61186107558126</v>
      </c>
      <c r="N22" s="76">
        <v>6127.5224609375</v>
      </c>
      <c r="O22" s="76">
        <v>330.3634338378906</v>
      </c>
      <c r="P22" s="77"/>
      <c r="Q22" s="78"/>
      <c r="R22" s="78"/>
      <c r="S22" s="90"/>
      <c r="T22" s="49">
        <v>3</v>
      </c>
      <c r="U22" s="49">
        <v>4</v>
      </c>
      <c r="V22" s="50">
        <v>21</v>
      </c>
      <c r="W22" s="50">
        <v>0.009804</v>
      </c>
      <c r="X22" s="50">
        <v>0.018066</v>
      </c>
      <c r="Y22" s="50">
        <v>1.079636</v>
      </c>
      <c r="Z22" s="50">
        <v>0.5</v>
      </c>
      <c r="AA22" s="50">
        <v>0.4</v>
      </c>
      <c r="AB22" s="73">
        <v>22</v>
      </c>
      <c r="AC22" s="73"/>
      <c r="AD22" s="74"/>
      <c r="AE22" s="80" t="s">
        <v>516</v>
      </c>
      <c r="AF22" s="89" t="s">
        <v>578</v>
      </c>
      <c r="AG22" s="80">
        <v>620</v>
      </c>
      <c r="AH22" s="80">
        <v>2955</v>
      </c>
      <c r="AI22" s="80">
        <v>7839</v>
      </c>
      <c r="AJ22" s="80">
        <v>14045</v>
      </c>
      <c r="AK22" s="80"/>
      <c r="AL22" s="80" t="s">
        <v>638</v>
      </c>
      <c r="AM22" s="80"/>
      <c r="AN22" s="80"/>
      <c r="AO22" s="80"/>
      <c r="AP22" s="82">
        <v>42816.87699074074</v>
      </c>
      <c r="AQ22" s="80"/>
      <c r="AR22" s="80" t="b">
        <v>1</v>
      </c>
      <c r="AS22" s="80" t="b">
        <v>0</v>
      </c>
      <c r="AT22" s="80" t="b">
        <v>0</v>
      </c>
      <c r="AU22" s="80"/>
      <c r="AV22" s="80">
        <v>15</v>
      </c>
      <c r="AW22" s="80"/>
      <c r="AX22" s="80" t="b">
        <v>0</v>
      </c>
      <c r="AY22" s="80" t="s">
        <v>723</v>
      </c>
      <c r="AZ22" s="85" t="str">
        <f>HYPERLINK("https://twitter.com/victordayan1")</f>
        <v>https://twitter.com/victordayan1</v>
      </c>
      <c r="BA22" s="80" t="s">
        <v>66</v>
      </c>
      <c r="BB22" s="80" t="str">
        <f>REPLACE(INDEX(GroupVertices[Group],MATCH(Vertices[[#This Row],[Vertex]],GroupVertices[Vertex],0)),1,1,"")</f>
        <v>5</v>
      </c>
      <c r="BC22" s="49" t="s">
        <v>336</v>
      </c>
      <c r="BD22" s="49" t="s">
        <v>336</v>
      </c>
      <c r="BE22" s="49" t="s">
        <v>337</v>
      </c>
      <c r="BF22" s="49" t="s">
        <v>337</v>
      </c>
      <c r="BG22" s="49"/>
      <c r="BH22" s="49"/>
      <c r="BI22" s="109" t="s">
        <v>1028</v>
      </c>
      <c r="BJ22" s="109" t="s">
        <v>1028</v>
      </c>
      <c r="BK22" s="109" t="s">
        <v>1048</v>
      </c>
      <c r="BL22" s="109" t="s">
        <v>1048</v>
      </c>
      <c r="BM22" s="109">
        <v>0</v>
      </c>
      <c r="BN22" s="112">
        <v>0</v>
      </c>
      <c r="BO22" s="109">
        <v>0</v>
      </c>
      <c r="BP22" s="112">
        <v>0</v>
      </c>
      <c r="BQ22" s="109">
        <v>0</v>
      </c>
      <c r="BR22" s="112">
        <v>0</v>
      </c>
      <c r="BS22" s="109">
        <v>30</v>
      </c>
      <c r="BT22" s="112">
        <v>100</v>
      </c>
      <c r="BU22" s="109">
        <v>30</v>
      </c>
      <c r="BV22" s="2"/>
      <c r="BW22" s="3"/>
      <c r="BX22" s="3"/>
      <c r="BY22" s="3"/>
      <c r="BZ22" s="3"/>
    </row>
    <row r="23" spans="1:78" ht="41.45" customHeight="1">
      <c r="A23" s="66" t="s">
        <v>295</v>
      </c>
      <c r="C23" s="67"/>
      <c r="D23" s="67" t="s">
        <v>64</v>
      </c>
      <c r="E23" s="68">
        <v>179.85480828718443</v>
      </c>
      <c r="F23" s="70">
        <v>99.90560698098324</v>
      </c>
      <c r="G23" s="104" t="str">
        <f>HYPERLINK("https://pbs.twimg.com/profile_images/794006780212838401/frkGovMb_normal.jpg")</f>
        <v>https://pbs.twimg.com/profile_images/794006780212838401/frkGovMb_normal.jpg</v>
      </c>
      <c r="H23" s="67"/>
      <c r="I23" s="71" t="s">
        <v>295</v>
      </c>
      <c r="J23" s="72"/>
      <c r="K23" s="72"/>
      <c r="L23" s="71" t="s">
        <v>743</v>
      </c>
      <c r="M23" s="75">
        <v>32.45804680431944</v>
      </c>
      <c r="N23" s="76">
        <v>6726.5029296875</v>
      </c>
      <c r="O23" s="76">
        <v>2363.54833984375</v>
      </c>
      <c r="P23" s="77"/>
      <c r="Q23" s="78"/>
      <c r="R23" s="78"/>
      <c r="S23" s="90"/>
      <c r="T23" s="49">
        <v>3</v>
      </c>
      <c r="U23" s="49">
        <v>4</v>
      </c>
      <c r="V23" s="50">
        <v>21</v>
      </c>
      <c r="W23" s="50">
        <v>0.009804</v>
      </c>
      <c r="X23" s="50">
        <v>0.018066</v>
      </c>
      <c r="Y23" s="50">
        <v>1.079636</v>
      </c>
      <c r="Z23" s="50">
        <v>0.5</v>
      </c>
      <c r="AA23" s="50">
        <v>0.4</v>
      </c>
      <c r="AB23" s="73">
        <v>23</v>
      </c>
      <c r="AC23" s="73"/>
      <c r="AD23" s="74"/>
      <c r="AE23" s="80" t="s">
        <v>517</v>
      </c>
      <c r="AF23" s="89" t="s">
        <v>579</v>
      </c>
      <c r="AG23" s="80">
        <v>1069</v>
      </c>
      <c r="AH23" s="80">
        <v>1422</v>
      </c>
      <c r="AI23" s="80">
        <v>1480</v>
      </c>
      <c r="AJ23" s="80">
        <v>2619</v>
      </c>
      <c r="AK23" s="80"/>
      <c r="AL23" s="80" t="s">
        <v>639</v>
      </c>
      <c r="AM23" s="80" t="s">
        <v>696</v>
      </c>
      <c r="AN23" s="80"/>
      <c r="AO23" s="80"/>
      <c r="AP23" s="82">
        <v>40699.85805555555</v>
      </c>
      <c r="AQ23" s="85" t="str">
        <f>HYPERLINK("https://pbs.twimg.com/profile_banners/311655376/1348356358")</f>
        <v>https://pbs.twimg.com/profile_banners/311655376/1348356358</v>
      </c>
      <c r="AR23" s="80" t="b">
        <v>0</v>
      </c>
      <c r="AS23" s="80" t="b">
        <v>0</v>
      </c>
      <c r="AT23" s="80" t="b">
        <v>1</v>
      </c>
      <c r="AU23" s="80"/>
      <c r="AV23" s="80">
        <v>8</v>
      </c>
      <c r="AW23" s="85" t="str">
        <f>HYPERLINK("https://abs.twimg.com/images/themes/theme6/bg.gif")</f>
        <v>https://abs.twimg.com/images/themes/theme6/bg.gif</v>
      </c>
      <c r="AX23" s="80" t="b">
        <v>0</v>
      </c>
      <c r="AY23" s="80" t="s">
        <v>723</v>
      </c>
      <c r="AZ23" s="85" t="str">
        <f>HYPERLINK("https://twitter.com/joaquinbazzano")</f>
        <v>https://twitter.com/joaquinbazzano</v>
      </c>
      <c r="BA23" s="80" t="s">
        <v>66</v>
      </c>
      <c r="BB23" s="80" t="str">
        <f>REPLACE(INDEX(GroupVertices[Group],MATCH(Vertices[[#This Row],[Vertex]],GroupVertices[Vertex],0)),1,1,"")</f>
        <v>5</v>
      </c>
      <c r="BC23" s="49" t="s">
        <v>336</v>
      </c>
      <c r="BD23" s="49" t="s">
        <v>336</v>
      </c>
      <c r="BE23" s="49" t="s">
        <v>337</v>
      </c>
      <c r="BF23" s="49" t="s">
        <v>337</v>
      </c>
      <c r="BG23" s="49"/>
      <c r="BH23" s="49"/>
      <c r="BI23" s="109" t="s">
        <v>1028</v>
      </c>
      <c r="BJ23" s="109" t="s">
        <v>1028</v>
      </c>
      <c r="BK23" s="109" t="s">
        <v>1048</v>
      </c>
      <c r="BL23" s="109" t="s">
        <v>1048</v>
      </c>
      <c r="BM23" s="109">
        <v>0</v>
      </c>
      <c r="BN23" s="112">
        <v>0</v>
      </c>
      <c r="BO23" s="109">
        <v>0</v>
      </c>
      <c r="BP23" s="112">
        <v>0</v>
      </c>
      <c r="BQ23" s="109">
        <v>0</v>
      </c>
      <c r="BR23" s="112">
        <v>0</v>
      </c>
      <c r="BS23" s="109">
        <v>30</v>
      </c>
      <c r="BT23" s="112">
        <v>100</v>
      </c>
      <c r="BU23" s="109">
        <v>30</v>
      </c>
      <c r="BV23" s="2"/>
      <c r="BW23" s="3"/>
      <c r="BX23" s="3"/>
      <c r="BY23" s="3"/>
      <c r="BZ23" s="3"/>
    </row>
    <row r="24" spans="1:78" ht="41.45" customHeight="1">
      <c r="A24" s="66" t="s">
        <v>306</v>
      </c>
      <c r="C24" s="67"/>
      <c r="D24" s="67" t="s">
        <v>64</v>
      </c>
      <c r="E24" s="68">
        <v>1000</v>
      </c>
      <c r="F24" s="70">
        <v>70.97247538784478</v>
      </c>
      <c r="G24" s="104" t="str">
        <f>HYPERLINK("https://pbs.twimg.com/profile_images/1351138372463583240/Ct6w3FvM_normal.jpg")</f>
        <v>https://pbs.twimg.com/profile_images/1351138372463583240/Ct6w3FvM_normal.jpg</v>
      </c>
      <c r="H24" s="67"/>
      <c r="I24" s="71" t="s">
        <v>306</v>
      </c>
      <c r="J24" s="72"/>
      <c r="K24" s="72"/>
      <c r="L24" s="71" t="s">
        <v>744</v>
      </c>
      <c r="M24" s="75">
        <v>9674.906369077597</v>
      </c>
      <c r="N24" s="76">
        <v>5665.818359375</v>
      </c>
      <c r="O24" s="76">
        <v>5133.650390625</v>
      </c>
      <c r="P24" s="77"/>
      <c r="Q24" s="78"/>
      <c r="R24" s="78"/>
      <c r="S24" s="90"/>
      <c r="T24" s="49">
        <v>4</v>
      </c>
      <c r="U24" s="49">
        <v>0</v>
      </c>
      <c r="V24" s="50">
        <v>0</v>
      </c>
      <c r="W24" s="50">
        <v>0.006944</v>
      </c>
      <c r="X24" s="50">
        <v>0.008607</v>
      </c>
      <c r="Y24" s="50">
        <v>0.884151</v>
      </c>
      <c r="Z24" s="50">
        <v>0.75</v>
      </c>
      <c r="AA24" s="50">
        <v>0</v>
      </c>
      <c r="AB24" s="73">
        <v>24</v>
      </c>
      <c r="AC24" s="73"/>
      <c r="AD24" s="74"/>
      <c r="AE24" s="80" t="s">
        <v>518</v>
      </c>
      <c r="AF24" s="89" t="s">
        <v>580</v>
      </c>
      <c r="AG24" s="80">
        <v>504</v>
      </c>
      <c r="AH24" s="80">
        <v>434225</v>
      </c>
      <c r="AI24" s="80">
        <v>36700</v>
      </c>
      <c r="AJ24" s="80">
        <v>984</v>
      </c>
      <c r="AK24" s="80"/>
      <c r="AL24" s="80" t="s">
        <v>640</v>
      </c>
      <c r="AM24" s="80" t="s">
        <v>695</v>
      </c>
      <c r="AN24" s="85" t="str">
        <f>HYPERLINK("https://t.co/IYJIKcZR0A")</f>
        <v>https://t.co/IYJIKcZR0A</v>
      </c>
      <c r="AO24" s="80"/>
      <c r="AP24" s="82">
        <v>40233.729467592595</v>
      </c>
      <c r="AQ24" s="85" t="str">
        <f>HYPERLINK("https://pbs.twimg.com/profile_banners/117142346/1610971467")</f>
        <v>https://pbs.twimg.com/profile_banners/117142346/1610971467</v>
      </c>
      <c r="AR24" s="80" t="b">
        <v>0</v>
      </c>
      <c r="AS24" s="80" t="b">
        <v>0</v>
      </c>
      <c r="AT24" s="80" t="b">
        <v>1</v>
      </c>
      <c r="AU24" s="80"/>
      <c r="AV24" s="80">
        <v>476</v>
      </c>
      <c r="AW24" s="85" t="str">
        <f>HYPERLINK("https://abs.twimg.com/images/themes/theme1/bg.png")</f>
        <v>https://abs.twimg.com/images/themes/theme1/bg.png</v>
      </c>
      <c r="AX24" s="80" t="b">
        <v>1</v>
      </c>
      <c r="AY24" s="80" t="s">
        <v>723</v>
      </c>
      <c r="AZ24" s="85" t="str">
        <f>HYPERLINK("https://twitter.com/notoquennada")</f>
        <v>https://twitter.com/notoquennada</v>
      </c>
      <c r="BA24" s="80" t="s">
        <v>65</v>
      </c>
      <c r="BB24" s="80" t="str">
        <f>REPLACE(INDEX(GroupVertices[Group],MATCH(Vertices[[#This Row],[Vertex]],GroupVertices[Vertex],0)),1,1,"")</f>
        <v>5</v>
      </c>
      <c r="BC24" s="49"/>
      <c r="BD24" s="49"/>
      <c r="BE24" s="49"/>
      <c r="BF24" s="49"/>
      <c r="BG24" s="49"/>
      <c r="BH24" s="49"/>
      <c r="BI24" s="49"/>
      <c r="BJ24" s="49"/>
      <c r="BK24" s="49"/>
      <c r="BL24" s="49"/>
      <c r="BM24" s="49"/>
      <c r="BN24" s="50"/>
      <c r="BO24" s="49"/>
      <c r="BP24" s="50"/>
      <c r="BQ24" s="49"/>
      <c r="BR24" s="50"/>
      <c r="BS24" s="49"/>
      <c r="BT24" s="50"/>
      <c r="BU24" s="49"/>
      <c r="BV24" s="2"/>
      <c r="BW24" s="3"/>
      <c r="BX24" s="3"/>
      <c r="BY24" s="3"/>
      <c r="BZ24" s="3"/>
    </row>
    <row r="25" spans="1:78" ht="41.45" customHeight="1">
      <c r="A25" s="66" t="s">
        <v>296</v>
      </c>
      <c r="C25" s="67"/>
      <c r="D25" s="67" t="s">
        <v>64</v>
      </c>
      <c r="E25" s="68">
        <v>199.80869460246564</v>
      </c>
      <c r="F25" s="70">
        <v>99.8001167656798</v>
      </c>
      <c r="G25" s="104" t="str">
        <f>HYPERLINK("https://pbs.twimg.com/profile_images/1264232810077982720/DaM6IJV3_normal.jpg")</f>
        <v>https://pbs.twimg.com/profile_images/1264232810077982720/DaM6IJV3_normal.jpg</v>
      </c>
      <c r="H25" s="67"/>
      <c r="I25" s="71" t="s">
        <v>296</v>
      </c>
      <c r="J25" s="72"/>
      <c r="K25" s="72"/>
      <c r="L25" s="71" t="s">
        <v>745</v>
      </c>
      <c r="M25" s="75">
        <v>67.61441922444413</v>
      </c>
      <c r="N25" s="76">
        <v>6440.8408203125</v>
      </c>
      <c r="O25" s="76">
        <v>5329.86328125</v>
      </c>
      <c r="P25" s="77"/>
      <c r="Q25" s="78"/>
      <c r="R25" s="78"/>
      <c r="S25" s="90"/>
      <c r="T25" s="49">
        <v>3</v>
      </c>
      <c r="U25" s="49">
        <v>4</v>
      </c>
      <c r="V25" s="50">
        <v>21</v>
      </c>
      <c r="W25" s="50">
        <v>0.009804</v>
      </c>
      <c r="X25" s="50">
        <v>0.018066</v>
      </c>
      <c r="Y25" s="50">
        <v>1.079636</v>
      </c>
      <c r="Z25" s="50">
        <v>0.5</v>
      </c>
      <c r="AA25" s="50">
        <v>0.4</v>
      </c>
      <c r="AB25" s="73">
        <v>25</v>
      </c>
      <c r="AC25" s="73"/>
      <c r="AD25" s="74"/>
      <c r="AE25" s="80" t="s">
        <v>519</v>
      </c>
      <c r="AF25" s="89" t="s">
        <v>581</v>
      </c>
      <c r="AG25" s="80">
        <v>688</v>
      </c>
      <c r="AH25" s="80">
        <v>3000</v>
      </c>
      <c r="AI25" s="80">
        <v>19343</v>
      </c>
      <c r="AJ25" s="80">
        <v>18475</v>
      </c>
      <c r="AK25" s="80"/>
      <c r="AL25" s="80" t="s">
        <v>641</v>
      </c>
      <c r="AM25" s="80" t="s">
        <v>695</v>
      </c>
      <c r="AN25" s="85" t="str">
        <f>HYPERLINK("https://t.co/xWlZzpptfE")</f>
        <v>https://t.co/xWlZzpptfE</v>
      </c>
      <c r="AO25" s="80"/>
      <c r="AP25" s="82">
        <v>42705.0384837963</v>
      </c>
      <c r="AQ25" s="85" t="str">
        <f>HYPERLINK("https://pbs.twimg.com/profile_banners/804126724049014784/1588294539")</f>
        <v>https://pbs.twimg.com/profile_banners/804126724049014784/1588294539</v>
      </c>
      <c r="AR25" s="80" t="b">
        <v>0</v>
      </c>
      <c r="AS25" s="80" t="b">
        <v>0</v>
      </c>
      <c r="AT25" s="80" t="b">
        <v>0</v>
      </c>
      <c r="AU25" s="80"/>
      <c r="AV25" s="80">
        <v>31</v>
      </c>
      <c r="AW25" s="85" t="str">
        <f>HYPERLINK("https://abs.twimg.com/images/themes/theme1/bg.png")</f>
        <v>https://abs.twimg.com/images/themes/theme1/bg.png</v>
      </c>
      <c r="AX25" s="80" t="b">
        <v>0</v>
      </c>
      <c r="AY25" s="80" t="s">
        <v>723</v>
      </c>
      <c r="AZ25" s="85" t="str">
        <f>HYPERLINK("https://twitter.com/sgdambrauskas")</f>
        <v>https://twitter.com/sgdambrauskas</v>
      </c>
      <c r="BA25" s="80" t="s">
        <v>66</v>
      </c>
      <c r="BB25" s="80" t="str">
        <f>REPLACE(INDEX(GroupVertices[Group],MATCH(Vertices[[#This Row],[Vertex]],GroupVertices[Vertex],0)),1,1,"")</f>
        <v>5</v>
      </c>
      <c r="BC25" s="49" t="s">
        <v>336</v>
      </c>
      <c r="BD25" s="49" t="s">
        <v>336</v>
      </c>
      <c r="BE25" s="49" t="s">
        <v>337</v>
      </c>
      <c r="BF25" s="49" t="s">
        <v>337</v>
      </c>
      <c r="BG25" s="49"/>
      <c r="BH25" s="49"/>
      <c r="BI25" s="109" t="s">
        <v>1028</v>
      </c>
      <c r="BJ25" s="109" t="s">
        <v>1028</v>
      </c>
      <c r="BK25" s="109" t="s">
        <v>1048</v>
      </c>
      <c r="BL25" s="109" t="s">
        <v>1048</v>
      </c>
      <c r="BM25" s="109">
        <v>0</v>
      </c>
      <c r="BN25" s="112">
        <v>0</v>
      </c>
      <c r="BO25" s="109">
        <v>0</v>
      </c>
      <c r="BP25" s="112">
        <v>0</v>
      </c>
      <c r="BQ25" s="109">
        <v>0</v>
      </c>
      <c r="BR25" s="112">
        <v>0</v>
      </c>
      <c r="BS25" s="109">
        <v>30</v>
      </c>
      <c r="BT25" s="112">
        <v>100</v>
      </c>
      <c r="BU25" s="109">
        <v>30</v>
      </c>
      <c r="BV25" s="2"/>
      <c r="BW25" s="3"/>
      <c r="BX25" s="3"/>
      <c r="BY25" s="3"/>
      <c r="BZ25" s="3"/>
    </row>
    <row r="26" spans="1:78" ht="41.45" customHeight="1">
      <c r="A26" s="66" t="s">
        <v>263</v>
      </c>
      <c r="C26" s="67"/>
      <c r="D26" s="67" t="s">
        <v>64</v>
      </c>
      <c r="E26" s="68">
        <v>162.56902717629129</v>
      </c>
      <c r="F26" s="70">
        <v>99.99699172389819</v>
      </c>
      <c r="G26" s="104" t="str">
        <f>HYPERLINK("https://pbs.twimg.com/profile_images/1019846946142543873/W6de_6_O_normal.jpg")</f>
        <v>https://pbs.twimg.com/profile_images/1019846946142543873/W6de_6_O_normal.jpg</v>
      </c>
      <c r="H26" s="67"/>
      <c r="I26" s="71" t="s">
        <v>263</v>
      </c>
      <c r="J26" s="72"/>
      <c r="K26" s="72"/>
      <c r="L26" s="71" t="s">
        <v>746</v>
      </c>
      <c r="M26" s="75">
        <v>2.002558148862872</v>
      </c>
      <c r="N26" s="76">
        <v>3098.25634765625</v>
      </c>
      <c r="O26" s="76">
        <v>3173.805908203125</v>
      </c>
      <c r="P26" s="77"/>
      <c r="Q26" s="78"/>
      <c r="R26" s="78"/>
      <c r="S26" s="90"/>
      <c r="T26" s="49">
        <v>0</v>
      </c>
      <c r="U26" s="49">
        <v>2</v>
      </c>
      <c r="V26" s="50">
        <v>0</v>
      </c>
      <c r="W26" s="50">
        <v>0.010526</v>
      </c>
      <c r="X26" s="50">
        <v>0.021633</v>
      </c>
      <c r="Y26" s="50">
        <v>0.534764</v>
      </c>
      <c r="Z26" s="50">
        <v>1</v>
      </c>
      <c r="AA26" s="50">
        <v>0</v>
      </c>
      <c r="AB26" s="73">
        <v>26</v>
      </c>
      <c r="AC26" s="73"/>
      <c r="AD26" s="74"/>
      <c r="AE26" s="80" t="s">
        <v>520</v>
      </c>
      <c r="AF26" s="89" t="s">
        <v>582</v>
      </c>
      <c r="AG26" s="80">
        <v>155</v>
      </c>
      <c r="AH26" s="80">
        <v>55</v>
      </c>
      <c r="AI26" s="80">
        <v>385</v>
      </c>
      <c r="AJ26" s="80">
        <v>516</v>
      </c>
      <c r="AK26" s="80"/>
      <c r="AL26" s="80" t="s">
        <v>642</v>
      </c>
      <c r="AM26" s="80"/>
      <c r="AN26" s="85" t="str">
        <f>HYPERLINK("https://t.co/acpftl30jn")</f>
        <v>https://t.co/acpftl30jn</v>
      </c>
      <c r="AO26" s="80"/>
      <c r="AP26" s="82">
        <v>42873.43765046296</v>
      </c>
      <c r="AQ26" s="85" t="str">
        <f>HYPERLINK("https://pbs.twimg.com/profile_banners/865152539418873856/1531987256")</f>
        <v>https://pbs.twimg.com/profile_banners/865152539418873856/1531987256</v>
      </c>
      <c r="AR26" s="80" t="b">
        <v>1</v>
      </c>
      <c r="AS26" s="80" t="b">
        <v>0</v>
      </c>
      <c r="AT26" s="80" t="b">
        <v>0</v>
      </c>
      <c r="AU26" s="80"/>
      <c r="AV26" s="80">
        <v>0</v>
      </c>
      <c r="AW26" s="80"/>
      <c r="AX26" s="80" t="b">
        <v>0</v>
      </c>
      <c r="AY26" s="80" t="s">
        <v>723</v>
      </c>
      <c r="AZ26" s="85" t="str">
        <f>HYPERLINK("https://twitter.com/s_treth")</f>
        <v>https://twitter.com/s_treth</v>
      </c>
      <c r="BA26" s="80" t="s">
        <v>66</v>
      </c>
      <c r="BB26" s="80" t="str">
        <f>REPLACE(INDEX(GroupVertices[Group],MATCH(Vertices[[#This Row],[Vertex]],GroupVertices[Vertex],0)),1,1,"")</f>
        <v>2</v>
      </c>
      <c r="BC26" s="49" t="s">
        <v>810</v>
      </c>
      <c r="BD26" s="49" t="s">
        <v>810</v>
      </c>
      <c r="BE26" s="49" t="s">
        <v>337</v>
      </c>
      <c r="BF26" s="49" t="s">
        <v>337</v>
      </c>
      <c r="BG26" s="49"/>
      <c r="BH26" s="49"/>
      <c r="BI26" s="109" t="s">
        <v>1029</v>
      </c>
      <c r="BJ26" s="109" t="s">
        <v>1029</v>
      </c>
      <c r="BK26" s="109" t="s">
        <v>1049</v>
      </c>
      <c r="BL26" s="109" t="s">
        <v>1049</v>
      </c>
      <c r="BM26" s="109">
        <v>4</v>
      </c>
      <c r="BN26" s="112">
        <v>11.764705882352942</v>
      </c>
      <c r="BO26" s="109">
        <v>0</v>
      </c>
      <c r="BP26" s="112">
        <v>0</v>
      </c>
      <c r="BQ26" s="109">
        <v>0</v>
      </c>
      <c r="BR26" s="112">
        <v>0</v>
      </c>
      <c r="BS26" s="109">
        <v>30</v>
      </c>
      <c r="BT26" s="112">
        <v>88.23529411764706</v>
      </c>
      <c r="BU26" s="109">
        <v>34</v>
      </c>
      <c r="BV26" s="2"/>
      <c r="BW26" s="3"/>
      <c r="BX26" s="3"/>
      <c r="BY26" s="3"/>
      <c r="BZ26" s="3"/>
    </row>
    <row r="27" spans="1:78" ht="41.45" customHeight="1">
      <c r="A27" s="66" t="s">
        <v>264</v>
      </c>
      <c r="C27" s="67"/>
      <c r="D27" s="67" t="s">
        <v>64</v>
      </c>
      <c r="E27" s="68">
        <v>178.38798267718911</v>
      </c>
      <c r="F27" s="70">
        <v>99.9133616482679</v>
      </c>
      <c r="G27" s="104" t="str">
        <f>HYPERLINK("https://pbs.twimg.com/profile_images/2473861452/g9tvodybxj6cj9psr1qw_normal.gif")</f>
        <v>https://pbs.twimg.com/profile_images/2473861452/g9tvodybxj6cj9psr1qw_normal.gif</v>
      </c>
      <c r="H27" s="67"/>
      <c r="I27" s="71" t="s">
        <v>264</v>
      </c>
      <c r="J27" s="72"/>
      <c r="K27" s="72"/>
      <c r="L27" s="71" t="s">
        <v>747</v>
      </c>
      <c r="M27" s="75">
        <v>29.873674687250702</v>
      </c>
      <c r="N27" s="76">
        <v>2443.093505859375</v>
      </c>
      <c r="O27" s="76">
        <v>2570.129638671875</v>
      </c>
      <c r="P27" s="77"/>
      <c r="Q27" s="78"/>
      <c r="R27" s="78"/>
      <c r="S27" s="90"/>
      <c r="T27" s="49">
        <v>0</v>
      </c>
      <c r="U27" s="49">
        <v>2</v>
      </c>
      <c r="V27" s="50">
        <v>0</v>
      </c>
      <c r="W27" s="50">
        <v>0.010526</v>
      </c>
      <c r="X27" s="50">
        <v>0.021633</v>
      </c>
      <c r="Y27" s="50">
        <v>0.534764</v>
      </c>
      <c r="Z27" s="50">
        <v>1</v>
      </c>
      <c r="AA27" s="50">
        <v>0</v>
      </c>
      <c r="AB27" s="73">
        <v>27</v>
      </c>
      <c r="AC27" s="73"/>
      <c r="AD27" s="74"/>
      <c r="AE27" s="80" t="s">
        <v>521</v>
      </c>
      <c r="AF27" s="89" t="s">
        <v>583</v>
      </c>
      <c r="AG27" s="80">
        <v>2150</v>
      </c>
      <c r="AH27" s="80">
        <v>1306</v>
      </c>
      <c r="AI27" s="80">
        <v>19819</v>
      </c>
      <c r="AJ27" s="80">
        <v>12363</v>
      </c>
      <c r="AK27" s="80"/>
      <c r="AL27" s="80" t="s">
        <v>643</v>
      </c>
      <c r="AM27" s="80"/>
      <c r="AN27" s="85" t="str">
        <f>HYPERLINK("https://t.co/p2gIWBDdAE")</f>
        <v>https://t.co/p2gIWBDdAE</v>
      </c>
      <c r="AO27" s="80"/>
      <c r="AP27" s="82">
        <v>41127.27446759259</v>
      </c>
      <c r="AQ27" s="80"/>
      <c r="AR27" s="80" t="b">
        <v>0</v>
      </c>
      <c r="AS27" s="80" t="b">
        <v>0</v>
      </c>
      <c r="AT27" s="80" t="b">
        <v>1</v>
      </c>
      <c r="AU27" s="80"/>
      <c r="AV27" s="80">
        <v>47</v>
      </c>
      <c r="AW27" s="85" t="str">
        <f>HYPERLINK("https://abs.twimg.com/images/themes/theme1/bg.png")</f>
        <v>https://abs.twimg.com/images/themes/theme1/bg.png</v>
      </c>
      <c r="AX27" s="80" t="b">
        <v>0</v>
      </c>
      <c r="AY27" s="80" t="s">
        <v>723</v>
      </c>
      <c r="AZ27" s="85" t="str">
        <f>HYPERLINK("https://twitter.com/uct_bmhsl")</f>
        <v>https://twitter.com/uct_bmhsl</v>
      </c>
      <c r="BA27" s="80" t="s">
        <v>66</v>
      </c>
      <c r="BB27" s="80" t="str">
        <f>REPLACE(INDEX(GroupVertices[Group],MATCH(Vertices[[#This Row],[Vertex]],GroupVertices[Vertex],0)),1,1,"")</f>
        <v>1</v>
      </c>
      <c r="BC27" s="49" t="s">
        <v>810</v>
      </c>
      <c r="BD27" s="49" t="s">
        <v>810</v>
      </c>
      <c r="BE27" s="49" t="s">
        <v>337</v>
      </c>
      <c r="BF27" s="49" t="s">
        <v>337</v>
      </c>
      <c r="BG27" s="49"/>
      <c r="BH27" s="49"/>
      <c r="BI27" s="109" t="s">
        <v>1026</v>
      </c>
      <c r="BJ27" s="109" t="s">
        <v>1026</v>
      </c>
      <c r="BK27" s="109" t="s">
        <v>1046</v>
      </c>
      <c r="BL27" s="109" t="s">
        <v>1046</v>
      </c>
      <c r="BM27" s="109">
        <v>1</v>
      </c>
      <c r="BN27" s="112">
        <v>2.7777777777777777</v>
      </c>
      <c r="BO27" s="109">
        <v>1</v>
      </c>
      <c r="BP27" s="112">
        <v>2.7777777777777777</v>
      </c>
      <c r="BQ27" s="109">
        <v>0</v>
      </c>
      <c r="BR27" s="112">
        <v>0</v>
      </c>
      <c r="BS27" s="109">
        <v>34</v>
      </c>
      <c r="BT27" s="112">
        <v>94.44444444444444</v>
      </c>
      <c r="BU27" s="109">
        <v>36</v>
      </c>
      <c r="BV27" s="2"/>
      <c r="BW27" s="3"/>
      <c r="BX27" s="3"/>
      <c r="BY27" s="3"/>
      <c r="BZ27" s="3"/>
    </row>
    <row r="28" spans="1:78" ht="41.45" customHeight="1">
      <c r="A28" s="66" t="s">
        <v>265</v>
      </c>
      <c r="C28" s="67"/>
      <c r="D28" s="67" t="s">
        <v>64</v>
      </c>
      <c r="E28" s="68">
        <v>164.63017005930195</v>
      </c>
      <c r="F28" s="70">
        <v>99.98609507935164</v>
      </c>
      <c r="G28" s="104" t="str">
        <f>HYPERLINK("https://pbs.twimg.com/profile_images/1161613222803324928/6zK4YPLN_normal.jpg")</f>
        <v>https://pbs.twimg.com/profile_images/1161613222803324928/6zK4YPLN_normal.jpg</v>
      </c>
      <c r="H28" s="67"/>
      <c r="I28" s="71" t="s">
        <v>265</v>
      </c>
      <c r="J28" s="72"/>
      <c r="K28" s="72"/>
      <c r="L28" s="71" t="s">
        <v>748</v>
      </c>
      <c r="M28" s="75">
        <v>5.63404655474394</v>
      </c>
      <c r="N28" s="76">
        <v>4084.17041015625</v>
      </c>
      <c r="O28" s="76">
        <v>330.3634338378906</v>
      </c>
      <c r="P28" s="77"/>
      <c r="Q28" s="78"/>
      <c r="R28" s="78"/>
      <c r="S28" s="90"/>
      <c r="T28" s="49">
        <v>0</v>
      </c>
      <c r="U28" s="49">
        <v>1</v>
      </c>
      <c r="V28" s="50">
        <v>0</v>
      </c>
      <c r="W28" s="50">
        <v>0.009346</v>
      </c>
      <c r="X28" s="50">
        <v>0.010585</v>
      </c>
      <c r="Y28" s="50">
        <v>0.341141</v>
      </c>
      <c r="Z28" s="50">
        <v>0</v>
      </c>
      <c r="AA28" s="50">
        <v>0</v>
      </c>
      <c r="AB28" s="73">
        <v>28</v>
      </c>
      <c r="AC28" s="73"/>
      <c r="AD28" s="74"/>
      <c r="AE28" s="80" t="s">
        <v>522</v>
      </c>
      <c r="AF28" s="89" t="s">
        <v>584</v>
      </c>
      <c r="AG28" s="80">
        <v>406</v>
      </c>
      <c r="AH28" s="80">
        <v>218</v>
      </c>
      <c r="AI28" s="80">
        <v>919</v>
      </c>
      <c r="AJ28" s="80">
        <v>1407</v>
      </c>
      <c r="AK28" s="80"/>
      <c r="AL28" s="80" t="s">
        <v>644</v>
      </c>
      <c r="AM28" s="80" t="s">
        <v>697</v>
      </c>
      <c r="AN28" s="80"/>
      <c r="AO28" s="80"/>
      <c r="AP28" s="82">
        <v>40777.73725694444</v>
      </c>
      <c r="AQ28" s="85" t="str">
        <f>HYPERLINK("https://pbs.twimg.com/profile_banners/360095992/1582097967")</f>
        <v>https://pbs.twimg.com/profile_banners/360095992/1582097967</v>
      </c>
      <c r="AR28" s="80" t="b">
        <v>1</v>
      </c>
      <c r="AS28" s="80" t="b">
        <v>0</v>
      </c>
      <c r="AT28" s="80" t="b">
        <v>0</v>
      </c>
      <c r="AU28" s="80"/>
      <c r="AV28" s="80">
        <v>1</v>
      </c>
      <c r="AW28" s="85" t="str">
        <f>HYPERLINK("https://abs.twimg.com/images/themes/theme1/bg.png")</f>
        <v>https://abs.twimg.com/images/themes/theme1/bg.png</v>
      </c>
      <c r="AX28" s="80" t="b">
        <v>0</v>
      </c>
      <c r="AY28" s="80" t="s">
        <v>723</v>
      </c>
      <c r="AZ28" s="85" t="str">
        <f>HYPERLINK("https://twitter.com/tlsophtha")</f>
        <v>https://twitter.com/tlsophtha</v>
      </c>
      <c r="BA28" s="80" t="s">
        <v>66</v>
      </c>
      <c r="BB28" s="80" t="str">
        <f>REPLACE(INDEX(GroupVertices[Group],MATCH(Vertices[[#This Row],[Vertex]],GroupVertices[Vertex],0)),1,1,"")</f>
        <v>2</v>
      </c>
      <c r="BC28" s="49" t="s">
        <v>809</v>
      </c>
      <c r="BD28" s="49" t="s">
        <v>809</v>
      </c>
      <c r="BE28" s="49" t="s">
        <v>337</v>
      </c>
      <c r="BF28" s="49" t="s">
        <v>337</v>
      </c>
      <c r="BG28" s="49" t="s">
        <v>340</v>
      </c>
      <c r="BH28" s="49" t="s">
        <v>340</v>
      </c>
      <c r="BI28" s="109" t="s">
        <v>1030</v>
      </c>
      <c r="BJ28" s="109" t="s">
        <v>1030</v>
      </c>
      <c r="BK28" s="109" t="s">
        <v>1050</v>
      </c>
      <c r="BL28" s="109" t="s">
        <v>1050</v>
      </c>
      <c r="BM28" s="109">
        <v>2</v>
      </c>
      <c r="BN28" s="112">
        <v>15.384615384615385</v>
      </c>
      <c r="BO28" s="109">
        <v>0</v>
      </c>
      <c r="BP28" s="112">
        <v>0</v>
      </c>
      <c r="BQ28" s="109">
        <v>0</v>
      </c>
      <c r="BR28" s="112">
        <v>0</v>
      </c>
      <c r="BS28" s="109">
        <v>11</v>
      </c>
      <c r="BT28" s="112">
        <v>84.61538461538461</v>
      </c>
      <c r="BU28" s="109">
        <v>13</v>
      </c>
      <c r="BV28" s="2"/>
      <c r="BW28" s="3"/>
      <c r="BX28" s="3"/>
      <c r="BY28" s="3"/>
      <c r="BZ28" s="3"/>
    </row>
    <row r="29" spans="1:78" ht="41.45" customHeight="1">
      <c r="A29" s="66" t="s">
        <v>266</v>
      </c>
      <c r="C29" s="67"/>
      <c r="D29" s="67" t="s">
        <v>64</v>
      </c>
      <c r="E29" s="68">
        <v>177.16141298607235</v>
      </c>
      <c r="F29" s="70">
        <v>99.9198461545318</v>
      </c>
      <c r="G29" s="104" t="str">
        <f>HYPERLINK("https://pbs.twimg.com/profile_images/1308019151945031682/xedbo0vn_normal.jpg")</f>
        <v>https://pbs.twimg.com/profile_images/1308019151945031682/xedbo0vn_normal.jpg</v>
      </c>
      <c r="H29" s="67"/>
      <c r="I29" s="71" t="s">
        <v>266</v>
      </c>
      <c r="J29" s="72"/>
      <c r="K29" s="72"/>
      <c r="L29" s="71" t="s">
        <v>749</v>
      </c>
      <c r="M29" s="75">
        <v>27.712604899701848</v>
      </c>
      <c r="N29" s="76">
        <v>9355.7119140625</v>
      </c>
      <c r="O29" s="76">
        <v>9000.568359375</v>
      </c>
      <c r="P29" s="77"/>
      <c r="Q29" s="78"/>
      <c r="R29" s="78"/>
      <c r="S29" s="90"/>
      <c r="T29" s="49">
        <v>1</v>
      </c>
      <c r="U29" s="49">
        <v>1</v>
      </c>
      <c r="V29" s="50">
        <v>0</v>
      </c>
      <c r="W29" s="50">
        <v>0</v>
      </c>
      <c r="X29" s="50">
        <v>0</v>
      </c>
      <c r="Y29" s="50">
        <v>0.999992</v>
      </c>
      <c r="Z29" s="50">
        <v>0</v>
      </c>
      <c r="AA29" s="50">
        <v>0</v>
      </c>
      <c r="AB29" s="73">
        <v>29</v>
      </c>
      <c r="AC29" s="73"/>
      <c r="AD29" s="74"/>
      <c r="AE29" s="80" t="s">
        <v>523</v>
      </c>
      <c r="AF29" s="89" t="s">
        <v>585</v>
      </c>
      <c r="AG29" s="80">
        <v>1466</v>
      </c>
      <c r="AH29" s="80">
        <v>1209</v>
      </c>
      <c r="AI29" s="80">
        <v>2282</v>
      </c>
      <c r="AJ29" s="80">
        <v>2725</v>
      </c>
      <c r="AK29" s="80"/>
      <c r="AL29" s="80" t="s">
        <v>645</v>
      </c>
      <c r="AM29" s="80"/>
      <c r="AN29" s="85" t="str">
        <f>HYPERLINK("https://t.co/Le9EGMslRr")</f>
        <v>https://t.co/Le9EGMslRr</v>
      </c>
      <c r="AO29" s="80"/>
      <c r="AP29" s="82">
        <v>42421.92979166667</v>
      </c>
      <c r="AQ29" s="85" t="str">
        <f>HYPERLINK("https://pbs.twimg.com/profile_banners/701531567114555392/1605649254")</f>
        <v>https://pbs.twimg.com/profile_banners/701531567114555392/1605649254</v>
      </c>
      <c r="AR29" s="80" t="b">
        <v>1</v>
      </c>
      <c r="AS29" s="80" t="b">
        <v>0</v>
      </c>
      <c r="AT29" s="80" t="b">
        <v>0</v>
      </c>
      <c r="AU29" s="80"/>
      <c r="AV29" s="80">
        <v>8</v>
      </c>
      <c r="AW29" s="80"/>
      <c r="AX29" s="80" t="b">
        <v>0</v>
      </c>
      <c r="AY29" s="80" t="s">
        <v>723</v>
      </c>
      <c r="AZ29" s="85" t="str">
        <f>HYPERLINK("https://twitter.com/kslagstad")</f>
        <v>https://twitter.com/kslagstad</v>
      </c>
      <c r="BA29" s="80" t="s">
        <v>66</v>
      </c>
      <c r="BB29" s="80" t="str">
        <f>REPLACE(INDEX(GroupVertices[Group],MATCH(Vertices[[#This Row],[Vertex]],GroupVertices[Vertex],0)),1,1,"")</f>
        <v>4</v>
      </c>
      <c r="BC29" s="49" t="s">
        <v>809</v>
      </c>
      <c r="BD29" s="49" t="s">
        <v>809</v>
      </c>
      <c r="BE29" s="49" t="s">
        <v>337</v>
      </c>
      <c r="BF29" s="49" t="s">
        <v>337</v>
      </c>
      <c r="BG29" s="49"/>
      <c r="BH29" s="49"/>
      <c r="BI29" s="109" t="s">
        <v>462</v>
      </c>
      <c r="BJ29" s="109" t="s">
        <v>462</v>
      </c>
      <c r="BK29" s="109" t="s">
        <v>462</v>
      </c>
      <c r="BL29" s="109" t="s">
        <v>462</v>
      </c>
      <c r="BM29" s="109">
        <v>0</v>
      </c>
      <c r="BN29" s="112">
        <v>0</v>
      </c>
      <c r="BO29" s="109">
        <v>0</v>
      </c>
      <c r="BP29" s="112">
        <v>0</v>
      </c>
      <c r="BQ29" s="109">
        <v>0</v>
      </c>
      <c r="BR29" s="112">
        <v>0</v>
      </c>
      <c r="BS29" s="109">
        <v>0</v>
      </c>
      <c r="BT29" s="112">
        <v>0</v>
      </c>
      <c r="BU29" s="109">
        <v>0</v>
      </c>
      <c r="BV29" s="2"/>
      <c r="BW29" s="3"/>
      <c r="BX29" s="3"/>
      <c r="BY29" s="3"/>
      <c r="BZ29" s="3"/>
    </row>
    <row r="30" spans="1:78" ht="41.45" customHeight="1">
      <c r="A30" s="66" t="s">
        <v>267</v>
      </c>
      <c r="C30" s="67"/>
      <c r="D30" s="67" t="s">
        <v>64</v>
      </c>
      <c r="E30" s="68">
        <v>163.70708152887386</v>
      </c>
      <c r="F30" s="70">
        <v>99.99097517169457</v>
      </c>
      <c r="G30" s="104" t="str">
        <f>HYPERLINK("https://pbs.twimg.com/profile_images/1256088680327872512/HwM6ivr8_normal.jpg")</f>
        <v>https://pbs.twimg.com/profile_images/1256088680327872512/HwM6ivr8_normal.jpg</v>
      </c>
      <c r="H30" s="67"/>
      <c r="I30" s="71" t="s">
        <v>267</v>
      </c>
      <c r="J30" s="72"/>
      <c r="K30" s="72"/>
      <c r="L30" s="71" t="s">
        <v>750</v>
      </c>
      <c r="M30" s="75">
        <v>4.007674446588615</v>
      </c>
      <c r="N30" s="76">
        <v>1871.116943359375</v>
      </c>
      <c r="O30" s="76">
        <v>9447.6083984375</v>
      </c>
      <c r="P30" s="77"/>
      <c r="Q30" s="78"/>
      <c r="R30" s="78"/>
      <c r="S30" s="90"/>
      <c r="T30" s="49">
        <v>0</v>
      </c>
      <c r="U30" s="49">
        <v>2</v>
      </c>
      <c r="V30" s="50">
        <v>0</v>
      </c>
      <c r="W30" s="50">
        <v>0.009709</v>
      </c>
      <c r="X30" s="50">
        <v>0.013515</v>
      </c>
      <c r="Y30" s="50">
        <v>0.558187</v>
      </c>
      <c r="Z30" s="50">
        <v>1</v>
      </c>
      <c r="AA30" s="50">
        <v>0</v>
      </c>
      <c r="AB30" s="73">
        <v>30</v>
      </c>
      <c r="AC30" s="73"/>
      <c r="AD30" s="74"/>
      <c r="AE30" s="80" t="s">
        <v>524</v>
      </c>
      <c r="AF30" s="89" t="s">
        <v>586</v>
      </c>
      <c r="AG30" s="80">
        <v>230</v>
      </c>
      <c r="AH30" s="80">
        <v>145</v>
      </c>
      <c r="AI30" s="80">
        <v>7260</v>
      </c>
      <c r="AJ30" s="80">
        <v>9834</v>
      </c>
      <c r="AK30" s="80"/>
      <c r="AL30" s="80" t="s">
        <v>646</v>
      </c>
      <c r="AM30" s="80" t="s">
        <v>698</v>
      </c>
      <c r="AN30" s="80"/>
      <c r="AO30" s="80"/>
      <c r="AP30" s="82">
        <v>42390.24015046296</v>
      </c>
      <c r="AQ30" s="85" t="str">
        <f>HYPERLINK("https://pbs.twimg.com/profile_banners/4831809603/1475912289")</f>
        <v>https://pbs.twimg.com/profile_banners/4831809603/1475912289</v>
      </c>
      <c r="AR30" s="80" t="b">
        <v>1</v>
      </c>
      <c r="AS30" s="80" t="b">
        <v>0</v>
      </c>
      <c r="AT30" s="80" t="b">
        <v>0</v>
      </c>
      <c r="AU30" s="80"/>
      <c r="AV30" s="80">
        <v>7</v>
      </c>
      <c r="AW30" s="80"/>
      <c r="AX30" s="80" t="b">
        <v>0</v>
      </c>
      <c r="AY30" s="80" t="s">
        <v>723</v>
      </c>
      <c r="AZ30" s="85" t="str">
        <f>HYPERLINK("https://twitter.com/dedebonnycastle")</f>
        <v>https://twitter.com/dedebonnycastle</v>
      </c>
      <c r="BA30" s="80" t="s">
        <v>66</v>
      </c>
      <c r="BB30" s="80" t="str">
        <f>REPLACE(INDEX(GroupVertices[Group],MATCH(Vertices[[#This Row],[Vertex]],GroupVertices[Vertex],0)),1,1,"")</f>
        <v>1</v>
      </c>
      <c r="BC30" s="49" t="s">
        <v>809</v>
      </c>
      <c r="BD30" s="49" t="s">
        <v>809</v>
      </c>
      <c r="BE30" s="49" t="s">
        <v>337</v>
      </c>
      <c r="BF30" s="49" t="s">
        <v>337</v>
      </c>
      <c r="BG30" s="49" t="s">
        <v>339</v>
      </c>
      <c r="BH30" s="49" t="s">
        <v>339</v>
      </c>
      <c r="BI30" s="109" t="s">
        <v>1025</v>
      </c>
      <c r="BJ30" s="109" t="s">
        <v>1025</v>
      </c>
      <c r="BK30" s="109" t="s">
        <v>1045</v>
      </c>
      <c r="BL30" s="109" t="s">
        <v>1045</v>
      </c>
      <c r="BM30" s="109">
        <v>1</v>
      </c>
      <c r="BN30" s="112">
        <v>2.9411764705882355</v>
      </c>
      <c r="BO30" s="109">
        <v>1</v>
      </c>
      <c r="BP30" s="112">
        <v>2.9411764705882355</v>
      </c>
      <c r="BQ30" s="109">
        <v>0</v>
      </c>
      <c r="BR30" s="112">
        <v>0</v>
      </c>
      <c r="BS30" s="109">
        <v>32</v>
      </c>
      <c r="BT30" s="112">
        <v>94.11764705882354</v>
      </c>
      <c r="BU30" s="109">
        <v>34</v>
      </c>
      <c r="BV30" s="2"/>
      <c r="BW30" s="3"/>
      <c r="BX30" s="3"/>
      <c r="BY30" s="3"/>
      <c r="BZ30" s="3"/>
    </row>
    <row r="31" spans="1:78" ht="41.45" customHeight="1">
      <c r="A31" s="66" t="s">
        <v>268</v>
      </c>
      <c r="C31" s="67"/>
      <c r="D31" s="67" t="s">
        <v>64</v>
      </c>
      <c r="E31" s="68">
        <v>164.83249083309443</v>
      </c>
      <c r="F31" s="70">
        <v>99.985025470071</v>
      </c>
      <c r="G31" s="104" t="str">
        <f>HYPERLINK("https://pbs.twimg.com/profile_images/1318182515677429760/ygr-gUit_normal.jpg")</f>
        <v>https://pbs.twimg.com/profile_images/1318182515677429760/ygr-gUit_normal.jpg</v>
      </c>
      <c r="H31" s="67"/>
      <c r="I31" s="71" t="s">
        <v>268</v>
      </c>
      <c r="J31" s="72"/>
      <c r="K31" s="72"/>
      <c r="L31" s="71" t="s">
        <v>751</v>
      </c>
      <c r="M31" s="75">
        <v>5.990511674339627</v>
      </c>
      <c r="N31" s="76">
        <v>3430.052001953125</v>
      </c>
      <c r="O31" s="76">
        <v>1327.002197265625</v>
      </c>
      <c r="P31" s="77"/>
      <c r="Q31" s="78"/>
      <c r="R31" s="78"/>
      <c r="S31" s="90"/>
      <c r="T31" s="49">
        <v>0</v>
      </c>
      <c r="U31" s="49">
        <v>2</v>
      </c>
      <c r="V31" s="50">
        <v>0</v>
      </c>
      <c r="W31" s="50">
        <v>0.010526</v>
      </c>
      <c r="X31" s="50">
        <v>0.021633</v>
      </c>
      <c r="Y31" s="50">
        <v>0.534764</v>
      </c>
      <c r="Z31" s="50">
        <v>1</v>
      </c>
      <c r="AA31" s="50">
        <v>0</v>
      </c>
      <c r="AB31" s="73">
        <v>31</v>
      </c>
      <c r="AC31" s="73"/>
      <c r="AD31" s="74"/>
      <c r="AE31" s="80" t="s">
        <v>525</v>
      </c>
      <c r="AF31" s="89" t="s">
        <v>587</v>
      </c>
      <c r="AG31" s="80">
        <v>226</v>
      </c>
      <c r="AH31" s="80">
        <v>234</v>
      </c>
      <c r="AI31" s="80">
        <v>7710</v>
      </c>
      <c r="AJ31" s="80">
        <v>8079</v>
      </c>
      <c r="AK31" s="80"/>
      <c r="AL31" s="80" t="s">
        <v>647</v>
      </c>
      <c r="AM31" s="80" t="s">
        <v>699</v>
      </c>
      <c r="AN31" s="80"/>
      <c r="AO31" s="80"/>
      <c r="AP31" s="82">
        <v>40983.24228009259</v>
      </c>
      <c r="AQ31" s="85" t="str">
        <f>HYPERLINK("https://pbs.twimg.com/profile_banners/525074650/1570682634")</f>
        <v>https://pbs.twimg.com/profile_banners/525074650/1570682634</v>
      </c>
      <c r="AR31" s="80" t="b">
        <v>1</v>
      </c>
      <c r="AS31" s="80" t="b">
        <v>0</v>
      </c>
      <c r="AT31" s="80" t="b">
        <v>1</v>
      </c>
      <c r="AU31" s="80"/>
      <c r="AV31" s="80">
        <v>1</v>
      </c>
      <c r="AW31" s="85" t="str">
        <f>HYPERLINK("https://abs.twimg.com/images/themes/theme1/bg.png")</f>
        <v>https://abs.twimg.com/images/themes/theme1/bg.png</v>
      </c>
      <c r="AX31" s="80" t="b">
        <v>0</v>
      </c>
      <c r="AY31" s="80" t="s">
        <v>723</v>
      </c>
      <c r="AZ31" s="85" t="str">
        <f>HYPERLINK("https://twitter.com/xthugginitx")</f>
        <v>https://twitter.com/xthugginitx</v>
      </c>
      <c r="BA31" s="80" t="s">
        <v>66</v>
      </c>
      <c r="BB31" s="80" t="str">
        <f>REPLACE(INDEX(GroupVertices[Group],MATCH(Vertices[[#This Row],[Vertex]],GroupVertices[Vertex],0)),1,1,"")</f>
        <v>2</v>
      </c>
      <c r="BC31" s="49" t="s">
        <v>810</v>
      </c>
      <c r="BD31" s="49" t="s">
        <v>810</v>
      </c>
      <c r="BE31" s="49" t="s">
        <v>337</v>
      </c>
      <c r="BF31" s="49" t="s">
        <v>337</v>
      </c>
      <c r="BG31" s="49"/>
      <c r="BH31" s="49"/>
      <c r="BI31" s="109" t="s">
        <v>1026</v>
      </c>
      <c r="BJ31" s="109" t="s">
        <v>1026</v>
      </c>
      <c r="BK31" s="109" t="s">
        <v>1046</v>
      </c>
      <c r="BL31" s="109" t="s">
        <v>1046</v>
      </c>
      <c r="BM31" s="109">
        <v>1</v>
      </c>
      <c r="BN31" s="112">
        <v>2.7777777777777777</v>
      </c>
      <c r="BO31" s="109">
        <v>1</v>
      </c>
      <c r="BP31" s="112">
        <v>2.7777777777777777</v>
      </c>
      <c r="BQ31" s="109">
        <v>0</v>
      </c>
      <c r="BR31" s="112">
        <v>0</v>
      </c>
      <c r="BS31" s="109">
        <v>34</v>
      </c>
      <c r="BT31" s="112">
        <v>94.44444444444444</v>
      </c>
      <c r="BU31" s="109">
        <v>36</v>
      </c>
      <c r="BV31" s="2"/>
      <c r="BW31" s="3"/>
      <c r="BX31" s="3"/>
      <c r="BY31" s="3"/>
      <c r="BZ31" s="3"/>
    </row>
    <row r="32" spans="1:78" ht="41.45" customHeight="1">
      <c r="A32" s="66" t="s">
        <v>269</v>
      </c>
      <c r="C32" s="67"/>
      <c r="D32" s="67" t="s">
        <v>64</v>
      </c>
      <c r="E32" s="68">
        <v>178.48914306408534</v>
      </c>
      <c r="F32" s="70">
        <v>99.91282684362758</v>
      </c>
      <c r="G32" s="104" t="str">
        <f>HYPERLINK("https://pbs.twimg.com/profile_images/638164839869779969/_wEpzvEH_normal.jpg")</f>
        <v>https://pbs.twimg.com/profile_images/638164839869779969/_wEpzvEH_normal.jpg</v>
      </c>
      <c r="H32" s="67"/>
      <c r="I32" s="71" t="s">
        <v>269</v>
      </c>
      <c r="J32" s="72"/>
      <c r="K32" s="72"/>
      <c r="L32" s="71" t="s">
        <v>752</v>
      </c>
      <c r="M32" s="75">
        <v>30.051907247048547</v>
      </c>
      <c r="N32" s="76">
        <v>371.360107421875</v>
      </c>
      <c r="O32" s="76">
        <v>5421.306640625</v>
      </c>
      <c r="P32" s="77"/>
      <c r="Q32" s="78"/>
      <c r="R32" s="78"/>
      <c r="S32" s="90"/>
      <c r="T32" s="49">
        <v>0</v>
      </c>
      <c r="U32" s="49">
        <v>2</v>
      </c>
      <c r="V32" s="50">
        <v>0</v>
      </c>
      <c r="W32" s="50">
        <v>0.009709</v>
      </c>
      <c r="X32" s="50">
        <v>0.013515</v>
      </c>
      <c r="Y32" s="50">
        <v>0.558187</v>
      </c>
      <c r="Z32" s="50">
        <v>1</v>
      </c>
      <c r="AA32" s="50">
        <v>0</v>
      </c>
      <c r="AB32" s="73">
        <v>32</v>
      </c>
      <c r="AC32" s="73"/>
      <c r="AD32" s="74"/>
      <c r="AE32" s="80" t="s">
        <v>526</v>
      </c>
      <c r="AF32" s="89" t="s">
        <v>588</v>
      </c>
      <c r="AG32" s="80">
        <v>2378</v>
      </c>
      <c r="AH32" s="80">
        <v>1314</v>
      </c>
      <c r="AI32" s="80">
        <v>10344</v>
      </c>
      <c r="AJ32" s="80">
        <v>9230</v>
      </c>
      <c r="AK32" s="80"/>
      <c r="AL32" s="80" t="s">
        <v>648</v>
      </c>
      <c r="AM32" s="80" t="s">
        <v>700</v>
      </c>
      <c r="AN32" s="85" t="str">
        <f>HYPERLINK("http://t.co/tAQOog3ZJd")</f>
        <v>http://t.co/tAQOog3ZJd</v>
      </c>
      <c r="AO32" s="80"/>
      <c r="AP32" s="82">
        <v>40219.0071875</v>
      </c>
      <c r="AQ32" s="85" t="str">
        <f>HYPERLINK("https://pbs.twimg.com/profile_banners/112873068/1511117468")</f>
        <v>https://pbs.twimg.com/profile_banners/112873068/1511117468</v>
      </c>
      <c r="AR32" s="80" t="b">
        <v>0</v>
      </c>
      <c r="AS32" s="80" t="b">
        <v>0</v>
      </c>
      <c r="AT32" s="80" t="b">
        <v>0</v>
      </c>
      <c r="AU32" s="80"/>
      <c r="AV32" s="80">
        <v>107</v>
      </c>
      <c r="AW32" s="85" t="str">
        <f>HYPERLINK("https://abs.twimg.com/images/themes/theme16/bg.gif")</f>
        <v>https://abs.twimg.com/images/themes/theme16/bg.gif</v>
      </c>
      <c r="AX32" s="80" t="b">
        <v>0</v>
      </c>
      <c r="AY32" s="80" t="s">
        <v>723</v>
      </c>
      <c r="AZ32" s="85" t="str">
        <f>HYPERLINK("https://twitter.com/christelbinnie")</f>
        <v>https://twitter.com/christelbinnie</v>
      </c>
      <c r="BA32" s="80" t="s">
        <v>66</v>
      </c>
      <c r="BB32" s="80" t="str">
        <f>REPLACE(INDEX(GroupVertices[Group],MATCH(Vertices[[#This Row],[Vertex]],GroupVertices[Vertex],0)),1,1,"")</f>
        <v>1</v>
      </c>
      <c r="BC32" s="49" t="s">
        <v>809</v>
      </c>
      <c r="BD32" s="49" t="s">
        <v>809</v>
      </c>
      <c r="BE32" s="49" t="s">
        <v>337</v>
      </c>
      <c r="BF32" s="49" t="s">
        <v>337</v>
      </c>
      <c r="BG32" s="49" t="s">
        <v>339</v>
      </c>
      <c r="BH32" s="49" t="s">
        <v>339</v>
      </c>
      <c r="BI32" s="109" t="s">
        <v>1025</v>
      </c>
      <c r="BJ32" s="109" t="s">
        <v>1025</v>
      </c>
      <c r="BK32" s="109" t="s">
        <v>1045</v>
      </c>
      <c r="BL32" s="109" t="s">
        <v>1045</v>
      </c>
      <c r="BM32" s="109">
        <v>1</v>
      </c>
      <c r="BN32" s="112">
        <v>2.9411764705882355</v>
      </c>
      <c r="BO32" s="109">
        <v>1</v>
      </c>
      <c r="BP32" s="112">
        <v>2.9411764705882355</v>
      </c>
      <c r="BQ32" s="109">
        <v>0</v>
      </c>
      <c r="BR32" s="112">
        <v>0</v>
      </c>
      <c r="BS32" s="109">
        <v>32</v>
      </c>
      <c r="BT32" s="112">
        <v>94.11764705882354</v>
      </c>
      <c r="BU32" s="109">
        <v>34</v>
      </c>
      <c r="BV32" s="2"/>
      <c r="BW32" s="3"/>
      <c r="BX32" s="3"/>
      <c r="BY32" s="3"/>
      <c r="BZ32" s="3"/>
    </row>
    <row r="33" spans="1:78" ht="41.45" customHeight="1">
      <c r="A33" s="66" t="s">
        <v>270</v>
      </c>
      <c r="C33" s="67"/>
      <c r="D33" s="67" t="s">
        <v>64</v>
      </c>
      <c r="E33" s="68">
        <v>198.6959303466071</v>
      </c>
      <c r="F33" s="70">
        <v>99.80599961672334</v>
      </c>
      <c r="G33" s="104" t="str">
        <f>HYPERLINK("https://pbs.twimg.com/profile_images/934873510568169472/JpHJzOcP_normal.jpg")</f>
        <v>https://pbs.twimg.com/profile_images/934873510568169472/JpHJzOcP_normal.jpg</v>
      </c>
      <c r="H33" s="67"/>
      <c r="I33" s="71" t="s">
        <v>270</v>
      </c>
      <c r="J33" s="72"/>
      <c r="K33" s="72"/>
      <c r="L33" s="71" t="s">
        <v>753</v>
      </c>
      <c r="M33" s="75">
        <v>65.65386106666786</v>
      </c>
      <c r="N33" s="76">
        <v>5134.373046875</v>
      </c>
      <c r="O33" s="76">
        <v>2606.966064453125</v>
      </c>
      <c r="P33" s="77"/>
      <c r="Q33" s="78"/>
      <c r="R33" s="78"/>
      <c r="S33" s="90"/>
      <c r="T33" s="49">
        <v>0</v>
      </c>
      <c r="U33" s="49">
        <v>3</v>
      </c>
      <c r="V33" s="50">
        <v>0</v>
      </c>
      <c r="W33" s="50">
        <v>0.010638</v>
      </c>
      <c r="X33" s="50">
        <v>0.026463</v>
      </c>
      <c r="Y33" s="50">
        <v>0.721992</v>
      </c>
      <c r="Z33" s="50">
        <v>0.8333333333333334</v>
      </c>
      <c r="AA33" s="50">
        <v>0</v>
      </c>
      <c r="AB33" s="73">
        <v>33</v>
      </c>
      <c r="AC33" s="73"/>
      <c r="AD33" s="74"/>
      <c r="AE33" s="80" t="s">
        <v>527</v>
      </c>
      <c r="AF33" s="89" t="s">
        <v>589</v>
      </c>
      <c r="AG33" s="80">
        <v>692</v>
      </c>
      <c r="AH33" s="80">
        <v>2912</v>
      </c>
      <c r="AI33" s="80">
        <v>8158</v>
      </c>
      <c r="AJ33" s="80">
        <v>11760</v>
      </c>
      <c r="AK33" s="80"/>
      <c r="AL33" s="80" t="s">
        <v>649</v>
      </c>
      <c r="AM33" s="80" t="s">
        <v>701</v>
      </c>
      <c r="AN33" s="85" t="str">
        <f>HYPERLINK("https://t.co/v2dmJwvdDm")</f>
        <v>https://t.co/v2dmJwvdDm</v>
      </c>
      <c r="AO33" s="80"/>
      <c r="AP33" s="82">
        <v>40630.81251157408</v>
      </c>
      <c r="AQ33" s="85" t="str">
        <f>HYPERLINK("https://pbs.twimg.com/profile_banners/273581909/1586731144")</f>
        <v>https://pbs.twimg.com/profile_banners/273581909/1586731144</v>
      </c>
      <c r="AR33" s="80" t="b">
        <v>1</v>
      </c>
      <c r="AS33" s="80" t="b">
        <v>0</v>
      </c>
      <c r="AT33" s="80" t="b">
        <v>1</v>
      </c>
      <c r="AU33" s="80"/>
      <c r="AV33" s="80">
        <v>26</v>
      </c>
      <c r="AW33" s="85" t="str">
        <f>HYPERLINK("https://abs.twimg.com/images/themes/theme1/bg.png")</f>
        <v>https://abs.twimg.com/images/themes/theme1/bg.png</v>
      </c>
      <c r="AX33" s="80" t="b">
        <v>0</v>
      </c>
      <c r="AY33" s="80" t="s">
        <v>723</v>
      </c>
      <c r="AZ33" s="85" t="str">
        <f>HYPERLINK("https://twitter.com/jturnesv")</f>
        <v>https://twitter.com/jturnesv</v>
      </c>
      <c r="BA33" s="80" t="s">
        <v>66</v>
      </c>
      <c r="BB33" s="80" t="str">
        <f>REPLACE(INDEX(GroupVertices[Group],MATCH(Vertices[[#This Row],[Vertex]],GroupVertices[Vertex],0)),1,1,"")</f>
        <v>2</v>
      </c>
      <c r="BC33" s="49" t="s">
        <v>809</v>
      </c>
      <c r="BD33" s="49" t="s">
        <v>809</v>
      </c>
      <c r="BE33" s="49" t="s">
        <v>337</v>
      </c>
      <c r="BF33" s="49" t="s">
        <v>337</v>
      </c>
      <c r="BG33" s="49"/>
      <c r="BH33" s="49"/>
      <c r="BI33" s="109" t="s">
        <v>1022</v>
      </c>
      <c r="BJ33" s="109" t="s">
        <v>1022</v>
      </c>
      <c r="BK33" s="109" t="s">
        <v>1042</v>
      </c>
      <c r="BL33" s="109" t="s">
        <v>1042</v>
      </c>
      <c r="BM33" s="109">
        <v>2</v>
      </c>
      <c r="BN33" s="112">
        <v>5</v>
      </c>
      <c r="BO33" s="109">
        <v>0</v>
      </c>
      <c r="BP33" s="112">
        <v>0</v>
      </c>
      <c r="BQ33" s="109">
        <v>0</v>
      </c>
      <c r="BR33" s="112">
        <v>0</v>
      </c>
      <c r="BS33" s="109">
        <v>38</v>
      </c>
      <c r="BT33" s="112">
        <v>95</v>
      </c>
      <c r="BU33" s="109">
        <v>40</v>
      </c>
      <c r="BV33" s="2"/>
      <c r="BW33" s="3"/>
      <c r="BX33" s="3"/>
      <c r="BY33" s="3"/>
      <c r="BZ33" s="3"/>
    </row>
    <row r="34" spans="1:78" ht="41.45" customHeight="1">
      <c r="A34" s="66" t="s">
        <v>271</v>
      </c>
      <c r="C34" s="67"/>
      <c r="D34" s="67" t="s">
        <v>64</v>
      </c>
      <c r="E34" s="68">
        <v>197.48200570385237</v>
      </c>
      <c r="F34" s="70">
        <v>99.8124172724072</v>
      </c>
      <c r="G34" s="104" t="str">
        <f>HYPERLINK("https://pbs.twimg.com/profile_images/1238302600501628933/WG-G4T2u_normal.jpg")</f>
        <v>https://pbs.twimg.com/profile_images/1238302600501628933/WG-G4T2u_normal.jpg</v>
      </c>
      <c r="H34" s="67"/>
      <c r="I34" s="71" t="s">
        <v>271</v>
      </c>
      <c r="J34" s="72"/>
      <c r="K34" s="72"/>
      <c r="L34" s="71" t="s">
        <v>754</v>
      </c>
      <c r="M34" s="75">
        <v>63.515070349093726</v>
      </c>
      <c r="N34" s="76">
        <v>9355.7119140625</v>
      </c>
      <c r="O34" s="76">
        <v>7664.431640625</v>
      </c>
      <c r="P34" s="77"/>
      <c r="Q34" s="78"/>
      <c r="R34" s="78"/>
      <c r="S34" s="90"/>
      <c r="T34" s="49">
        <v>1</v>
      </c>
      <c r="U34" s="49">
        <v>1</v>
      </c>
      <c r="V34" s="50">
        <v>0</v>
      </c>
      <c r="W34" s="50">
        <v>0</v>
      </c>
      <c r="X34" s="50">
        <v>0</v>
      </c>
      <c r="Y34" s="50">
        <v>0.999992</v>
      </c>
      <c r="Z34" s="50">
        <v>0</v>
      </c>
      <c r="AA34" s="50">
        <v>0</v>
      </c>
      <c r="AB34" s="73">
        <v>34</v>
      </c>
      <c r="AC34" s="73"/>
      <c r="AD34" s="74"/>
      <c r="AE34" s="80" t="s">
        <v>528</v>
      </c>
      <c r="AF34" s="89" t="s">
        <v>590</v>
      </c>
      <c r="AG34" s="80">
        <v>3231</v>
      </c>
      <c r="AH34" s="80">
        <v>2816</v>
      </c>
      <c r="AI34" s="80">
        <v>24511</v>
      </c>
      <c r="AJ34" s="80">
        <v>6058</v>
      </c>
      <c r="AK34" s="80"/>
      <c r="AL34" s="80" t="s">
        <v>650</v>
      </c>
      <c r="AM34" s="80" t="s">
        <v>702</v>
      </c>
      <c r="AN34" s="80"/>
      <c r="AO34" s="80"/>
      <c r="AP34" s="82">
        <v>39587.19265046297</v>
      </c>
      <c r="AQ34" s="85" t="str">
        <f>HYPERLINK("https://pbs.twimg.com/profile_banners/14828635/1446881835")</f>
        <v>https://pbs.twimg.com/profile_banners/14828635/1446881835</v>
      </c>
      <c r="AR34" s="80" t="b">
        <v>0</v>
      </c>
      <c r="AS34" s="80" t="b">
        <v>0</v>
      </c>
      <c r="AT34" s="80" t="b">
        <v>0</v>
      </c>
      <c r="AU34" s="80"/>
      <c r="AV34" s="80">
        <v>104</v>
      </c>
      <c r="AW34" s="85" t="str">
        <f>HYPERLINK("https://abs.twimg.com/images/themes/theme10/bg.gif")</f>
        <v>https://abs.twimg.com/images/themes/theme10/bg.gif</v>
      </c>
      <c r="AX34" s="80" t="b">
        <v>0</v>
      </c>
      <c r="AY34" s="80" t="s">
        <v>723</v>
      </c>
      <c r="AZ34" s="85" t="str">
        <f>HYPERLINK("https://twitter.com/axxiom")</f>
        <v>https://twitter.com/axxiom</v>
      </c>
      <c r="BA34" s="80" t="s">
        <v>66</v>
      </c>
      <c r="BB34" s="80" t="str">
        <f>REPLACE(INDEX(GroupVertices[Group],MATCH(Vertices[[#This Row],[Vertex]],GroupVertices[Vertex],0)),1,1,"")</f>
        <v>4</v>
      </c>
      <c r="BC34" s="49" t="s">
        <v>809</v>
      </c>
      <c r="BD34" s="49" t="s">
        <v>809</v>
      </c>
      <c r="BE34" s="49" t="s">
        <v>337</v>
      </c>
      <c r="BF34" s="49" t="s">
        <v>337</v>
      </c>
      <c r="BG34" s="49"/>
      <c r="BH34" s="49"/>
      <c r="BI34" s="109" t="s">
        <v>906</v>
      </c>
      <c r="BJ34" s="109" t="s">
        <v>906</v>
      </c>
      <c r="BK34" s="109" t="s">
        <v>967</v>
      </c>
      <c r="BL34" s="109" t="s">
        <v>967</v>
      </c>
      <c r="BM34" s="109">
        <v>0</v>
      </c>
      <c r="BN34" s="112">
        <v>0</v>
      </c>
      <c r="BO34" s="109">
        <v>1</v>
      </c>
      <c r="BP34" s="112">
        <v>12.5</v>
      </c>
      <c r="BQ34" s="109">
        <v>0</v>
      </c>
      <c r="BR34" s="112">
        <v>0</v>
      </c>
      <c r="BS34" s="109">
        <v>7</v>
      </c>
      <c r="BT34" s="112">
        <v>87.5</v>
      </c>
      <c r="BU34" s="109">
        <v>8</v>
      </c>
      <c r="BV34" s="2"/>
      <c r="BW34" s="3"/>
      <c r="BX34" s="3"/>
      <c r="BY34" s="3"/>
      <c r="BZ34" s="3"/>
    </row>
    <row r="35" spans="1:78" ht="41.45" customHeight="1">
      <c r="A35" s="66" t="s">
        <v>272</v>
      </c>
      <c r="C35" s="67"/>
      <c r="D35" s="67" t="s">
        <v>64</v>
      </c>
      <c r="E35" s="68">
        <v>522.6241342366948</v>
      </c>
      <c r="F35" s="70">
        <v>98.09348830783355</v>
      </c>
      <c r="G35" s="104" t="str">
        <f>HYPERLINK("https://pbs.twimg.com/profile_images/626755137457917952/vh8ToO1y_normal.jpg")</f>
        <v>https://pbs.twimg.com/profile_images/626755137457917952/vh8ToO1y_normal.jpg</v>
      </c>
      <c r="H35" s="67"/>
      <c r="I35" s="71" t="s">
        <v>272</v>
      </c>
      <c r="J35" s="72"/>
      <c r="K35" s="72"/>
      <c r="L35" s="71" t="s">
        <v>755</v>
      </c>
      <c r="M35" s="75">
        <v>636.3767966093386</v>
      </c>
      <c r="N35" s="76">
        <v>3960.7587890625</v>
      </c>
      <c r="O35" s="76">
        <v>3076.85107421875</v>
      </c>
      <c r="P35" s="77"/>
      <c r="Q35" s="78"/>
      <c r="R35" s="78"/>
      <c r="S35" s="90"/>
      <c r="T35" s="49">
        <v>0</v>
      </c>
      <c r="U35" s="49">
        <v>3</v>
      </c>
      <c r="V35" s="50">
        <v>0</v>
      </c>
      <c r="W35" s="50">
        <v>0.010638</v>
      </c>
      <c r="X35" s="50">
        <v>0.026463</v>
      </c>
      <c r="Y35" s="50">
        <v>0.721992</v>
      </c>
      <c r="Z35" s="50">
        <v>0.8333333333333334</v>
      </c>
      <c r="AA35" s="50">
        <v>0</v>
      </c>
      <c r="AB35" s="73">
        <v>35</v>
      </c>
      <c r="AC35" s="73"/>
      <c r="AD35" s="74"/>
      <c r="AE35" s="80" t="s">
        <v>529</v>
      </c>
      <c r="AF35" s="89" t="s">
        <v>591</v>
      </c>
      <c r="AG35" s="80">
        <v>29987</v>
      </c>
      <c r="AH35" s="80">
        <v>28529</v>
      </c>
      <c r="AI35" s="80">
        <v>173089</v>
      </c>
      <c r="AJ35" s="80">
        <v>353142</v>
      </c>
      <c r="AK35" s="80"/>
      <c r="AL35" s="80" t="s">
        <v>651</v>
      </c>
      <c r="AM35" s="80"/>
      <c r="AN35" s="85" t="str">
        <f>HYPERLINK("https://t.co/8tSg2klTLx")</f>
        <v>https://t.co/8tSg2klTLx</v>
      </c>
      <c r="AO35" s="80"/>
      <c r="AP35" s="82">
        <v>42215.58380787037</v>
      </c>
      <c r="AQ35" s="85" t="str">
        <f>HYPERLINK("https://pbs.twimg.com/profile_banners/3395637394/1439129784")</f>
        <v>https://pbs.twimg.com/profile_banners/3395637394/1439129784</v>
      </c>
      <c r="AR35" s="80" t="b">
        <v>1</v>
      </c>
      <c r="AS35" s="80" t="b">
        <v>0</v>
      </c>
      <c r="AT35" s="80" t="b">
        <v>1</v>
      </c>
      <c r="AU35" s="80"/>
      <c r="AV35" s="80">
        <v>734</v>
      </c>
      <c r="AW35" s="85" t="str">
        <f>HYPERLINK("https://abs.twimg.com/images/themes/theme1/bg.png")</f>
        <v>https://abs.twimg.com/images/themes/theme1/bg.png</v>
      </c>
      <c r="AX35" s="80" t="b">
        <v>0</v>
      </c>
      <c r="AY35" s="80" t="s">
        <v>723</v>
      </c>
      <c r="AZ35" s="85" t="str">
        <f>HYPERLINK("https://twitter.com/sminaev2015")</f>
        <v>https://twitter.com/sminaev2015</v>
      </c>
      <c r="BA35" s="80" t="s">
        <v>66</v>
      </c>
      <c r="BB35" s="80" t="str">
        <f>REPLACE(INDEX(GroupVertices[Group],MATCH(Vertices[[#This Row],[Vertex]],GroupVertices[Vertex],0)),1,1,"")</f>
        <v>2</v>
      </c>
      <c r="BC35" s="49" t="s">
        <v>809</v>
      </c>
      <c r="BD35" s="49" t="s">
        <v>809</v>
      </c>
      <c r="BE35" s="49" t="s">
        <v>337</v>
      </c>
      <c r="BF35" s="49" t="s">
        <v>337</v>
      </c>
      <c r="BG35" s="49"/>
      <c r="BH35" s="49"/>
      <c r="BI35" s="109" t="s">
        <v>1022</v>
      </c>
      <c r="BJ35" s="109" t="s">
        <v>1022</v>
      </c>
      <c r="BK35" s="109" t="s">
        <v>1042</v>
      </c>
      <c r="BL35" s="109" t="s">
        <v>1042</v>
      </c>
      <c r="BM35" s="109">
        <v>2</v>
      </c>
      <c r="BN35" s="112">
        <v>5</v>
      </c>
      <c r="BO35" s="109">
        <v>0</v>
      </c>
      <c r="BP35" s="112">
        <v>0</v>
      </c>
      <c r="BQ35" s="109">
        <v>0</v>
      </c>
      <c r="BR35" s="112">
        <v>0</v>
      </c>
      <c r="BS35" s="109">
        <v>38</v>
      </c>
      <c r="BT35" s="112">
        <v>95</v>
      </c>
      <c r="BU35" s="109">
        <v>40</v>
      </c>
      <c r="BV35" s="2"/>
      <c r="BW35" s="3"/>
      <c r="BX35" s="3"/>
      <c r="BY35" s="3"/>
      <c r="BZ35" s="3"/>
    </row>
    <row r="36" spans="1:78" ht="41.45" customHeight="1">
      <c r="A36" s="66" t="s">
        <v>273</v>
      </c>
      <c r="C36" s="67"/>
      <c r="D36" s="67" t="s">
        <v>64</v>
      </c>
      <c r="E36" s="68">
        <v>177.11083279262422</v>
      </c>
      <c r="F36" s="70">
        <v>99.92011355685196</v>
      </c>
      <c r="G36" s="104" t="str">
        <f>HYPERLINK("https://pbs.twimg.com/profile_images/1295222876048625665/B5fnB92i_normal.jpg")</f>
        <v>https://pbs.twimg.com/profile_images/1295222876048625665/B5fnB92i_normal.jpg</v>
      </c>
      <c r="H36" s="67"/>
      <c r="I36" s="71" t="s">
        <v>273</v>
      </c>
      <c r="J36" s="72"/>
      <c r="K36" s="72"/>
      <c r="L36" s="71" t="s">
        <v>756</v>
      </c>
      <c r="M36" s="75">
        <v>27.623488619802924</v>
      </c>
      <c r="N36" s="76">
        <v>6886.65771484375</v>
      </c>
      <c r="O36" s="76">
        <v>330.3634338378906</v>
      </c>
      <c r="P36" s="77"/>
      <c r="Q36" s="78"/>
      <c r="R36" s="78"/>
      <c r="S36" s="90"/>
      <c r="T36" s="49">
        <v>0</v>
      </c>
      <c r="U36" s="49">
        <v>3</v>
      </c>
      <c r="V36" s="50">
        <v>28.666667</v>
      </c>
      <c r="W36" s="50">
        <v>0.009901</v>
      </c>
      <c r="X36" s="50">
        <v>0.013406</v>
      </c>
      <c r="Y36" s="50">
        <v>0.79273</v>
      </c>
      <c r="Z36" s="50">
        <v>0.3333333333333333</v>
      </c>
      <c r="AA36" s="50">
        <v>0</v>
      </c>
      <c r="AB36" s="73">
        <v>36</v>
      </c>
      <c r="AC36" s="73"/>
      <c r="AD36" s="74"/>
      <c r="AE36" s="80" t="s">
        <v>530</v>
      </c>
      <c r="AF36" s="89" t="s">
        <v>592</v>
      </c>
      <c r="AG36" s="80">
        <v>733</v>
      </c>
      <c r="AH36" s="80">
        <v>1205</v>
      </c>
      <c r="AI36" s="80">
        <v>51252</v>
      </c>
      <c r="AJ36" s="80">
        <v>129787</v>
      </c>
      <c r="AK36" s="80"/>
      <c r="AL36" s="80" t="s">
        <v>652</v>
      </c>
      <c r="AM36" s="80" t="s">
        <v>703</v>
      </c>
      <c r="AN36" s="85" t="str">
        <f>HYPERLINK("https://t.co/cgEjQeSpHG")</f>
        <v>https://t.co/cgEjQeSpHG</v>
      </c>
      <c r="AO36" s="80"/>
      <c r="AP36" s="82">
        <v>39935.78108796296</v>
      </c>
      <c r="AQ36" s="85" t="str">
        <f>HYPERLINK("https://pbs.twimg.com/profile_banners/37255347/1576198587")</f>
        <v>https://pbs.twimg.com/profile_banners/37255347/1576198587</v>
      </c>
      <c r="AR36" s="80" t="b">
        <v>0</v>
      </c>
      <c r="AS36" s="80" t="b">
        <v>0</v>
      </c>
      <c r="AT36" s="80" t="b">
        <v>0</v>
      </c>
      <c r="AU36" s="80"/>
      <c r="AV36" s="80">
        <v>56</v>
      </c>
      <c r="AW36" s="85" t="str">
        <f>HYPERLINK("https://abs.twimg.com/images/themes/theme10/bg.gif")</f>
        <v>https://abs.twimg.com/images/themes/theme10/bg.gif</v>
      </c>
      <c r="AX36" s="80" t="b">
        <v>0</v>
      </c>
      <c r="AY36" s="80" t="s">
        <v>723</v>
      </c>
      <c r="AZ36" s="85" t="str">
        <f>HYPERLINK("https://twitter.com/abuela_viajera")</f>
        <v>https://twitter.com/abuela_viajera</v>
      </c>
      <c r="BA36" s="80" t="s">
        <v>66</v>
      </c>
      <c r="BB36" s="80" t="str">
        <f>REPLACE(INDEX(GroupVertices[Group],MATCH(Vertices[[#This Row],[Vertex]],GroupVertices[Vertex],0)),1,1,"")</f>
        <v>6</v>
      </c>
      <c r="BC36" s="49" t="s">
        <v>809</v>
      </c>
      <c r="BD36" s="49" t="s">
        <v>809</v>
      </c>
      <c r="BE36" s="49" t="s">
        <v>337</v>
      </c>
      <c r="BF36" s="49" t="s">
        <v>337</v>
      </c>
      <c r="BG36" s="49"/>
      <c r="BH36" s="49"/>
      <c r="BI36" s="109" t="s">
        <v>1031</v>
      </c>
      <c r="BJ36" s="109" t="s">
        <v>1031</v>
      </c>
      <c r="BK36" s="109" t="s">
        <v>1051</v>
      </c>
      <c r="BL36" s="109" t="s">
        <v>1051</v>
      </c>
      <c r="BM36" s="109">
        <v>0</v>
      </c>
      <c r="BN36" s="112">
        <v>0</v>
      </c>
      <c r="BO36" s="109">
        <v>0</v>
      </c>
      <c r="BP36" s="112">
        <v>0</v>
      </c>
      <c r="BQ36" s="109">
        <v>0</v>
      </c>
      <c r="BR36" s="112">
        <v>0</v>
      </c>
      <c r="BS36" s="109">
        <v>30</v>
      </c>
      <c r="BT36" s="112">
        <v>100</v>
      </c>
      <c r="BU36" s="109">
        <v>30</v>
      </c>
      <c r="BV36" s="2"/>
      <c r="BW36" s="3"/>
      <c r="BX36" s="3"/>
      <c r="BY36" s="3"/>
      <c r="BZ36" s="3"/>
    </row>
    <row r="37" spans="1:78" ht="41.45" customHeight="1">
      <c r="A37" s="66" t="s">
        <v>291</v>
      </c>
      <c r="C37" s="67"/>
      <c r="D37" s="67" t="s">
        <v>64</v>
      </c>
      <c r="E37" s="68">
        <v>255.85154894297656</v>
      </c>
      <c r="F37" s="70">
        <v>99.50383499494164</v>
      </c>
      <c r="G37" s="104" t="str">
        <f>HYPERLINK("https://pbs.twimg.com/profile_images/1278852771274514434/Py0ZTxME_normal.jpg")</f>
        <v>https://pbs.twimg.com/profile_images/1278852771274514434/Py0ZTxME_normal.jpg</v>
      </c>
      <c r="H37" s="67"/>
      <c r="I37" s="71" t="s">
        <v>291</v>
      </c>
      <c r="J37" s="72"/>
      <c r="K37" s="72"/>
      <c r="L37" s="71" t="s">
        <v>757</v>
      </c>
      <c r="M37" s="75">
        <v>166.35525735244963</v>
      </c>
      <c r="N37" s="76">
        <v>7728.00439453125</v>
      </c>
      <c r="O37" s="76">
        <v>1264.190673828125</v>
      </c>
      <c r="P37" s="77"/>
      <c r="Q37" s="78"/>
      <c r="R37" s="78"/>
      <c r="S37" s="90"/>
      <c r="T37" s="49">
        <v>2</v>
      </c>
      <c r="U37" s="49">
        <v>3</v>
      </c>
      <c r="V37" s="50">
        <v>29.333333</v>
      </c>
      <c r="W37" s="50">
        <v>0.01</v>
      </c>
      <c r="X37" s="50">
        <v>0.014833</v>
      </c>
      <c r="Y37" s="50">
        <v>1.024283</v>
      </c>
      <c r="Z37" s="50">
        <v>0.3333333333333333</v>
      </c>
      <c r="AA37" s="50">
        <v>0.25</v>
      </c>
      <c r="AB37" s="73">
        <v>37</v>
      </c>
      <c r="AC37" s="73"/>
      <c r="AD37" s="74"/>
      <c r="AE37" s="80" t="s">
        <v>531</v>
      </c>
      <c r="AF37" s="89" t="s">
        <v>593</v>
      </c>
      <c r="AG37" s="80">
        <v>193</v>
      </c>
      <c r="AH37" s="80">
        <v>7432</v>
      </c>
      <c r="AI37" s="80">
        <v>8420</v>
      </c>
      <c r="AJ37" s="80">
        <v>28568</v>
      </c>
      <c r="AK37" s="80"/>
      <c r="AL37" s="80" t="s">
        <v>653</v>
      </c>
      <c r="AM37" s="80" t="s">
        <v>704</v>
      </c>
      <c r="AN37" s="80"/>
      <c r="AO37" s="80"/>
      <c r="AP37" s="82">
        <v>44015.03261574074</v>
      </c>
      <c r="AQ37" s="85" t="str">
        <f>HYPERLINK("https://pbs.twimg.com/profile_banners/1278852594606235654/1594600313")</f>
        <v>https://pbs.twimg.com/profile_banners/1278852594606235654/1594600313</v>
      </c>
      <c r="AR37" s="80" t="b">
        <v>1</v>
      </c>
      <c r="AS37" s="80" t="b">
        <v>0</v>
      </c>
      <c r="AT37" s="80" t="b">
        <v>0</v>
      </c>
      <c r="AU37" s="80"/>
      <c r="AV37" s="80">
        <v>12</v>
      </c>
      <c r="AW37" s="80"/>
      <c r="AX37" s="80" t="b">
        <v>0</v>
      </c>
      <c r="AY37" s="80" t="s">
        <v>723</v>
      </c>
      <c r="AZ37" s="85" t="str">
        <f>HYPERLINK("https://twitter.com/jschmukler")</f>
        <v>https://twitter.com/jschmukler</v>
      </c>
      <c r="BA37" s="80" t="s">
        <v>66</v>
      </c>
      <c r="BB37" s="80" t="str">
        <f>REPLACE(INDEX(GroupVertices[Group],MATCH(Vertices[[#This Row],[Vertex]],GroupVertices[Vertex],0)),1,1,"")</f>
        <v>6</v>
      </c>
      <c r="BC37" s="49" t="s">
        <v>809</v>
      </c>
      <c r="BD37" s="49" t="s">
        <v>809</v>
      </c>
      <c r="BE37" s="49" t="s">
        <v>337</v>
      </c>
      <c r="BF37" s="49" t="s">
        <v>337</v>
      </c>
      <c r="BG37" s="49"/>
      <c r="BH37" s="49"/>
      <c r="BI37" s="109" t="s">
        <v>1032</v>
      </c>
      <c r="BJ37" s="109" t="s">
        <v>1040</v>
      </c>
      <c r="BK37" s="109" t="s">
        <v>1052</v>
      </c>
      <c r="BL37" s="109" t="s">
        <v>1052</v>
      </c>
      <c r="BM37" s="109">
        <v>0</v>
      </c>
      <c r="BN37" s="112">
        <v>0</v>
      </c>
      <c r="BO37" s="109">
        <v>0</v>
      </c>
      <c r="BP37" s="112">
        <v>0</v>
      </c>
      <c r="BQ37" s="109">
        <v>0</v>
      </c>
      <c r="BR37" s="112">
        <v>0</v>
      </c>
      <c r="BS37" s="109">
        <v>33</v>
      </c>
      <c r="BT37" s="112">
        <v>100</v>
      </c>
      <c r="BU37" s="109">
        <v>33</v>
      </c>
      <c r="BV37" s="2"/>
      <c r="BW37" s="3"/>
      <c r="BX37" s="3"/>
      <c r="BY37" s="3"/>
      <c r="BZ37" s="3"/>
    </row>
    <row r="38" spans="1:78" ht="41.45" customHeight="1">
      <c r="A38" s="66" t="s">
        <v>307</v>
      </c>
      <c r="C38" s="67"/>
      <c r="D38" s="67" t="s">
        <v>64</v>
      </c>
      <c r="E38" s="68">
        <v>442.83387907229405</v>
      </c>
      <c r="F38" s="70">
        <v>98.5153154678872</v>
      </c>
      <c r="G38" s="104" t="str">
        <f>HYPERLINK("https://pbs.twimg.com/profile_images/1342790133410619392/-k2blu5y_normal.jpg")</f>
        <v>https://pbs.twimg.com/profile_images/1342790133410619392/-k2blu5y_normal.jpg</v>
      </c>
      <c r="H38" s="67"/>
      <c r="I38" s="71" t="s">
        <v>307</v>
      </c>
      <c r="J38" s="72"/>
      <c r="K38" s="72"/>
      <c r="L38" s="71" t="s">
        <v>758</v>
      </c>
      <c r="M38" s="75">
        <v>495.7958650687892</v>
      </c>
      <c r="N38" s="76">
        <v>8990.0244140625</v>
      </c>
      <c r="O38" s="76">
        <v>2664.931640625</v>
      </c>
      <c r="P38" s="77"/>
      <c r="Q38" s="78"/>
      <c r="R38" s="78"/>
      <c r="S38" s="90"/>
      <c r="T38" s="49">
        <v>3</v>
      </c>
      <c r="U38" s="49">
        <v>0</v>
      </c>
      <c r="V38" s="50">
        <v>0.666667</v>
      </c>
      <c r="W38" s="50">
        <v>0.006993</v>
      </c>
      <c r="X38" s="50">
        <v>0.00496</v>
      </c>
      <c r="Y38" s="50">
        <v>0.816873</v>
      </c>
      <c r="Z38" s="50">
        <v>0.5</v>
      </c>
      <c r="AA38" s="50">
        <v>0</v>
      </c>
      <c r="AB38" s="73">
        <v>38</v>
      </c>
      <c r="AC38" s="73"/>
      <c r="AD38" s="74"/>
      <c r="AE38" s="80" t="s">
        <v>532</v>
      </c>
      <c r="AF38" s="89" t="s">
        <v>465</v>
      </c>
      <c r="AG38" s="80">
        <v>1010</v>
      </c>
      <c r="AH38" s="80">
        <v>22219</v>
      </c>
      <c r="AI38" s="80">
        <v>130560</v>
      </c>
      <c r="AJ38" s="80">
        <v>110442</v>
      </c>
      <c r="AK38" s="80"/>
      <c r="AL38" s="80" t="s">
        <v>654</v>
      </c>
      <c r="AM38" s="80"/>
      <c r="AN38" s="85" t="str">
        <f>HYPERLINK("https://t.co/TnVPQJBksG")</f>
        <v>https://t.co/TnVPQJBksG</v>
      </c>
      <c r="AO38" s="80"/>
      <c r="AP38" s="82">
        <v>40580.69085648148</v>
      </c>
      <c r="AQ38" s="85" t="str">
        <f>HYPERLINK("https://pbs.twimg.com/profile_banners/248263350/1617070210")</f>
        <v>https://pbs.twimg.com/profile_banners/248263350/1617070210</v>
      </c>
      <c r="AR38" s="80" t="b">
        <v>0</v>
      </c>
      <c r="AS38" s="80" t="b">
        <v>0</v>
      </c>
      <c r="AT38" s="80" t="b">
        <v>1</v>
      </c>
      <c r="AU38" s="80"/>
      <c r="AV38" s="80">
        <v>94</v>
      </c>
      <c r="AW38" s="85" t="str">
        <f>HYPERLINK("https://abs.twimg.com/images/themes/theme17/bg.gif")</f>
        <v>https://abs.twimg.com/images/themes/theme17/bg.gif</v>
      </c>
      <c r="AX38" s="80" t="b">
        <v>0</v>
      </c>
      <c r="AY38" s="80" t="s">
        <v>723</v>
      </c>
      <c r="AZ38" s="85" t="str">
        <f>HYPERLINK("https://twitter.com/decimononnica")</f>
        <v>https://twitter.com/decimononnica</v>
      </c>
      <c r="BA38" s="80" t="s">
        <v>65</v>
      </c>
      <c r="BB38" s="80" t="str">
        <f>REPLACE(INDEX(GroupVertices[Group],MATCH(Vertices[[#This Row],[Vertex]],GroupVertices[Vertex],0)),1,1,"")</f>
        <v>6</v>
      </c>
      <c r="BC38" s="49"/>
      <c r="BD38" s="49"/>
      <c r="BE38" s="49"/>
      <c r="BF38" s="49"/>
      <c r="BG38" s="49"/>
      <c r="BH38" s="49"/>
      <c r="BI38" s="49"/>
      <c r="BJ38" s="49"/>
      <c r="BK38" s="49"/>
      <c r="BL38" s="49"/>
      <c r="BM38" s="49"/>
      <c r="BN38" s="50"/>
      <c r="BO38" s="49"/>
      <c r="BP38" s="50"/>
      <c r="BQ38" s="49"/>
      <c r="BR38" s="50"/>
      <c r="BS38" s="49"/>
      <c r="BT38" s="50"/>
      <c r="BU38" s="49"/>
      <c r="BV38" s="2"/>
      <c r="BW38" s="3"/>
      <c r="BX38" s="3"/>
      <c r="BY38" s="3"/>
      <c r="BZ38" s="3"/>
    </row>
    <row r="39" spans="1:78" ht="41.45" customHeight="1">
      <c r="A39" s="66" t="s">
        <v>274</v>
      </c>
      <c r="C39" s="67"/>
      <c r="D39" s="67" t="s">
        <v>64</v>
      </c>
      <c r="E39" s="68">
        <v>516.3521902491286</v>
      </c>
      <c r="F39" s="70">
        <v>98.1266461955335</v>
      </c>
      <c r="G39" s="104" t="str">
        <f>HYPERLINK("https://pbs.twimg.com/profile_images/1153839283259629570/OYHwVln6_normal.jpg")</f>
        <v>https://pbs.twimg.com/profile_images/1153839283259629570/OYHwVln6_normal.jpg</v>
      </c>
      <c r="H39" s="67"/>
      <c r="I39" s="71" t="s">
        <v>274</v>
      </c>
      <c r="J39" s="72"/>
      <c r="K39" s="72"/>
      <c r="L39" s="71" t="s">
        <v>759</v>
      </c>
      <c r="M39" s="75">
        <v>625.3263779018722</v>
      </c>
      <c r="N39" s="76">
        <v>1147.417724609375</v>
      </c>
      <c r="O39" s="76">
        <v>330.3634338378906</v>
      </c>
      <c r="P39" s="77"/>
      <c r="Q39" s="78"/>
      <c r="R39" s="78"/>
      <c r="S39" s="90"/>
      <c r="T39" s="49">
        <v>0</v>
      </c>
      <c r="U39" s="49">
        <v>2</v>
      </c>
      <c r="V39" s="50">
        <v>0</v>
      </c>
      <c r="W39" s="50">
        <v>0.010526</v>
      </c>
      <c r="X39" s="50">
        <v>0.021633</v>
      </c>
      <c r="Y39" s="50">
        <v>0.534764</v>
      </c>
      <c r="Z39" s="50">
        <v>1</v>
      </c>
      <c r="AA39" s="50">
        <v>0</v>
      </c>
      <c r="AB39" s="73">
        <v>39</v>
      </c>
      <c r="AC39" s="73"/>
      <c r="AD39" s="74"/>
      <c r="AE39" s="80" t="s">
        <v>533</v>
      </c>
      <c r="AF39" s="89" t="s">
        <v>594</v>
      </c>
      <c r="AG39" s="80">
        <v>889</v>
      </c>
      <c r="AH39" s="80">
        <v>28033</v>
      </c>
      <c r="AI39" s="80">
        <v>16466</v>
      </c>
      <c r="AJ39" s="80">
        <v>6352</v>
      </c>
      <c r="AK39" s="80"/>
      <c r="AL39" s="80" t="s">
        <v>655</v>
      </c>
      <c r="AM39" s="80"/>
      <c r="AN39" s="80"/>
      <c r="AO39" s="80"/>
      <c r="AP39" s="82">
        <v>40420.58399305555</v>
      </c>
      <c r="AQ39" s="85" t="str">
        <f>HYPERLINK("https://pbs.twimg.com/profile_banners/184789840/1583852930")</f>
        <v>https://pbs.twimg.com/profile_banners/184789840/1583852930</v>
      </c>
      <c r="AR39" s="80" t="b">
        <v>0</v>
      </c>
      <c r="AS39" s="80" t="b">
        <v>0</v>
      </c>
      <c r="AT39" s="80" t="b">
        <v>0</v>
      </c>
      <c r="AU39" s="80"/>
      <c r="AV39" s="80">
        <v>689</v>
      </c>
      <c r="AW39" s="85" t="str">
        <f>HYPERLINK("https://abs.twimg.com/images/themes/theme1/bg.png")</f>
        <v>https://abs.twimg.com/images/themes/theme1/bg.png</v>
      </c>
      <c r="AX39" s="80" t="b">
        <v>0</v>
      </c>
      <c r="AY39" s="80" t="s">
        <v>723</v>
      </c>
      <c r="AZ39" s="85" t="str">
        <f>HYPERLINK("https://twitter.com/aginnt")</f>
        <v>https://twitter.com/aginnt</v>
      </c>
      <c r="BA39" s="80" t="s">
        <v>66</v>
      </c>
      <c r="BB39" s="80" t="str">
        <f>REPLACE(INDEX(GroupVertices[Group],MATCH(Vertices[[#This Row],[Vertex]],GroupVertices[Vertex],0)),1,1,"")</f>
        <v>1</v>
      </c>
      <c r="BC39" s="49" t="s">
        <v>810</v>
      </c>
      <c r="BD39" s="49" t="s">
        <v>810</v>
      </c>
      <c r="BE39" s="49" t="s">
        <v>337</v>
      </c>
      <c r="BF39" s="49" t="s">
        <v>337</v>
      </c>
      <c r="BG39" s="49"/>
      <c r="BH39" s="49"/>
      <c r="BI39" s="109" t="s">
        <v>1026</v>
      </c>
      <c r="BJ39" s="109" t="s">
        <v>1026</v>
      </c>
      <c r="BK39" s="109" t="s">
        <v>1046</v>
      </c>
      <c r="BL39" s="109" t="s">
        <v>1046</v>
      </c>
      <c r="BM39" s="109">
        <v>1</v>
      </c>
      <c r="BN39" s="112">
        <v>2.7777777777777777</v>
      </c>
      <c r="BO39" s="109">
        <v>1</v>
      </c>
      <c r="BP39" s="112">
        <v>2.7777777777777777</v>
      </c>
      <c r="BQ39" s="109">
        <v>0</v>
      </c>
      <c r="BR39" s="112">
        <v>0</v>
      </c>
      <c r="BS39" s="109">
        <v>34</v>
      </c>
      <c r="BT39" s="112">
        <v>94.44444444444444</v>
      </c>
      <c r="BU39" s="109">
        <v>36</v>
      </c>
      <c r="BV39" s="2"/>
      <c r="BW39" s="3"/>
      <c r="BX39" s="3"/>
      <c r="BY39" s="3"/>
      <c r="BZ39" s="3"/>
    </row>
    <row r="40" spans="1:78" ht="41.45" customHeight="1">
      <c r="A40" s="66" t="s">
        <v>275</v>
      </c>
      <c r="C40" s="67"/>
      <c r="D40" s="67" t="s">
        <v>64</v>
      </c>
      <c r="E40" s="68">
        <v>222.7973925246337</v>
      </c>
      <c r="F40" s="70">
        <v>99.67858241116672</v>
      </c>
      <c r="G40" s="104" t="str">
        <f>HYPERLINK("https://pbs.twimg.com/profile_images/1365490369178181633/OCoArOyq_normal.jpg")</f>
        <v>https://pbs.twimg.com/profile_images/1365490369178181633/OCoArOyq_normal.jpg</v>
      </c>
      <c r="H40" s="67"/>
      <c r="I40" s="71" t="s">
        <v>275</v>
      </c>
      <c r="J40" s="72"/>
      <c r="K40" s="72"/>
      <c r="L40" s="71" t="s">
        <v>760</v>
      </c>
      <c r="M40" s="75">
        <v>108.11776843850416</v>
      </c>
      <c r="N40" s="76">
        <v>1997.65283203125</v>
      </c>
      <c r="O40" s="76">
        <v>7023.1767578125</v>
      </c>
      <c r="P40" s="77"/>
      <c r="Q40" s="78"/>
      <c r="R40" s="78"/>
      <c r="S40" s="90"/>
      <c r="T40" s="49">
        <v>0</v>
      </c>
      <c r="U40" s="49">
        <v>2</v>
      </c>
      <c r="V40" s="50">
        <v>0</v>
      </c>
      <c r="W40" s="50">
        <v>0.009709</v>
      </c>
      <c r="X40" s="50">
        <v>0.013515</v>
      </c>
      <c r="Y40" s="50">
        <v>0.558187</v>
      </c>
      <c r="Z40" s="50">
        <v>1</v>
      </c>
      <c r="AA40" s="50">
        <v>0</v>
      </c>
      <c r="AB40" s="73">
        <v>40</v>
      </c>
      <c r="AC40" s="73"/>
      <c r="AD40" s="74"/>
      <c r="AE40" s="80" t="s">
        <v>534</v>
      </c>
      <c r="AF40" s="89" t="s">
        <v>595</v>
      </c>
      <c r="AG40" s="80">
        <v>4483</v>
      </c>
      <c r="AH40" s="80">
        <v>4818</v>
      </c>
      <c r="AI40" s="80">
        <v>44698</v>
      </c>
      <c r="AJ40" s="80">
        <v>128453</v>
      </c>
      <c r="AK40" s="80"/>
      <c r="AL40" s="80" t="s">
        <v>656</v>
      </c>
      <c r="AM40" s="80" t="s">
        <v>705</v>
      </c>
      <c r="AN40" s="85" t="str">
        <f>HYPERLINK("https://t.co/FJl4yap7aa")</f>
        <v>https://t.co/FJl4yap7aa</v>
      </c>
      <c r="AO40" s="80"/>
      <c r="AP40" s="82">
        <v>39877.173125</v>
      </c>
      <c r="AQ40" s="85" t="str">
        <f>HYPERLINK("https://pbs.twimg.com/profile_banners/22877951/1585368659")</f>
        <v>https://pbs.twimg.com/profile_banners/22877951/1585368659</v>
      </c>
      <c r="AR40" s="80" t="b">
        <v>0</v>
      </c>
      <c r="AS40" s="80" t="b">
        <v>0</v>
      </c>
      <c r="AT40" s="80" t="b">
        <v>1</v>
      </c>
      <c r="AU40" s="80"/>
      <c r="AV40" s="80">
        <v>179</v>
      </c>
      <c r="AW40" s="85" t="str">
        <f>HYPERLINK("https://abs.twimg.com/images/themes/theme1/bg.png")</f>
        <v>https://abs.twimg.com/images/themes/theme1/bg.png</v>
      </c>
      <c r="AX40" s="80" t="b">
        <v>0</v>
      </c>
      <c r="AY40" s="80" t="s">
        <v>723</v>
      </c>
      <c r="AZ40" s="85" t="str">
        <f>HYPERLINK("https://twitter.com/nikkireimer")</f>
        <v>https://twitter.com/nikkireimer</v>
      </c>
      <c r="BA40" s="80" t="s">
        <v>66</v>
      </c>
      <c r="BB40" s="80" t="str">
        <f>REPLACE(INDEX(GroupVertices[Group],MATCH(Vertices[[#This Row],[Vertex]],GroupVertices[Vertex],0)),1,1,"")</f>
        <v>1</v>
      </c>
      <c r="BC40" s="49" t="s">
        <v>809</v>
      </c>
      <c r="BD40" s="49" t="s">
        <v>809</v>
      </c>
      <c r="BE40" s="49" t="s">
        <v>337</v>
      </c>
      <c r="BF40" s="49" t="s">
        <v>337</v>
      </c>
      <c r="BG40" s="49" t="s">
        <v>339</v>
      </c>
      <c r="BH40" s="49" t="s">
        <v>339</v>
      </c>
      <c r="BI40" s="109" t="s">
        <v>1025</v>
      </c>
      <c r="BJ40" s="109" t="s">
        <v>1025</v>
      </c>
      <c r="BK40" s="109" t="s">
        <v>1045</v>
      </c>
      <c r="BL40" s="109" t="s">
        <v>1045</v>
      </c>
      <c r="BM40" s="109">
        <v>1</v>
      </c>
      <c r="BN40" s="112">
        <v>2.9411764705882355</v>
      </c>
      <c r="BO40" s="109">
        <v>1</v>
      </c>
      <c r="BP40" s="112">
        <v>2.9411764705882355</v>
      </c>
      <c r="BQ40" s="109">
        <v>0</v>
      </c>
      <c r="BR40" s="112">
        <v>0</v>
      </c>
      <c r="BS40" s="109">
        <v>32</v>
      </c>
      <c r="BT40" s="112">
        <v>94.11764705882354</v>
      </c>
      <c r="BU40" s="109">
        <v>34</v>
      </c>
      <c r="BV40" s="2"/>
      <c r="BW40" s="3"/>
      <c r="BX40" s="3"/>
      <c r="BY40" s="3"/>
      <c r="BZ40" s="3"/>
    </row>
    <row r="41" spans="1:78" ht="41.45" customHeight="1">
      <c r="A41" s="66" t="s">
        <v>276</v>
      </c>
      <c r="C41" s="67"/>
      <c r="D41" s="67" t="s">
        <v>64</v>
      </c>
      <c r="E41" s="68">
        <v>162.85986328861796</v>
      </c>
      <c r="F41" s="70">
        <v>99.99545416055727</v>
      </c>
      <c r="G41" s="104" t="str">
        <f>HYPERLINK("https://pbs.twimg.com/profile_images/422826918929375232/iLLqGdr7_normal.jpeg")</f>
        <v>https://pbs.twimg.com/profile_images/422826918929375232/iLLqGdr7_normal.jpeg</v>
      </c>
      <c r="H41" s="67"/>
      <c r="I41" s="71" t="s">
        <v>276</v>
      </c>
      <c r="J41" s="72"/>
      <c r="K41" s="72"/>
      <c r="L41" s="71" t="s">
        <v>761</v>
      </c>
      <c r="M41" s="75">
        <v>2.514976758281673</v>
      </c>
      <c r="N41" s="76">
        <v>3157.61474609375</v>
      </c>
      <c r="O41" s="76">
        <v>7055.37451171875</v>
      </c>
      <c r="P41" s="77"/>
      <c r="Q41" s="78"/>
      <c r="R41" s="78"/>
      <c r="S41" s="90"/>
      <c r="T41" s="49">
        <v>0</v>
      </c>
      <c r="U41" s="49">
        <v>2</v>
      </c>
      <c r="V41" s="50">
        <v>0</v>
      </c>
      <c r="W41" s="50">
        <v>0.010526</v>
      </c>
      <c r="X41" s="50">
        <v>0.021633</v>
      </c>
      <c r="Y41" s="50">
        <v>0.534764</v>
      </c>
      <c r="Z41" s="50">
        <v>1</v>
      </c>
      <c r="AA41" s="50">
        <v>0</v>
      </c>
      <c r="AB41" s="73">
        <v>41</v>
      </c>
      <c r="AC41" s="73"/>
      <c r="AD41" s="74"/>
      <c r="AE41" s="80" t="s">
        <v>535</v>
      </c>
      <c r="AF41" s="89" t="s">
        <v>596</v>
      </c>
      <c r="AG41" s="80">
        <v>380</v>
      </c>
      <c r="AH41" s="80">
        <v>78</v>
      </c>
      <c r="AI41" s="80">
        <v>103</v>
      </c>
      <c r="AJ41" s="80">
        <v>81</v>
      </c>
      <c r="AK41" s="80"/>
      <c r="AL41" s="80" t="s">
        <v>657</v>
      </c>
      <c r="AM41" s="80" t="s">
        <v>706</v>
      </c>
      <c r="AN41" s="80"/>
      <c r="AO41" s="80"/>
      <c r="AP41" s="82">
        <v>41652.80510416667</v>
      </c>
      <c r="AQ41" s="85" t="str">
        <f>HYPERLINK("https://pbs.twimg.com/profile_banners/2279761149/1597118964")</f>
        <v>https://pbs.twimg.com/profile_banners/2279761149/1597118964</v>
      </c>
      <c r="AR41" s="80" t="b">
        <v>1</v>
      </c>
      <c r="AS41" s="80" t="b">
        <v>0</v>
      </c>
      <c r="AT41" s="80" t="b">
        <v>0</v>
      </c>
      <c r="AU41" s="80"/>
      <c r="AV41" s="80">
        <v>1</v>
      </c>
      <c r="AW41" s="85" t="str">
        <f>HYPERLINK("https://abs.twimg.com/images/themes/theme1/bg.png")</f>
        <v>https://abs.twimg.com/images/themes/theme1/bg.png</v>
      </c>
      <c r="AX41" s="80" t="b">
        <v>0</v>
      </c>
      <c r="AY41" s="80" t="s">
        <v>723</v>
      </c>
      <c r="AZ41" s="85" t="str">
        <f>HYPERLINK("https://twitter.com/gabrielazavalaw")</f>
        <v>https://twitter.com/gabrielazavalaw</v>
      </c>
      <c r="BA41" s="80" t="s">
        <v>66</v>
      </c>
      <c r="BB41" s="80" t="str">
        <f>REPLACE(INDEX(GroupVertices[Group],MATCH(Vertices[[#This Row],[Vertex]],GroupVertices[Vertex],0)),1,1,"")</f>
        <v>2</v>
      </c>
      <c r="BC41" s="49" t="s">
        <v>810</v>
      </c>
      <c r="BD41" s="49" t="s">
        <v>810</v>
      </c>
      <c r="BE41" s="49" t="s">
        <v>337</v>
      </c>
      <c r="BF41" s="49" t="s">
        <v>337</v>
      </c>
      <c r="BG41" s="49"/>
      <c r="BH41" s="49"/>
      <c r="BI41" s="109" t="s">
        <v>1026</v>
      </c>
      <c r="BJ41" s="109" t="s">
        <v>1026</v>
      </c>
      <c r="BK41" s="109" t="s">
        <v>1046</v>
      </c>
      <c r="BL41" s="109" t="s">
        <v>1046</v>
      </c>
      <c r="BM41" s="109">
        <v>1</v>
      </c>
      <c r="BN41" s="112">
        <v>2.7777777777777777</v>
      </c>
      <c r="BO41" s="109">
        <v>1</v>
      </c>
      <c r="BP41" s="112">
        <v>2.7777777777777777</v>
      </c>
      <c r="BQ41" s="109">
        <v>0</v>
      </c>
      <c r="BR41" s="112">
        <v>0</v>
      </c>
      <c r="BS41" s="109">
        <v>34</v>
      </c>
      <c r="BT41" s="112">
        <v>94.44444444444444</v>
      </c>
      <c r="BU41" s="109">
        <v>36</v>
      </c>
      <c r="BV41" s="2"/>
      <c r="BW41" s="3"/>
      <c r="BX41" s="3"/>
      <c r="BY41" s="3"/>
      <c r="BZ41" s="3"/>
    </row>
    <row r="42" spans="1:78" ht="41.45" customHeight="1">
      <c r="A42" s="66" t="s">
        <v>277</v>
      </c>
      <c r="C42" s="67"/>
      <c r="D42" s="67" t="s">
        <v>64</v>
      </c>
      <c r="E42" s="68">
        <v>174.72091865220082</v>
      </c>
      <c r="F42" s="70">
        <v>99.93274831647956</v>
      </c>
      <c r="G42" s="104" t="str">
        <f>HYPERLINK("https://pbs.twimg.com/profile_images/775404481269882880/n1ulkwIO_normal.jpg")</f>
        <v>https://pbs.twimg.com/profile_images/775404481269882880/n1ulkwIO_normal.jpg</v>
      </c>
      <c r="H42" s="67"/>
      <c r="I42" s="71" t="s">
        <v>277</v>
      </c>
      <c r="J42" s="72"/>
      <c r="K42" s="72"/>
      <c r="L42" s="71" t="s">
        <v>762</v>
      </c>
      <c r="M42" s="75">
        <v>23.412744394578862</v>
      </c>
      <c r="N42" s="76">
        <v>160.1548309326172</v>
      </c>
      <c r="O42" s="76">
        <v>3249.791015625</v>
      </c>
      <c r="P42" s="77"/>
      <c r="Q42" s="78"/>
      <c r="R42" s="78"/>
      <c r="S42" s="90"/>
      <c r="T42" s="49">
        <v>0</v>
      </c>
      <c r="U42" s="49">
        <v>2</v>
      </c>
      <c r="V42" s="50">
        <v>0</v>
      </c>
      <c r="W42" s="50">
        <v>0.010526</v>
      </c>
      <c r="X42" s="50">
        <v>0.021633</v>
      </c>
      <c r="Y42" s="50">
        <v>0.534764</v>
      </c>
      <c r="Z42" s="50">
        <v>1</v>
      </c>
      <c r="AA42" s="50">
        <v>0</v>
      </c>
      <c r="AB42" s="73">
        <v>42</v>
      </c>
      <c r="AC42" s="73"/>
      <c r="AD42" s="74"/>
      <c r="AE42" s="80" t="s">
        <v>536</v>
      </c>
      <c r="AF42" s="89" t="s">
        <v>597</v>
      </c>
      <c r="AG42" s="80">
        <v>1429</v>
      </c>
      <c r="AH42" s="80">
        <v>1016</v>
      </c>
      <c r="AI42" s="80">
        <v>2387</v>
      </c>
      <c r="AJ42" s="80">
        <v>3145</v>
      </c>
      <c r="AK42" s="80"/>
      <c r="AL42" s="80" t="s">
        <v>658</v>
      </c>
      <c r="AM42" s="80" t="s">
        <v>707</v>
      </c>
      <c r="AN42" s="80"/>
      <c r="AO42" s="80"/>
      <c r="AP42" s="82">
        <v>40345.272361111114</v>
      </c>
      <c r="AQ42" s="85" t="str">
        <f>HYPERLINK("https://pbs.twimg.com/profile_banners/156179754/1473706032")</f>
        <v>https://pbs.twimg.com/profile_banners/156179754/1473706032</v>
      </c>
      <c r="AR42" s="80" t="b">
        <v>1</v>
      </c>
      <c r="AS42" s="80" t="b">
        <v>0</v>
      </c>
      <c r="AT42" s="80" t="b">
        <v>0</v>
      </c>
      <c r="AU42" s="80"/>
      <c r="AV42" s="80">
        <v>9</v>
      </c>
      <c r="AW42" s="85" t="str">
        <f>HYPERLINK("https://abs.twimg.com/images/themes/theme1/bg.png")</f>
        <v>https://abs.twimg.com/images/themes/theme1/bg.png</v>
      </c>
      <c r="AX42" s="80" t="b">
        <v>0</v>
      </c>
      <c r="AY42" s="80" t="s">
        <v>723</v>
      </c>
      <c r="AZ42" s="85" t="str">
        <f>HYPERLINK("https://twitter.com/macaninch")</f>
        <v>https://twitter.com/macaninch</v>
      </c>
      <c r="BA42" s="80" t="s">
        <v>66</v>
      </c>
      <c r="BB42" s="80" t="str">
        <f>REPLACE(INDEX(GroupVertices[Group],MATCH(Vertices[[#This Row],[Vertex]],GroupVertices[Vertex],0)),1,1,"")</f>
        <v>1</v>
      </c>
      <c r="BC42" s="49" t="s">
        <v>810</v>
      </c>
      <c r="BD42" s="49" t="s">
        <v>810</v>
      </c>
      <c r="BE42" s="49" t="s">
        <v>337</v>
      </c>
      <c r="BF42" s="49" t="s">
        <v>337</v>
      </c>
      <c r="BG42" s="49"/>
      <c r="BH42" s="49"/>
      <c r="BI42" s="109" t="s">
        <v>1026</v>
      </c>
      <c r="BJ42" s="109" t="s">
        <v>1026</v>
      </c>
      <c r="BK42" s="109" t="s">
        <v>1046</v>
      </c>
      <c r="BL42" s="109" t="s">
        <v>1046</v>
      </c>
      <c r="BM42" s="109">
        <v>1</v>
      </c>
      <c r="BN42" s="112">
        <v>2.7777777777777777</v>
      </c>
      <c r="BO42" s="109">
        <v>1</v>
      </c>
      <c r="BP42" s="112">
        <v>2.7777777777777777</v>
      </c>
      <c r="BQ42" s="109">
        <v>0</v>
      </c>
      <c r="BR42" s="112">
        <v>0</v>
      </c>
      <c r="BS42" s="109">
        <v>34</v>
      </c>
      <c r="BT42" s="112">
        <v>94.44444444444444</v>
      </c>
      <c r="BU42" s="109">
        <v>36</v>
      </c>
      <c r="BV42" s="2"/>
      <c r="BW42" s="3"/>
      <c r="BX42" s="3"/>
      <c r="BY42" s="3"/>
      <c r="BZ42" s="3"/>
    </row>
    <row r="43" spans="1:78" ht="41.45" customHeight="1">
      <c r="A43" s="66" t="s">
        <v>278</v>
      </c>
      <c r="C43" s="67"/>
      <c r="D43" s="67" t="s">
        <v>64</v>
      </c>
      <c r="E43" s="68">
        <v>252.07067948273</v>
      </c>
      <c r="F43" s="70">
        <v>99.52382331837366</v>
      </c>
      <c r="G43" s="104" t="str">
        <f>HYPERLINK("https://pbs.twimg.com/profile_images/455077891542241280/yiicXvaE_normal.jpeg")</f>
        <v>https://pbs.twimg.com/profile_images/455077891542241280/yiicXvaE_normal.jpeg</v>
      </c>
      <c r="H43" s="67"/>
      <c r="I43" s="71" t="s">
        <v>278</v>
      </c>
      <c r="J43" s="72"/>
      <c r="K43" s="72"/>
      <c r="L43" s="71" t="s">
        <v>763</v>
      </c>
      <c r="M43" s="75">
        <v>159.6938154300052</v>
      </c>
      <c r="N43" s="76">
        <v>365.93060302734375</v>
      </c>
      <c r="O43" s="76">
        <v>7239.17919921875</v>
      </c>
      <c r="P43" s="77"/>
      <c r="Q43" s="78"/>
      <c r="R43" s="78"/>
      <c r="S43" s="90"/>
      <c r="T43" s="49">
        <v>0</v>
      </c>
      <c r="U43" s="49">
        <v>2</v>
      </c>
      <c r="V43" s="50">
        <v>0</v>
      </c>
      <c r="W43" s="50">
        <v>0.009709</v>
      </c>
      <c r="X43" s="50">
        <v>0.013515</v>
      </c>
      <c r="Y43" s="50">
        <v>0.558187</v>
      </c>
      <c r="Z43" s="50">
        <v>1</v>
      </c>
      <c r="AA43" s="50">
        <v>0</v>
      </c>
      <c r="AB43" s="73">
        <v>43</v>
      </c>
      <c r="AC43" s="73"/>
      <c r="AD43" s="74"/>
      <c r="AE43" s="80" t="s">
        <v>537</v>
      </c>
      <c r="AF43" s="89" t="s">
        <v>598</v>
      </c>
      <c r="AG43" s="80">
        <v>3390</v>
      </c>
      <c r="AH43" s="80">
        <v>7133</v>
      </c>
      <c r="AI43" s="80">
        <v>12862</v>
      </c>
      <c r="AJ43" s="80">
        <v>11064</v>
      </c>
      <c r="AK43" s="80"/>
      <c r="AL43" s="80" t="s">
        <v>659</v>
      </c>
      <c r="AM43" s="80" t="s">
        <v>708</v>
      </c>
      <c r="AN43" s="85" t="str">
        <f>HYPERLINK("https://t.co/sUeSiELENb")</f>
        <v>https://t.co/sUeSiELENb</v>
      </c>
      <c r="AO43" s="80"/>
      <c r="AP43" s="82">
        <v>40109.73347222222</v>
      </c>
      <c r="AQ43" s="85" t="str">
        <f>HYPERLINK("https://pbs.twimg.com/profile_banners/84645066/1397333926")</f>
        <v>https://pbs.twimg.com/profile_banners/84645066/1397333926</v>
      </c>
      <c r="AR43" s="80" t="b">
        <v>1</v>
      </c>
      <c r="AS43" s="80" t="b">
        <v>0</v>
      </c>
      <c r="AT43" s="80" t="b">
        <v>1</v>
      </c>
      <c r="AU43" s="80"/>
      <c r="AV43" s="80">
        <v>86</v>
      </c>
      <c r="AW43" s="85" t="str">
        <f>HYPERLINK("https://abs.twimg.com/images/themes/theme1/bg.png")</f>
        <v>https://abs.twimg.com/images/themes/theme1/bg.png</v>
      </c>
      <c r="AX43" s="80" t="b">
        <v>1</v>
      </c>
      <c r="AY43" s="80" t="s">
        <v>723</v>
      </c>
      <c r="AZ43" s="85" t="str">
        <f>HYPERLINK("https://twitter.com/gbosslet")</f>
        <v>https://twitter.com/gbosslet</v>
      </c>
      <c r="BA43" s="80" t="s">
        <v>66</v>
      </c>
      <c r="BB43" s="80" t="str">
        <f>REPLACE(INDEX(GroupVertices[Group],MATCH(Vertices[[#This Row],[Vertex]],GroupVertices[Vertex],0)),1,1,"")</f>
        <v>1</v>
      </c>
      <c r="BC43" s="49" t="s">
        <v>809</v>
      </c>
      <c r="BD43" s="49" t="s">
        <v>809</v>
      </c>
      <c r="BE43" s="49" t="s">
        <v>337</v>
      </c>
      <c r="BF43" s="49" t="s">
        <v>337</v>
      </c>
      <c r="BG43" s="49" t="s">
        <v>339</v>
      </c>
      <c r="BH43" s="49" t="s">
        <v>339</v>
      </c>
      <c r="BI43" s="109" t="s">
        <v>1025</v>
      </c>
      <c r="BJ43" s="109" t="s">
        <v>1025</v>
      </c>
      <c r="BK43" s="109" t="s">
        <v>1045</v>
      </c>
      <c r="BL43" s="109" t="s">
        <v>1045</v>
      </c>
      <c r="BM43" s="109">
        <v>1</v>
      </c>
      <c r="BN43" s="112">
        <v>2.9411764705882355</v>
      </c>
      <c r="BO43" s="109">
        <v>1</v>
      </c>
      <c r="BP43" s="112">
        <v>2.9411764705882355</v>
      </c>
      <c r="BQ43" s="109">
        <v>0</v>
      </c>
      <c r="BR43" s="112">
        <v>0</v>
      </c>
      <c r="BS43" s="109">
        <v>32</v>
      </c>
      <c r="BT43" s="112">
        <v>94.11764705882354</v>
      </c>
      <c r="BU43" s="109">
        <v>34</v>
      </c>
      <c r="BV43" s="2"/>
      <c r="BW43" s="3"/>
      <c r="BX43" s="3"/>
      <c r="BY43" s="3"/>
      <c r="BZ43" s="3"/>
    </row>
    <row r="44" spans="1:78" ht="41.45" customHeight="1">
      <c r="A44" s="66" t="s">
        <v>279</v>
      </c>
      <c r="C44" s="67"/>
      <c r="D44" s="67" t="s">
        <v>64</v>
      </c>
      <c r="E44" s="68">
        <v>173.94957070211706</v>
      </c>
      <c r="F44" s="70">
        <v>99.936826201862</v>
      </c>
      <c r="G44" s="104" t="str">
        <f>HYPERLINK("https://pbs.twimg.com/profile_images/1311599103797866496/qirGFxux_normal.jpg")</f>
        <v>https://pbs.twimg.com/profile_images/1311599103797866496/qirGFxux_normal.jpg</v>
      </c>
      <c r="H44" s="67"/>
      <c r="I44" s="71" t="s">
        <v>279</v>
      </c>
      <c r="J44" s="72"/>
      <c r="K44" s="72"/>
      <c r="L44" s="71" t="s">
        <v>764</v>
      </c>
      <c r="M44" s="75">
        <v>22.053721126120305</v>
      </c>
      <c r="N44" s="76">
        <v>2590.750732421875</v>
      </c>
      <c r="O44" s="76">
        <v>8306.0107421875</v>
      </c>
      <c r="P44" s="77"/>
      <c r="Q44" s="78"/>
      <c r="R44" s="78"/>
      <c r="S44" s="90"/>
      <c r="T44" s="49">
        <v>0</v>
      </c>
      <c r="U44" s="49">
        <v>2</v>
      </c>
      <c r="V44" s="50">
        <v>0</v>
      </c>
      <c r="W44" s="50">
        <v>0.010526</v>
      </c>
      <c r="X44" s="50">
        <v>0.021633</v>
      </c>
      <c r="Y44" s="50">
        <v>0.534764</v>
      </c>
      <c r="Z44" s="50">
        <v>1</v>
      </c>
      <c r="AA44" s="50">
        <v>0</v>
      </c>
      <c r="AB44" s="73">
        <v>44</v>
      </c>
      <c r="AC44" s="73"/>
      <c r="AD44" s="74"/>
      <c r="AE44" s="80" t="s">
        <v>538</v>
      </c>
      <c r="AF44" s="89" t="s">
        <v>599</v>
      </c>
      <c r="AG44" s="80">
        <v>3386</v>
      </c>
      <c r="AH44" s="80">
        <v>955</v>
      </c>
      <c r="AI44" s="80">
        <v>3342</v>
      </c>
      <c r="AJ44" s="80">
        <v>5184</v>
      </c>
      <c r="AK44" s="80"/>
      <c r="AL44" s="80" t="s">
        <v>660</v>
      </c>
      <c r="AM44" s="80" t="s">
        <v>683</v>
      </c>
      <c r="AN44" s="85" t="str">
        <f>HYPERLINK("https://t.co/sm3hpaFTVu")</f>
        <v>https://t.co/sm3hpaFTVu</v>
      </c>
      <c r="AO44" s="80"/>
      <c r="AP44" s="82">
        <v>39850.607719907406</v>
      </c>
      <c r="AQ44" s="85" t="str">
        <f>HYPERLINK("https://pbs.twimg.com/profile_banners/20240451/1601571118")</f>
        <v>https://pbs.twimg.com/profile_banners/20240451/1601571118</v>
      </c>
      <c r="AR44" s="80" t="b">
        <v>0</v>
      </c>
      <c r="AS44" s="80" t="b">
        <v>0</v>
      </c>
      <c r="AT44" s="80" t="b">
        <v>1</v>
      </c>
      <c r="AU44" s="80"/>
      <c r="AV44" s="80">
        <v>0</v>
      </c>
      <c r="AW44" s="85" t="str">
        <f>HYPERLINK("https://abs.twimg.com/images/themes/theme1/bg.png")</f>
        <v>https://abs.twimg.com/images/themes/theme1/bg.png</v>
      </c>
      <c r="AX44" s="80" t="b">
        <v>0</v>
      </c>
      <c r="AY44" s="80" t="s">
        <v>723</v>
      </c>
      <c r="AZ44" s="85" t="str">
        <f>HYPERLINK("https://twitter.com/domcro")</f>
        <v>https://twitter.com/domcro</v>
      </c>
      <c r="BA44" s="80" t="s">
        <v>66</v>
      </c>
      <c r="BB44" s="80" t="str">
        <f>REPLACE(INDEX(GroupVertices[Group],MATCH(Vertices[[#This Row],[Vertex]],GroupVertices[Vertex],0)),1,1,"")</f>
        <v>1</v>
      </c>
      <c r="BC44" s="49" t="s">
        <v>810</v>
      </c>
      <c r="BD44" s="49" t="s">
        <v>810</v>
      </c>
      <c r="BE44" s="49" t="s">
        <v>337</v>
      </c>
      <c r="BF44" s="49" t="s">
        <v>337</v>
      </c>
      <c r="BG44" s="49"/>
      <c r="BH44" s="49"/>
      <c r="BI44" s="109" t="s">
        <v>1026</v>
      </c>
      <c r="BJ44" s="109" t="s">
        <v>1026</v>
      </c>
      <c r="BK44" s="109" t="s">
        <v>1046</v>
      </c>
      <c r="BL44" s="109" t="s">
        <v>1046</v>
      </c>
      <c r="BM44" s="109">
        <v>1</v>
      </c>
      <c r="BN44" s="112">
        <v>2.7777777777777777</v>
      </c>
      <c r="BO44" s="109">
        <v>1</v>
      </c>
      <c r="BP44" s="112">
        <v>2.7777777777777777</v>
      </c>
      <c r="BQ44" s="109">
        <v>0</v>
      </c>
      <c r="BR44" s="112">
        <v>0</v>
      </c>
      <c r="BS44" s="109">
        <v>34</v>
      </c>
      <c r="BT44" s="112">
        <v>94.44444444444444</v>
      </c>
      <c r="BU44" s="109">
        <v>36</v>
      </c>
      <c r="BV44" s="2"/>
      <c r="BW44" s="3"/>
      <c r="BX44" s="3"/>
      <c r="BY44" s="3"/>
      <c r="BZ44" s="3"/>
    </row>
    <row r="45" spans="1:78" ht="41.45" customHeight="1">
      <c r="A45" s="66" t="s">
        <v>280</v>
      </c>
      <c r="C45" s="67"/>
      <c r="D45" s="67" t="s">
        <v>64</v>
      </c>
      <c r="E45" s="68">
        <v>327.7260038327473</v>
      </c>
      <c r="F45" s="70">
        <v>99.12385629799314</v>
      </c>
      <c r="G45" s="104" t="str">
        <f>HYPERLINK("https://pbs.twimg.com/profile_images/1281905842225180675/3UAR5Y-E_normal.jpg")</f>
        <v>https://pbs.twimg.com/profile_images/1281905842225180675/3UAR5Y-E_normal.jpg</v>
      </c>
      <c r="H45" s="67"/>
      <c r="I45" s="71" t="s">
        <v>280</v>
      </c>
      <c r="J45" s="72"/>
      <c r="K45" s="72"/>
      <c r="L45" s="71" t="s">
        <v>765</v>
      </c>
      <c r="M45" s="75">
        <v>292.98949108881766</v>
      </c>
      <c r="N45" s="76">
        <v>9355.7119140625</v>
      </c>
      <c r="O45" s="76">
        <v>6328.29443359375</v>
      </c>
      <c r="P45" s="77"/>
      <c r="Q45" s="78"/>
      <c r="R45" s="78"/>
      <c r="S45" s="90"/>
      <c r="T45" s="49">
        <v>1</v>
      </c>
      <c r="U45" s="49">
        <v>1</v>
      </c>
      <c r="V45" s="50">
        <v>0</v>
      </c>
      <c r="W45" s="50">
        <v>0</v>
      </c>
      <c r="X45" s="50">
        <v>0</v>
      </c>
      <c r="Y45" s="50">
        <v>0.999992</v>
      </c>
      <c r="Z45" s="50">
        <v>0</v>
      </c>
      <c r="AA45" s="50">
        <v>0</v>
      </c>
      <c r="AB45" s="73">
        <v>45</v>
      </c>
      <c r="AC45" s="73"/>
      <c r="AD45" s="74"/>
      <c r="AE45" s="80" t="s">
        <v>539</v>
      </c>
      <c r="AF45" s="89" t="s">
        <v>600</v>
      </c>
      <c r="AG45" s="80">
        <v>4109</v>
      </c>
      <c r="AH45" s="80">
        <v>13116</v>
      </c>
      <c r="AI45" s="80">
        <v>4685</v>
      </c>
      <c r="AJ45" s="80">
        <v>143451</v>
      </c>
      <c r="AK45" s="80"/>
      <c r="AL45" s="80" t="s">
        <v>661</v>
      </c>
      <c r="AM45" s="80" t="s">
        <v>709</v>
      </c>
      <c r="AN45" s="85" t="str">
        <f>HYPERLINK("https://t.co/9AAfseMfvq")</f>
        <v>https://t.co/9AAfseMfvq</v>
      </c>
      <c r="AO45" s="80"/>
      <c r="AP45" s="82">
        <v>41453.14309027778</v>
      </c>
      <c r="AQ45" s="85" t="str">
        <f>HYPERLINK("https://pbs.twimg.com/profile_banners/1552074888/1614763669")</f>
        <v>https://pbs.twimg.com/profile_banners/1552074888/1614763669</v>
      </c>
      <c r="AR45" s="80" t="b">
        <v>0</v>
      </c>
      <c r="AS45" s="80" t="b">
        <v>0</v>
      </c>
      <c r="AT45" s="80" t="b">
        <v>0</v>
      </c>
      <c r="AU45" s="80"/>
      <c r="AV45" s="80">
        <v>97</v>
      </c>
      <c r="AW45" s="85" t="str">
        <f>HYPERLINK("https://abs.twimg.com/images/themes/theme1/bg.png")</f>
        <v>https://abs.twimg.com/images/themes/theme1/bg.png</v>
      </c>
      <c r="AX45" s="80" t="b">
        <v>1</v>
      </c>
      <c r="AY45" s="80" t="s">
        <v>723</v>
      </c>
      <c r="AZ45" s="85" t="str">
        <f>HYPERLINK("https://twitter.com/gonggasgirl")</f>
        <v>https://twitter.com/gonggasgirl</v>
      </c>
      <c r="BA45" s="80" t="s">
        <v>66</v>
      </c>
      <c r="BB45" s="80" t="str">
        <f>REPLACE(INDEX(GroupVertices[Group],MATCH(Vertices[[#This Row],[Vertex]],GroupVertices[Vertex],0)),1,1,"")</f>
        <v>4</v>
      </c>
      <c r="BC45" s="49" t="s">
        <v>809</v>
      </c>
      <c r="BD45" s="49" t="s">
        <v>809</v>
      </c>
      <c r="BE45" s="49" t="s">
        <v>337</v>
      </c>
      <c r="BF45" s="49" t="s">
        <v>337</v>
      </c>
      <c r="BG45" s="49"/>
      <c r="BH45" s="49"/>
      <c r="BI45" s="109" t="s">
        <v>906</v>
      </c>
      <c r="BJ45" s="109" t="s">
        <v>906</v>
      </c>
      <c r="BK45" s="109" t="s">
        <v>967</v>
      </c>
      <c r="BL45" s="109" t="s">
        <v>967</v>
      </c>
      <c r="BM45" s="109">
        <v>0</v>
      </c>
      <c r="BN45" s="112">
        <v>0</v>
      </c>
      <c r="BO45" s="109">
        <v>1</v>
      </c>
      <c r="BP45" s="112">
        <v>12.5</v>
      </c>
      <c r="BQ45" s="109">
        <v>0</v>
      </c>
      <c r="BR45" s="112">
        <v>0</v>
      </c>
      <c r="BS45" s="109">
        <v>7</v>
      </c>
      <c r="BT45" s="112">
        <v>87.5</v>
      </c>
      <c r="BU45" s="109">
        <v>8</v>
      </c>
      <c r="BV45" s="2"/>
      <c r="BW45" s="3"/>
      <c r="BX45" s="3"/>
      <c r="BY45" s="3"/>
      <c r="BZ45" s="3"/>
    </row>
    <row r="46" spans="1:78" ht="41.45" customHeight="1">
      <c r="A46" s="66" t="s">
        <v>281</v>
      </c>
      <c r="C46" s="67"/>
      <c r="D46" s="67" t="s">
        <v>64</v>
      </c>
      <c r="E46" s="68">
        <v>164.22552851171704</v>
      </c>
      <c r="F46" s="70">
        <v>99.98823429791292</v>
      </c>
      <c r="G46" s="104" t="str">
        <f>HYPERLINK("https://pbs.twimg.com/profile_images/1272238245733072897/i-3PCAjk_normal.jpg")</f>
        <v>https://pbs.twimg.com/profile_images/1272238245733072897/i-3PCAjk_normal.jpg</v>
      </c>
      <c r="H46" s="67"/>
      <c r="I46" s="71" t="s">
        <v>281</v>
      </c>
      <c r="J46" s="72"/>
      <c r="K46" s="72"/>
      <c r="L46" s="71" t="s">
        <v>766</v>
      </c>
      <c r="M46" s="75">
        <v>4.921116315552565</v>
      </c>
      <c r="N46" s="76">
        <v>4657.37060546875</v>
      </c>
      <c r="O46" s="76">
        <v>1542.9044189453125</v>
      </c>
      <c r="P46" s="77"/>
      <c r="Q46" s="78"/>
      <c r="R46" s="78"/>
      <c r="S46" s="90"/>
      <c r="T46" s="49">
        <v>0</v>
      </c>
      <c r="U46" s="49">
        <v>3</v>
      </c>
      <c r="V46" s="50">
        <v>0</v>
      </c>
      <c r="W46" s="50">
        <v>0.010638</v>
      </c>
      <c r="X46" s="50">
        <v>0.026463</v>
      </c>
      <c r="Y46" s="50">
        <v>0.721992</v>
      </c>
      <c r="Z46" s="50">
        <v>0.8333333333333334</v>
      </c>
      <c r="AA46" s="50">
        <v>0</v>
      </c>
      <c r="AB46" s="73">
        <v>46</v>
      </c>
      <c r="AC46" s="73"/>
      <c r="AD46" s="74"/>
      <c r="AE46" s="80" t="s">
        <v>540</v>
      </c>
      <c r="AF46" s="89" t="s">
        <v>601</v>
      </c>
      <c r="AG46" s="80">
        <v>208</v>
      </c>
      <c r="AH46" s="80">
        <v>186</v>
      </c>
      <c r="AI46" s="80">
        <v>380</v>
      </c>
      <c r="AJ46" s="80">
        <v>608</v>
      </c>
      <c r="AK46" s="80"/>
      <c r="AL46" s="80" t="s">
        <v>662</v>
      </c>
      <c r="AM46" s="80"/>
      <c r="AN46" s="80"/>
      <c r="AO46" s="80"/>
      <c r="AP46" s="82">
        <v>43995.82728009259</v>
      </c>
      <c r="AQ46" s="80"/>
      <c r="AR46" s="80" t="b">
        <v>1</v>
      </c>
      <c r="AS46" s="80" t="b">
        <v>0</v>
      </c>
      <c r="AT46" s="80" t="b">
        <v>0</v>
      </c>
      <c r="AU46" s="80"/>
      <c r="AV46" s="80">
        <v>0</v>
      </c>
      <c r="AW46" s="80"/>
      <c r="AX46" s="80" t="b">
        <v>0</v>
      </c>
      <c r="AY46" s="80" t="s">
        <v>723</v>
      </c>
      <c r="AZ46" s="85" t="str">
        <f>HYPERLINK("https://twitter.com/kavitha_nades")</f>
        <v>https://twitter.com/kavitha_nades</v>
      </c>
      <c r="BA46" s="80" t="s">
        <v>66</v>
      </c>
      <c r="BB46" s="80" t="str">
        <f>REPLACE(INDEX(GroupVertices[Group],MATCH(Vertices[[#This Row],[Vertex]],GroupVertices[Vertex],0)),1,1,"")</f>
        <v>2</v>
      </c>
      <c r="BC46" s="49" t="s">
        <v>809</v>
      </c>
      <c r="BD46" s="49" t="s">
        <v>809</v>
      </c>
      <c r="BE46" s="49" t="s">
        <v>337</v>
      </c>
      <c r="BF46" s="49" t="s">
        <v>337</v>
      </c>
      <c r="BG46" s="49"/>
      <c r="BH46" s="49"/>
      <c r="BI46" s="109" t="s">
        <v>1022</v>
      </c>
      <c r="BJ46" s="109" t="s">
        <v>1022</v>
      </c>
      <c r="BK46" s="109" t="s">
        <v>1042</v>
      </c>
      <c r="BL46" s="109" t="s">
        <v>1042</v>
      </c>
      <c r="BM46" s="109">
        <v>2</v>
      </c>
      <c r="BN46" s="112">
        <v>5</v>
      </c>
      <c r="BO46" s="109">
        <v>0</v>
      </c>
      <c r="BP46" s="112">
        <v>0</v>
      </c>
      <c r="BQ46" s="109">
        <v>0</v>
      </c>
      <c r="BR46" s="112">
        <v>0</v>
      </c>
      <c r="BS46" s="109">
        <v>38</v>
      </c>
      <c r="BT46" s="112">
        <v>95</v>
      </c>
      <c r="BU46" s="109">
        <v>40</v>
      </c>
      <c r="BV46" s="2"/>
      <c r="BW46" s="3"/>
      <c r="BX46" s="3"/>
      <c r="BY46" s="3"/>
      <c r="BZ46" s="3"/>
    </row>
    <row r="47" spans="1:78" ht="41.45" customHeight="1">
      <c r="A47" s="66" t="s">
        <v>282</v>
      </c>
      <c r="C47" s="67"/>
      <c r="D47" s="67" t="s">
        <v>64</v>
      </c>
      <c r="E47" s="68">
        <v>293.116506465875</v>
      </c>
      <c r="F47" s="70">
        <v>99.30682633556317</v>
      </c>
      <c r="G47" s="104" t="str">
        <f>HYPERLINK("https://pbs.twimg.com/profile_images/906420504969351168/bCTa3IFo_normal.jpg")</f>
        <v>https://pbs.twimg.com/profile_images/906420504969351168/bCTa3IFo_normal.jpg</v>
      </c>
      <c r="H47" s="67"/>
      <c r="I47" s="71" t="s">
        <v>282</v>
      </c>
      <c r="J47" s="72"/>
      <c r="K47" s="72"/>
      <c r="L47" s="71" t="s">
        <v>767</v>
      </c>
      <c r="M47" s="75">
        <v>232.01167656798034</v>
      </c>
      <c r="N47" s="76">
        <v>5311.8017578125</v>
      </c>
      <c r="O47" s="76">
        <v>5105.6669921875</v>
      </c>
      <c r="P47" s="77"/>
      <c r="Q47" s="78"/>
      <c r="R47" s="78"/>
      <c r="S47" s="90"/>
      <c r="T47" s="49">
        <v>0</v>
      </c>
      <c r="U47" s="49">
        <v>3</v>
      </c>
      <c r="V47" s="50">
        <v>0</v>
      </c>
      <c r="W47" s="50">
        <v>0.010638</v>
      </c>
      <c r="X47" s="50">
        <v>0.026463</v>
      </c>
      <c r="Y47" s="50">
        <v>0.721992</v>
      </c>
      <c r="Z47" s="50">
        <v>0.8333333333333334</v>
      </c>
      <c r="AA47" s="50">
        <v>0</v>
      </c>
      <c r="AB47" s="73">
        <v>47</v>
      </c>
      <c r="AC47" s="73"/>
      <c r="AD47" s="74"/>
      <c r="AE47" s="80" t="s">
        <v>541</v>
      </c>
      <c r="AF47" s="89" t="s">
        <v>602</v>
      </c>
      <c r="AG47" s="80">
        <v>1899</v>
      </c>
      <c r="AH47" s="80">
        <v>10379</v>
      </c>
      <c r="AI47" s="80">
        <v>78881</v>
      </c>
      <c r="AJ47" s="80">
        <v>84965</v>
      </c>
      <c r="AK47" s="80"/>
      <c r="AL47" s="80" t="s">
        <v>663</v>
      </c>
      <c r="AM47" s="80"/>
      <c r="AN47" s="80"/>
      <c r="AO47" s="80"/>
      <c r="AP47" s="82">
        <v>42810.31626157407</v>
      </c>
      <c r="AQ47" s="85" t="str">
        <f>HYPERLINK("https://pbs.twimg.com/profile_banners/842278113727922177/1609512628")</f>
        <v>https://pbs.twimg.com/profile_banners/842278113727922177/1609512628</v>
      </c>
      <c r="AR47" s="80" t="b">
        <v>0</v>
      </c>
      <c r="AS47" s="80" t="b">
        <v>0</v>
      </c>
      <c r="AT47" s="80" t="b">
        <v>1</v>
      </c>
      <c r="AU47" s="80"/>
      <c r="AV47" s="80">
        <v>73</v>
      </c>
      <c r="AW47" s="85" t="str">
        <f>HYPERLINK("https://abs.twimg.com/images/themes/theme1/bg.png")</f>
        <v>https://abs.twimg.com/images/themes/theme1/bg.png</v>
      </c>
      <c r="AX47" s="80" t="b">
        <v>0</v>
      </c>
      <c r="AY47" s="80" t="s">
        <v>723</v>
      </c>
      <c r="AZ47" s="85" t="str">
        <f>HYPERLINK("https://twitter.com/raj_psyc")</f>
        <v>https://twitter.com/raj_psyc</v>
      </c>
      <c r="BA47" s="80" t="s">
        <v>66</v>
      </c>
      <c r="BB47" s="80" t="str">
        <f>REPLACE(INDEX(GroupVertices[Group],MATCH(Vertices[[#This Row],[Vertex]],GroupVertices[Vertex],0)),1,1,"")</f>
        <v>2</v>
      </c>
      <c r="BC47" s="49" t="s">
        <v>809</v>
      </c>
      <c r="BD47" s="49" t="s">
        <v>809</v>
      </c>
      <c r="BE47" s="49" t="s">
        <v>337</v>
      </c>
      <c r="BF47" s="49" t="s">
        <v>337</v>
      </c>
      <c r="BG47" s="49"/>
      <c r="BH47" s="49"/>
      <c r="BI47" s="109" t="s">
        <v>1022</v>
      </c>
      <c r="BJ47" s="109" t="s">
        <v>1022</v>
      </c>
      <c r="BK47" s="109" t="s">
        <v>1042</v>
      </c>
      <c r="BL47" s="109" t="s">
        <v>1042</v>
      </c>
      <c r="BM47" s="109">
        <v>2</v>
      </c>
      <c r="BN47" s="112">
        <v>5</v>
      </c>
      <c r="BO47" s="109">
        <v>0</v>
      </c>
      <c r="BP47" s="112">
        <v>0</v>
      </c>
      <c r="BQ47" s="109">
        <v>0</v>
      </c>
      <c r="BR47" s="112">
        <v>0</v>
      </c>
      <c r="BS47" s="109">
        <v>38</v>
      </c>
      <c r="BT47" s="112">
        <v>95</v>
      </c>
      <c r="BU47" s="109">
        <v>40</v>
      </c>
      <c r="BV47" s="2"/>
      <c r="BW47" s="3"/>
      <c r="BX47" s="3"/>
      <c r="BY47" s="3"/>
      <c r="BZ47" s="3"/>
    </row>
    <row r="48" spans="1:78" ht="41.45" customHeight="1">
      <c r="A48" s="66" t="s">
        <v>283</v>
      </c>
      <c r="C48" s="67"/>
      <c r="D48" s="67" t="s">
        <v>64</v>
      </c>
      <c r="E48" s="68">
        <v>162</v>
      </c>
      <c r="F48" s="70">
        <v>100</v>
      </c>
      <c r="G48" s="104" t="str">
        <f>HYPERLINK("https://abs.twimg.com/sticky/default_profile_images/default_profile_normal.png")</f>
        <v>https://abs.twimg.com/sticky/default_profile_images/default_profile_normal.png</v>
      </c>
      <c r="H48" s="67"/>
      <c r="I48" s="71" t="s">
        <v>283</v>
      </c>
      <c r="J48" s="72"/>
      <c r="K48" s="72"/>
      <c r="L48" s="71" t="s">
        <v>768</v>
      </c>
      <c r="M48" s="75">
        <v>1</v>
      </c>
      <c r="N48" s="76">
        <v>6609.05615234375</v>
      </c>
      <c r="O48" s="76">
        <v>7664.43115234375</v>
      </c>
      <c r="P48" s="77"/>
      <c r="Q48" s="78"/>
      <c r="R48" s="78"/>
      <c r="S48" s="90"/>
      <c r="T48" s="49">
        <v>0</v>
      </c>
      <c r="U48" s="49">
        <v>6</v>
      </c>
      <c r="V48" s="50">
        <v>30</v>
      </c>
      <c r="W48" s="50">
        <v>0.166667</v>
      </c>
      <c r="X48" s="50">
        <v>0</v>
      </c>
      <c r="Y48" s="50">
        <v>3.29727</v>
      </c>
      <c r="Z48" s="50">
        <v>0</v>
      </c>
      <c r="AA48" s="50">
        <v>0</v>
      </c>
      <c r="AB48" s="73">
        <v>48</v>
      </c>
      <c r="AC48" s="73"/>
      <c r="AD48" s="74"/>
      <c r="AE48" s="80" t="s">
        <v>542</v>
      </c>
      <c r="AF48" s="89" t="s">
        <v>603</v>
      </c>
      <c r="AG48" s="80">
        <v>203</v>
      </c>
      <c r="AH48" s="80">
        <v>10</v>
      </c>
      <c r="AI48" s="80">
        <v>200</v>
      </c>
      <c r="AJ48" s="80">
        <v>1868</v>
      </c>
      <c r="AK48" s="80"/>
      <c r="AL48" s="80" t="s">
        <v>664</v>
      </c>
      <c r="AM48" s="80" t="s">
        <v>710</v>
      </c>
      <c r="AN48" s="80"/>
      <c r="AO48" s="80"/>
      <c r="AP48" s="82">
        <v>42573.828784722224</v>
      </c>
      <c r="AQ48" s="80"/>
      <c r="AR48" s="80" t="b">
        <v>1</v>
      </c>
      <c r="AS48" s="80" t="b">
        <v>1</v>
      </c>
      <c r="AT48" s="80" t="b">
        <v>0</v>
      </c>
      <c r="AU48" s="80"/>
      <c r="AV48" s="80">
        <v>0</v>
      </c>
      <c r="AW48" s="80"/>
      <c r="AX48" s="80" t="b">
        <v>0</v>
      </c>
      <c r="AY48" s="80" t="s">
        <v>723</v>
      </c>
      <c r="AZ48" s="85" t="str">
        <f>HYPERLINK("https://twitter.com/erdonnachie")</f>
        <v>https://twitter.com/erdonnachie</v>
      </c>
      <c r="BA48" s="80" t="s">
        <v>66</v>
      </c>
      <c r="BB48" s="80" t="str">
        <f>REPLACE(INDEX(GroupVertices[Group],MATCH(Vertices[[#This Row],[Vertex]],GroupVertices[Vertex],0)),1,1,"")</f>
        <v>3</v>
      </c>
      <c r="BC48" s="49" t="s">
        <v>809</v>
      </c>
      <c r="BD48" s="49" t="s">
        <v>809</v>
      </c>
      <c r="BE48" s="49" t="s">
        <v>337</v>
      </c>
      <c r="BF48" s="49" t="s">
        <v>337</v>
      </c>
      <c r="BG48" s="49"/>
      <c r="BH48" s="49"/>
      <c r="BI48" s="109" t="s">
        <v>1033</v>
      </c>
      <c r="BJ48" s="109" t="s">
        <v>1033</v>
      </c>
      <c r="BK48" s="109" t="s">
        <v>1053</v>
      </c>
      <c r="BL48" s="109" t="s">
        <v>1053</v>
      </c>
      <c r="BM48" s="109">
        <v>1</v>
      </c>
      <c r="BN48" s="112">
        <v>2.127659574468085</v>
      </c>
      <c r="BO48" s="109">
        <v>3</v>
      </c>
      <c r="BP48" s="112">
        <v>6.382978723404255</v>
      </c>
      <c r="BQ48" s="109">
        <v>0</v>
      </c>
      <c r="BR48" s="112">
        <v>0</v>
      </c>
      <c r="BS48" s="109">
        <v>43</v>
      </c>
      <c r="BT48" s="112">
        <v>91.48936170212765</v>
      </c>
      <c r="BU48" s="109">
        <v>47</v>
      </c>
      <c r="BV48" s="2"/>
      <c r="BW48" s="3"/>
      <c r="BX48" s="3"/>
      <c r="BY48" s="3"/>
      <c r="BZ48" s="3"/>
    </row>
    <row r="49" spans="1:78" ht="41.45" customHeight="1">
      <c r="A49" s="66" t="s">
        <v>308</v>
      </c>
      <c r="C49" s="67"/>
      <c r="D49" s="67" t="s">
        <v>64</v>
      </c>
      <c r="E49" s="68">
        <v>420.35098308460715</v>
      </c>
      <c r="F49" s="70">
        <v>98.63417579919869</v>
      </c>
      <c r="G49" s="104" t="str">
        <f>HYPERLINK("https://pbs.twimg.com/profile_images/1260684462301622274/A5sr6Vkp_normal.jpg")</f>
        <v>https://pbs.twimg.com/profile_images/1260684462301622274/A5sr6Vkp_normal.jpg</v>
      </c>
      <c r="H49" s="67"/>
      <c r="I49" s="71" t="s">
        <v>308</v>
      </c>
      <c r="J49" s="72"/>
      <c r="K49" s="72"/>
      <c r="L49" s="71" t="s">
        <v>769</v>
      </c>
      <c r="M49" s="75">
        <v>456.18367865371846</v>
      </c>
      <c r="N49" s="76">
        <v>7406.39599609375</v>
      </c>
      <c r="O49" s="76">
        <v>9194.552734375</v>
      </c>
      <c r="P49" s="77"/>
      <c r="Q49" s="78"/>
      <c r="R49" s="78"/>
      <c r="S49" s="90"/>
      <c r="T49" s="49">
        <v>1</v>
      </c>
      <c r="U49" s="49">
        <v>0</v>
      </c>
      <c r="V49" s="50">
        <v>0</v>
      </c>
      <c r="W49" s="50">
        <v>0.090909</v>
      </c>
      <c r="X49" s="50">
        <v>0</v>
      </c>
      <c r="Y49" s="50">
        <v>0.617112</v>
      </c>
      <c r="Z49" s="50">
        <v>0</v>
      </c>
      <c r="AA49" s="50">
        <v>0</v>
      </c>
      <c r="AB49" s="73">
        <v>49</v>
      </c>
      <c r="AC49" s="73"/>
      <c r="AD49" s="74"/>
      <c r="AE49" s="80" t="s">
        <v>543</v>
      </c>
      <c r="AF49" s="89" t="s">
        <v>604</v>
      </c>
      <c r="AG49" s="80">
        <v>5465</v>
      </c>
      <c r="AH49" s="80">
        <v>20441</v>
      </c>
      <c r="AI49" s="80">
        <v>21989</v>
      </c>
      <c r="AJ49" s="80">
        <v>6482</v>
      </c>
      <c r="AK49" s="80"/>
      <c r="AL49" s="80" t="s">
        <v>665</v>
      </c>
      <c r="AM49" s="80" t="s">
        <v>711</v>
      </c>
      <c r="AN49" s="85" t="str">
        <f>HYPERLINK("https://t.co/946mBRYEfG")</f>
        <v>https://t.co/946mBRYEfG</v>
      </c>
      <c r="AO49" s="80"/>
      <c r="AP49" s="82">
        <v>39938.738900462966</v>
      </c>
      <c r="AQ49" s="85" t="str">
        <f>HYPERLINK("https://pbs.twimg.com/profile_banners/37975072/1616430089")</f>
        <v>https://pbs.twimg.com/profile_banners/37975072/1616430089</v>
      </c>
      <c r="AR49" s="80" t="b">
        <v>0</v>
      </c>
      <c r="AS49" s="80" t="b">
        <v>0</v>
      </c>
      <c r="AT49" s="80" t="b">
        <v>0</v>
      </c>
      <c r="AU49" s="80"/>
      <c r="AV49" s="80">
        <v>407</v>
      </c>
      <c r="AW49" s="85" t="str">
        <f>HYPERLINK("https://abs.twimg.com/images/themes/theme8/bg.gif")</f>
        <v>https://abs.twimg.com/images/themes/theme8/bg.gif</v>
      </c>
      <c r="AX49" s="80" t="b">
        <v>0</v>
      </c>
      <c r="AY49" s="80" t="s">
        <v>723</v>
      </c>
      <c r="AZ49" s="85" t="str">
        <f>HYPERLINK("https://twitter.com/aier")</f>
        <v>https://twitter.com/aier</v>
      </c>
      <c r="BA49" s="80" t="s">
        <v>65</v>
      </c>
      <c r="BB49" s="80" t="str">
        <f>REPLACE(INDEX(GroupVertices[Group],MATCH(Vertices[[#This Row],[Vertex]],GroupVertices[Vertex],0)),1,1,"")</f>
        <v>3</v>
      </c>
      <c r="BC49" s="49"/>
      <c r="BD49" s="49"/>
      <c r="BE49" s="49"/>
      <c r="BF49" s="49"/>
      <c r="BG49" s="49"/>
      <c r="BH49" s="49"/>
      <c r="BI49" s="49"/>
      <c r="BJ49" s="49"/>
      <c r="BK49" s="49"/>
      <c r="BL49" s="49"/>
      <c r="BM49" s="49"/>
      <c r="BN49" s="50"/>
      <c r="BO49" s="49"/>
      <c r="BP49" s="50"/>
      <c r="BQ49" s="49"/>
      <c r="BR49" s="50"/>
      <c r="BS49" s="49"/>
      <c r="BT49" s="50"/>
      <c r="BU49" s="49"/>
      <c r="BV49" s="2"/>
      <c r="BW49" s="3"/>
      <c r="BX49" s="3"/>
      <c r="BY49" s="3"/>
      <c r="BZ49" s="3"/>
    </row>
    <row r="50" spans="1:78" ht="41.45" customHeight="1">
      <c r="A50" s="66" t="s">
        <v>309</v>
      </c>
      <c r="C50" s="67"/>
      <c r="D50" s="67" t="s">
        <v>64</v>
      </c>
      <c r="E50" s="68">
        <v>230.2959062033167</v>
      </c>
      <c r="F50" s="70">
        <v>99.63894001720288</v>
      </c>
      <c r="G50" s="104" t="str">
        <f>HYPERLINK("https://pbs.twimg.com/profile_images/571308501/0001589-R3-009-3_normal.jpg")</f>
        <v>https://pbs.twimg.com/profile_images/571308501/0001589-R3-009-3_normal.jpg</v>
      </c>
      <c r="H50" s="67"/>
      <c r="I50" s="71" t="s">
        <v>309</v>
      </c>
      <c r="J50" s="72"/>
      <c r="K50" s="72"/>
      <c r="L50" s="71" t="s">
        <v>770</v>
      </c>
      <c r="M50" s="75">
        <v>121.32925693351933</v>
      </c>
      <c r="N50" s="76">
        <v>6948.8154296875</v>
      </c>
      <c r="O50" s="76">
        <v>5660.22705078125</v>
      </c>
      <c r="P50" s="77"/>
      <c r="Q50" s="78"/>
      <c r="R50" s="78"/>
      <c r="S50" s="90"/>
      <c r="T50" s="49">
        <v>1</v>
      </c>
      <c r="U50" s="49">
        <v>0</v>
      </c>
      <c r="V50" s="50">
        <v>0</v>
      </c>
      <c r="W50" s="50">
        <v>0.090909</v>
      </c>
      <c r="X50" s="50">
        <v>0</v>
      </c>
      <c r="Y50" s="50">
        <v>0.617112</v>
      </c>
      <c r="Z50" s="50">
        <v>0</v>
      </c>
      <c r="AA50" s="50">
        <v>0</v>
      </c>
      <c r="AB50" s="73">
        <v>50</v>
      </c>
      <c r="AC50" s="73"/>
      <c r="AD50" s="74"/>
      <c r="AE50" s="80" t="s">
        <v>544</v>
      </c>
      <c r="AF50" s="89" t="s">
        <v>605</v>
      </c>
      <c r="AG50" s="80">
        <v>452</v>
      </c>
      <c r="AH50" s="80">
        <v>5411</v>
      </c>
      <c r="AI50" s="80">
        <v>13764</v>
      </c>
      <c r="AJ50" s="80">
        <v>3785</v>
      </c>
      <c r="AK50" s="80"/>
      <c r="AL50" s="80" t="s">
        <v>666</v>
      </c>
      <c r="AM50" s="80" t="s">
        <v>712</v>
      </c>
      <c r="AN50" s="85" t="str">
        <f>HYPERLINK("https://t.co/ULAJwTqriq")</f>
        <v>https://t.co/ULAJwTqriq</v>
      </c>
      <c r="AO50" s="80"/>
      <c r="AP50" s="82">
        <v>40159.66354166667</v>
      </c>
      <c r="AQ50" s="80"/>
      <c r="AR50" s="80" t="b">
        <v>1</v>
      </c>
      <c r="AS50" s="80" t="b">
        <v>0</v>
      </c>
      <c r="AT50" s="80" t="b">
        <v>0</v>
      </c>
      <c r="AU50" s="80"/>
      <c r="AV50" s="80">
        <v>297</v>
      </c>
      <c r="AW50" s="85" t="str">
        <f>HYPERLINK("https://abs.twimg.com/images/themes/theme1/bg.png")</f>
        <v>https://abs.twimg.com/images/themes/theme1/bg.png</v>
      </c>
      <c r="AX50" s="80" t="b">
        <v>0</v>
      </c>
      <c r="AY50" s="80" t="s">
        <v>723</v>
      </c>
      <c r="AZ50" s="85" t="str">
        <f>HYPERLINK("https://twitter.com/shannonbrownlee")</f>
        <v>https://twitter.com/shannonbrownlee</v>
      </c>
      <c r="BA50" s="80" t="s">
        <v>65</v>
      </c>
      <c r="BB50" s="80" t="str">
        <f>REPLACE(INDEX(GroupVertices[Group],MATCH(Vertices[[#This Row],[Vertex]],GroupVertices[Vertex],0)),1,1,"")</f>
        <v>3</v>
      </c>
      <c r="BC50" s="49"/>
      <c r="BD50" s="49"/>
      <c r="BE50" s="49"/>
      <c r="BF50" s="49"/>
      <c r="BG50" s="49"/>
      <c r="BH50" s="49"/>
      <c r="BI50" s="49"/>
      <c r="BJ50" s="49"/>
      <c r="BK50" s="49"/>
      <c r="BL50" s="49"/>
      <c r="BM50" s="49"/>
      <c r="BN50" s="50"/>
      <c r="BO50" s="49"/>
      <c r="BP50" s="50"/>
      <c r="BQ50" s="49"/>
      <c r="BR50" s="50"/>
      <c r="BS50" s="49"/>
      <c r="BT50" s="50"/>
      <c r="BU50" s="49"/>
      <c r="BV50" s="2"/>
      <c r="BW50" s="3"/>
      <c r="BX50" s="3"/>
      <c r="BY50" s="3"/>
      <c r="BZ50" s="3"/>
    </row>
    <row r="51" spans="1:78" ht="41.45" customHeight="1">
      <c r="A51" s="66" t="s">
        <v>310</v>
      </c>
      <c r="C51" s="67"/>
      <c r="D51" s="67" t="s">
        <v>64</v>
      </c>
      <c r="E51" s="68">
        <v>210.32937483967345</v>
      </c>
      <c r="F51" s="70">
        <v>99.74449708308636</v>
      </c>
      <c r="G51" s="104" t="str">
        <f>HYPERLINK("https://pbs.twimg.com/profile_images/761465114763595776/GJF3GRIo_normal.jpg")</f>
        <v>https://pbs.twimg.com/profile_images/761465114763595776/GJF3GRIo_normal.jpg</v>
      </c>
      <c r="H51" s="67"/>
      <c r="I51" s="71" t="s">
        <v>310</v>
      </c>
      <c r="J51" s="72"/>
      <c r="K51" s="72"/>
      <c r="L51" s="71" t="s">
        <v>771</v>
      </c>
      <c r="M51" s="75">
        <v>86.15060544341989</v>
      </c>
      <c r="N51" s="76">
        <v>5471.95654296875</v>
      </c>
      <c r="O51" s="76">
        <v>8138.513671875</v>
      </c>
      <c r="P51" s="77"/>
      <c r="Q51" s="78"/>
      <c r="R51" s="78"/>
      <c r="S51" s="90"/>
      <c r="T51" s="49">
        <v>1</v>
      </c>
      <c r="U51" s="49">
        <v>0</v>
      </c>
      <c r="V51" s="50">
        <v>0</v>
      </c>
      <c r="W51" s="50">
        <v>0.090909</v>
      </c>
      <c r="X51" s="50">
        <v>0</v>
      </c>
      <c r="Y51" s="50">
        <v>0.617112</v>
      </c>
      <c r="Z51" s="50">
        <v>0</v>
      </c>
      <c r="AA51" s="50">
        <v>0</v>
      </c>
      <c r="AB51" s="73">
        <v>51</v>
      </c>
      <c r="AC51" s="73"/>
      <c r="AD51" s="74"/>
      <c r="AE51" s="80" t="s">
        <v>545</v>
      </c>
      <c r="AF51" s="89" t="s">
        <v>606</v>
      </c>
      <c r="AG51" s="80">
        <v>2443</v>
      </c>
      <c r="AH51" s="80">
        <v>3832</v>
      </c>
      <c r="AI51" s="80">
        <v>7511</v>
      </c>
      <c r="AJ51" s="80">
        <v>2564</v>
      </c>
      <c r="AK51" s="80"/>
      <c r="AL51" s="80" t="s">
        <v>667</v>
      </c>
      <c r="AM51" s="80" t="s">
        <v>713</v>
      </c>
      <c r="AN51" s="85" t="str">
        <f>HYPERLINK("https://t.co/COns2SbkC6")</f>
        <v>https://t.co/COns2SbkC6</v>
      </c>
      <c r="AO51" s="80"/>
      <c r="AP51" s="82">
        <v>41713.89408564815</v>
      </c>
      <c r="AQ51" s="85" t="str">
        <f>HYPERLINK("https://pbs.twimg.com/profile_banners/2391647941/1599462276")</f>
        <v>https://pbs.twimg.com/profile_banners/2391647941/1599462276</v>
      </c>
      <c r="AR51" s="80" t="b">
        <v>0</v>
      </c>
      <c r="AS51" s="80" t="b">
        <v>0</v>
      </c>
      <c r="AT51" s="80" t="b">
        <v>0</v>
      </c>
      <c r="AU51" s="80"/>
      <c r="AV51" s="80">
        <v>117</v>
      </c>
      <c r="AW51" s="85" t="str">
        <f>HYPERLINK("https://abs.twimg.com/images/themes/theme1/bg.png")</f>
        <v>https://abs.twimg.com/images/themes/theme1/bg.png</v>
      </c>
      <c r="AX51" s="80" t="b">
        <v>0</v>
      </c>
      <c r="AY51" s="80" t="s">
        <v>723</v>
      </c>
      <c r="AZ51" s="85" t="str">
        <f>HYPERLINK("https://twitter.com/jeannelenzer1")</f>
        <v>https://twitter.com/jeannelenzer1</v>
      </c>
      <c r="BA51" s="80" t="s">
        <v>65</v>
      </c>
      <c r="BB51" s="80" t="str">
        <f>REPLACE(INDEX(GroupVertices[Group],MATCH(Vertices[[#This Row],[Vertex]],GroupVertices[Vertex],0)),1,1,"")</f>
        <v>3</v>
      </c>
      <c r="BC51" s="49"/>
      <c r="BD51" s="49"/>
      <c r="BE51" s="49"/>
      <c r="BF51" s="49"/>
      <c r="BG51" s="49"/>
      <c r="BH51" s="49"/>
      <c r="BI51" s="49"/>
      <c r="BJ51" s="49"/>
      <c r="BK51" s="49"/>
      <c r="BL51" s="49"/>
      <c r="BM51" s="49"/>
      <c r="BN51" s="50"/>
      <c r="BO51" s="49"/>
      <c r="BP51" s="50"/>
      <c r="BQ51" s="49"/>
      <c r="BR51" s="50"/>
      <c r="BS51" s="49"/>
      <c r="BT51" s="50"/>
      <c r="BU51" s="49"/>
      <c r="BV51" s="2"/>
      <c r="BW51" s="3"/>
      <c r="BX51" s="3"/>
      <c r="BY51" s="3"/>
      <c r="BZ51" s="3"/>
    </row>
    <row r="52" spans="1:78" ht="41.45" customHeight="1">
      <c r="A52" s="66" t="s">
        <v>311</v>
      </c>
      <c r="C52" s="67"/>
      <c r="D52" s="67" t="s">
        <v>64</v>
      </c>
      <c r="E52" s="68">
        <v>635.7973170768512</v>
      </c>
      <c r="F52" s="70">
        <v>97.49517561647376</v>
      </c>
      <c r="G52" s="104" t="str">
        <f>HYPERLINK("https://pbs.twimg.com/profile_images/1335046868154216450/WgAxhVw3_normal.jpg")</f>
        <v>https://pbs.twimg.com/profile_images/1335046868154216450/WgAxhVw3_normal.jpg</v>
      </c>
      <c r="H52" s="67"/>
      <c r="I52" s="71" t="s">
        <v>311</v>
      </c>
      <c r="J52" s="72"/>
      <c r="K52" s="72"/>
      <c r="L52" s="71" t="s">
        <v>772</v>
      </c>
      <c r="M52" s="75">
        <v>835.7744728831764</v>
      </c>
      <c r="N52" s="76">
        <v>5811.7158203125</v>
      </c>
      <c r="O52" s="76">
        <v>6134.3095703125</v>
      </c>
      <c r="P52" s="77"/>
      <c r="Q52" s="78"/>
      <c r="R52" s="78"/>
      <c r="S52" s="90"/>
      <c r="T52" s="49">
        <v>1</v>
      </c>
      <c r="U52" s="49">
        <v>0</v>
      </c>
      <c r="V52" s="50">
        <v>0</v>
      </c>
      <c r="W52" s="50">
        <v>0.090909</v>
      </c>
      <c r="X52" s="50">
        <v>0</v>
      </c>
      <c r="Y52" s="50">
        <v>0.617112</v>
      </c>
      <c r="Z52" s="50">
        <v>0</v>
      </c>
      <c r="AA52" s="50">
        <v>0</v>
      </c>
      <c r="AB52" s="73">
        <v>52</v>
      </c>
      <c r="AC52" s="73"/>
      <c r="AD52" s="74"/>
      <c r="AE52" s="80" t="s">
        <v>546</v>
      </c>
      <c r="AF52" s="89" t="s">
        <v>607</v>
      </c>
      <c r="AG52" s="80">
        <v>1386</v>
      </c>
      <c r="AH52" s="80">
        <v>37479</v>
      </c>
      <c r="AI52" s="80">
        <v>59106</v>
      </c>
      <c r="AJ52" s="80">
        <v>59690</v>
      </c>
      <c r="AK52" s="80"/>
      <c r="AL52" s="80" t="s">
        <v>668</v>
      </c>
      <c r="AM52" s="80" t="s">
        <v>714</v>
      </c>
      <c r="AN52" s="85" t="str">
        <f>HYPERLINK("https://t.co/onN0CN3Iw4")</f>
        <v>https://t.co/onN0CN3Iw4</v>
      </c>
      <c r="AO52" s="80"/>
      <c r="AP52" s="82">
        <v>42321.11006944445</v>
      </c>
      <c r="AQ52" s="85" t="str">
        <f>HYPERLINK("https://pbs.twimg.com/profile_banners/4175759465/1607135097")</f>
        <v>https://pbs.twimg.com/profile_banners/4175759465/1607135097</v>
      </c>
      <c r="AR52" s="80" t="b">
        <v>0</v>
      </c>
      <c r="AS52" s="80" t="b">
        <v>0</v>
      </c>
      <c r="AT52" s="80" t="b">
        <v>0</v>
      </c>
      <c r="AU52" s="80"/>
      <c r="AV52" s="80">
        <v>859</v>
      </c>
      <c r="AW52" s="85" t="str">
        <f>HYPERLINK("https://abs.twimg.com/images/themes/theme1/bg.png")</f>
        <v>https://abs.twimg.com/images/themes/theme1/bg.png</v>
      </c>
      <c r="AX52" s="80" t="b">
        <v>0</v>
      </c>
      <c r="AY52" s="80" t="s">
        <v>723</v>
      </c>
      <c r="AZ52" s="85" t="str">
        <f>HYPERLINK("https://twitter.com/gidmk")</f>
        <v>https://twitter.com/gidmk</v>
      </c>
      <c r="BA52" s="80" t="s">
        <v>65</v>
      </c>
      <c r="BB52" s="80" t="str">
        <f>REPLACE(INDEX(GroupVertices[Group],MATCH(Vertices[[#This Row],[Vertex]],GroupVertices[Vertex],0)),1,1,"")</f>
        <v>3</v>
      </c>
      <c r="BC52" s="49"/>
      <c r="BD52" s="49"/>
      <c r="BE52" s="49"/>
      <c r="BF52" s="49"/>
      <c r="BG52" s="49"/>
      <c r="BH52" s="49"/>
      <c r="BI52" s="49"/>
      <c r="BJ52" s="49"/>
      <c r="BK52" s="49"/>
      <c r="BL52" s="49"/>
      <c r="BM52" s="49"/>
      <c r="BN52" s="50"/>
      <c r="BO52" s="49"/>
      <c r="BP52" s="50"/>
      <c r="BQ52" s="49"/>
      <c r="BR52" s="50"/>
      <c r="BS52" s="49"/>
      <c r="BT52" s="50"/>
      <c r="BU52" s="49"/>
      <c r="BV52" s="2"/>
      <c r="BW52" s="3"/>
      <c r="BX52" s="3"/>
      <c r="BY52" s="3"/>
      <c r="BZ52" s="3"/>
    </row>
    <row r="53" spans="1:78" ht="41.45" customHeight="1">
      <c r="A53" s="66" t="s">
        <v>312</v>
      </c>
      <c r="C53" s="67"/>
      <c r="D53" s="67" t="s">
        <v>64</v>
      </c>
      <c r="E53" s="68">
        <v>880.1628766730546</v>
      </c>
      <c r="F53" s="70">
        <v>96.20328815719691</v>
      </c>
      <c r="G53" s="104" t="str">
        <f>HYPERLINK("https://pbs.twimg.com/profile_images/1337170466553925632/Cbbu4DKx_normal.jpg")</f>
        <v>https://pbs.twimg.com/profile_images/1337170466553925632/Cbbu4DKx_normal.jpg</v>
      </c>
      <c r="H53" s="67"/>
      <c r="I53" s="71" t="s">
        <v>312</v>
      </c>
      <c r="J53" s="72"/>
      <c r="K53" s="72"/>
      <c r="L53" s="71" t="s">
        <v>773</v>
      </c>
      <c r="M53" s="75">
        <v>1266.3175001448428</v>
      </c>
      <c r="N53" s="76">
        <v>7746.1552734375</v>
      </c>
      <c r="O53" s="76">
        <v>7190.34912109375</v>
      </c>
      <c r="P53" s="77"/>
      <c r="Q53" s="78"/>
      <c r="R53" s="78"/>
      <c r="S53" s="90"/>
      <c r="T53" s="49">
        <v>1</v>
      </c>
      <c r="U53" s="49">
        <v>0</v>
      </c>
      <c r="V53" s="50">
        <v>0</v>
      </c>
      <c r="W53" s="50">
        <v>0.090909</v>
      </c>
      <c r="X53" s="50">
        <v>0</v>
      </c>
      <c r="Y53" s="50">
        <v>0.617112</v>
      </c>
      <c r="Z53" s="50">
        <v>0</v>
      </c>
      <c r="AA53" s="50">
        <v>0</v>
      </c>
      <c r="AB53" s="73">
        <v>53</v>
      </c>
      <c r="AC53" s="73"/>
      <c r="AD53" s="74"/>
      <c r="AE53" s="80" t="s">
        <v>547</v>
      </c>
      <c r="AF53" s="89" t="s">
        <v>608</v>
      </c>
      <c r="AG53" s="80">
        <v>1979</v>
      </c>
      <c r="AH53" s="80">
        <v>56804</v>
      </c>
      <c r="AI53" s="80">
        <v>74392</v>
      </c>
      <c r="AJ53" s="80">
        <v>63846</v>
      </c>
      <c r="AK53" s="80"/>
      <c r="AL53" s="80" t="s">
        <v>669</v>
      </c>
      <c r="AM53" s="80" t="s">
        <v>715</v>
      </c>
      <c r="AN53" s="85" t="str">
        <f>HYPERLINK("https://t.co/ukcSpWBZ1F")</f>
        <v>https://t.co/ukcSpWBZ1F</v>
      </c>
      <c r="AO53" s="80"/>
      <c r="AP53" s="82">
        <v>40112.138194444444</v>
      </c>
      <c r="AQ53" s="85" t="str">
        <f>HYPERLINK("https://pbs.twimg.com/profile_banners/85227160/1612817869")</f>
        <v>https://pbs.twimg.com/profile_banners/85227160/1612817869</v>
      </c>
      <c r="AR53" s="80" t="b">
        <v>0</v>
      </c>
      <c r="AS53" s="80" t="b">
        <v>0</v>
      </c>
      <c r="AT53" s="80" t="b">
        <v>1</v>
      </c>
      <c r="AU53" s="80"/>
      <c r="AV53" s="80">
        <v>878</v>
      </c>
      <c r="AW53" s="85" t="str">
        <f>HYPERLINK("https://abs.twimg.com/images/themes/theme18/bg.gif")</f>
        <v>https://abs.twimg.com/images/themes/theme18/bg.gif</v>
      </c>
      <c r="AX53" s="80" t="b">
        <v>1</v>
      </c>
      <c r="AY53" s="80" t="s">
        <v>723</v>
      </c>
      <c r="AZ53" s="85" t="str">
        <f>HYPERLINK("https://twitter.com/gorskon")</f>
        <v>https://twitter.com/gorskon</v>
      </c>
      <c r="BA53" s="80" t="s">
        <v>65</v>
      </c>
      <c r="BB53" s="80" t="str">
        <f>REPLACE(INDEX(GroupVertices[Group],MATCH(Vertices[[#This Row],[Vertex]],GroupVertices[Vertex],0)),1,1,"")</f>
        <v>3</v>
      </c>
      <c r="BC53" s="49"/>
      <c r="BD53" s="49"/>
      <c r="BE53" s="49"/>
      <c r="BF53" s="49"/>
      <c r="BG53" s="49"/>
      <c r="BH53" s="49"/>
      <c r="BI53" s="49"/>
      <c r="BJ53" s="49"/>
      <c r="BK53" s="49"/>
      <c r="BL53" s="49"/>
      <c r="BM53" s="49"/>
      <c r="BN53" s="50"/>
      <c r="BO53" s="49"/>
      <c r="BP53" s="50"/>
      <c r="BQ53" s="49"/>
      <c r="BR53" s="50"/>
      <c r="BS53" s="49"/>
      <c r="BT53" s="50"/>
      <c r="BU53" s="49"/>
      <c r="BV53" s="2"/>
      <c r="BW53" s="3"/>
      <c r="BX53" s="3"/>
      <c r="BY53" s="3"/>
      <c r="BZ53" s="3"/>
    </row>
    <row r="54" spans="1:78" ht="41.45" customHeight="1">
      <c r="A54" s="66" t="s">
        <v>313</v>
      </c>
      <c r="C54" s="67"/>
      <c r="D54" s="67" t="s">
        <v>64</v>
      </c>
      <c r="E54" s="68">
        <v>164.18759336663095</v>
      </c>
      <c r="F54" s="70">
        <v>99.98843484965305</v>
      </c>
      <c r="G54" s="104" t="str">
        <f>HYPERLINK("https://pbs.twimg.com/profile_images/1339765036735033344/YMOwqhBF_normal.jpg")</f>
        <v>https://pbs.twimg.com/profile_images/1339765036735033344/YMOwqhBF_normal.jpg</v>
      </c>
      <c r="H54" s="67"/>
      <c r="I54" s="71" t="s">
        <v>313</v>
      </c>
      <c r="J54" s="72"/>
      <c r="K54" s="72"/>
      <c r="L54" s="71" t="s">
        <v>774</v>
      </c>
      <c r="M54" s="75">
        <v>4.854279105628374</v>
      </c>
      <c r="N54" s="76">
        <v>6269.296875</v>
      </c>
      <c r="O54" s="76">
        <v>9668.63671875</v>
      </c>
      <c r="P54" s="77"/>
      <c r="Q54" s="78"/>
      <c r="R54" s="78"/>
      <c r="S54" s="90"/>
      <c r="T54" s="49">
        <v>1</v>
      </c>
      <c r="U54" s="49">
        <v>0</v>
      </c>
      <c r="V54" s="50">
        <v>0</v>
      </c>
      <c r="W54" s="50">
        <v>0.090909</v>
      </c>
      <c r="X54" s="50">
        <v>0</v>
      </c>
      <c r="Y54" s="50">
        <v>0.617112</v>
      </c>
      <c r="Z54" s="50">
        <v>0</v>
      </c>
      <c r="AA54" s="50">
        <v>0</v>
      </c>
      <c r="AB54" s="73">
        <v>54</v>
      </c>
      <c r="AC54" s="73"/>
      <c r="AD54" s="74"/>
      <c r="AE54" s="80" t="s">
        <v>548</v>
      </c>
      <c r="AF54" s="89" t="s">
        <v>464</v>
      </c>
      <c r="AG54" s="80">
        <v>298</v>
      </c>
      <c r="AH54" s="80">
        <v>183</v>
      </c>
      <c r="AI54" s="80">
        <v>2094</v>
      </c>
      <c r="AJ54" s="80">
        <v>106320</v>
      </c>
      <c r="AK54" s="80"/>
      <c r="AL54" s="80" t="s">
        <v>670</v>
      </c>
      <c r="AM54" s="80"/>
      <c r="AN54" s="80"/>
      <c r="AO54" s="80"/>
      <c r="AP54" s="82">
        <v>43917.073483796295</v>
      </c>
      <c r="AQ54" s="80"/>
      <c r="AR54" s="80" t="b">
        <v>1</v>
      </c>
      <c r="AS54" s="80" t="b">
        <v>0</v>
      </c>
      <c r="AT54" s="80" t="b">
        <v>1</v>
      </c>
      <c r="AU54" s="80"/>
      <c r="AV54" s="80">
        <v>0</v>
      </c>
      <c r="AW54" s="80"/>
      <c r="AX54" s="80" t="b">
        <v>0</v>
      </c>
      <c r="AY54" s="80" t="s">
        <v>723</v>
      </c>
      <c r="AZ54" s="85" t="str">
        <f>HYPERLINK("https://twitter.com/shmoopythescie1")</f>
        <v>https://twitter.com/shmoopythescie1</v>
      </c>
      <c r="BA54" s="80" t="s">
        <v>65</v>
      </c>
      <c r="BB54" s="80" t="str">
        <f>REPLACE(INDEX(GroupVertices[Group],MATCH(Vertices[[#This Row],[Vertex]],GroupVertices[Vertex],0)),1,1,"")</f>
        <v>3</v>
      </c>
      <c r="BC54" s="49"/>
      <c r="BD54" s="49"/>
      <c r="BE54" s="49"/>
      <c r="BF54" s="49"/>
      <c r="BG54" s="49"/>
      <c r="BH54" s="49"/>
      <c r="BI54" s="49"/>
      <c r="BJ54" s="49"/>
      <c r="BK54" s="49"/>
      <c r="BL54" s="49"/>
      <c r="BM54" s="49"/>
      <c r="BN54" s="50"/>
      <c r="BO54" s="49"/>
      <c r="BP54" s="50"/>
      <c r="BQ54" s="49"/>
      <c r="BR54" s="50"/>
      <c r="BS54" s="49"/>
      <c r="BT54" s="50"/>
      <c r="BU54" s="49"/>
      <c r="BV54" s="2"/>
      <c r="BW54" s="3"/>
      <c r="BX54" s="3"/>
      <c r="BY54" s="3"/>
      <c r="BZ54" s="3"/>
    </row>
    <row r="55" spans="1:78" ht="41.45" customHeight="1">
      <c r="A55" s="66" t="s">
        <v>284</v>
      </c>
      <c r="C55" s="67"/>
      <c r="D55" s="67" t="s">
        <v>64</v>
      </c>
      <c r="E55" s="68">
        <v>196.5715622217863</v>
      </c>
      <c r="F55" s="70">
        <v>99.81723051417009</v>
      </c>
      <c r="G55" s="104" t="str">
        <f>HYPERLINK("https://pbs.twimg.com/profile_images/2750149639/4eea25bd0508dd560182fcd274401b1f_normal.jpeg")</f>
        <v>https://pbs.twimg.com/profile_images/2750149639/4eea25bd0508dd560182fcd274401b1f_normal.jpeg</v>
      </c>
      <c r="H55" s="67"/>
      <c r="I55" s="71" t="s">
        <v>284</v>
      </c>
      <c r="J55" s="72"/>
      <c r="K55" s="72"/>
      <c r="L55" s="71" t="s">
        <v>775</v>
      </c>
      <c r="M55" s="75">
        <v>61.91097731091313</v>
      </c>
      <c r="N55" s="76">
        <v>8389.443359375</v>
      </c>
      <c r="O55" s="76">
        <v>7664.431640625</v>
      </c>
      <c r="P55" s="77"/>
      <c r="Q55" s="78"/>
      <c r="R55" s="78"/>
      <c r="S55" s="90"/>
      <c r="T55" s="49">
        <v>1</v>
      </c>
      <c r="U55" s="49">
        <v>1</v>
      </c>
      <c r="V55" s="50">
        <v>0</v>
      </c>
      <c r="W55" s="50">
        <v>0</v>
      </c>
      <c r="X55" s="50">
        <v>0</v>
      </c>
      <c r="Y55" s="50">
        <v>0.999992</v>
      </c>
      <c r="Z55" s="50">
        <v>0</v>
      </c>
      <c r="AA55" s="50">
        <v>0</v>
      </c>
      <c r="AB55" s="73">
        <v>55</v>
      </c>
      <c r="AC55" s="73"/>
      <c r="AD55" s="74"/>
      <c r="AE55" s="80" t="s">
        <v>549</v>
      </c>
      <c r="AF55" s="89" t="s">
        <v>609</v>
      </c>
      <c r="AG55" s="80">
        <v>873</v>
      </c>
      <c r="AH55" s="80">
        <v>2744</v>
      </c>
      <c r="AI55" s="80">
        <v>40683</v>
      </c>
      <c r="AJ55" s="80">
        <v>72901</v>
      </c>
      <c r="AK55" s="80"/>
      <c r="AL55" s="80" t="s">
        <v>671</v>
      </c>
      <c r="AM55" s="80" t="s">
        <v>716</v>
      </c>
      <c r="AN55" s="80"/>
      <c r="AO55" s="80"/>
      <c r="AP55" s="82">
        <v>41201.7184837963</v>
      </c>
      <c r="AQ55" s="80"/>
      <c r="AR55" s="80" t="b">
        <v>1</v>
      </c>
      <c r="AS55" s="80" t="b">
        <v>0</v>
      </c>
      <c r="AT55" s="80" t="b">
        <v>1</v>
      </c>
      <c r="AU55" s="80"/>
      <c r="AV55" s="80">
        <v>78</v>
      </c>
      <c r="AW55" s="85" t="str">
        <f>HYPERLINK("https://abs.twimg.com/images/themes/theme1/bg.png")</f>
        <v>https://abs.twimg.com/images/themes/theme1/bg.png</v>
      </c>
      <c r="AX55" s="80" t="b">
        <v>0</v>
      </c>
      <c r="AY55" s="80" t="s">
        <v>723</v>
      </c>
      <c r="AZ55" s="85" t="str">
        <f>HYPERLINK("https://twitter.com/profsarahcowley")</f>
        <v>https://twitter.com/profsarahcowley</v>
      </c>
      <c r="BA55" s="80" t="s">
        <v>66</v>
      </c>
      <c r="BB55" s="80" t="str">
        <f>REPLACE(INDEX(GroupVertices[Group],MATCH(Vertices[[#This Row],[Vertex]],GroupVertices[Vertex],0)),1,1,"")</f>
        <v>4</v>
      </c>
      <c r="BC55" s="49" t="s">
        <v>809</v>
      </c>
      <c r="BD55" s="49" t="s">
        <v>809</v>
      </c>
      <c r="BE55" s="49" t="s">
        <v>337</v>
      </c>
      <c r="BF55" s="49" t="s">
        <v>337</v>
      </c>
      <c r="BG55" s="49"/>
      <c r="BH55" s="49"/>
      <c r="BI55" s="109" t="s">
        <v>1034</v>
      </c>
      <c r="BJ55" s="109" t="s">
        <v>1034</v>
      </c>
      <c r="BK55" s="109" t="s">
        <v>1054</v>
      </c>
      <c r="BL55" s="109" t="s">
        <v>1054</v>
      </c>
      <c r="BM55" s="109">
        <v>2</v>
      </c>
      <c r="BN55" s="112">
        <v>4.878048780487805</v>
      </c>
      <c r="BO55" s="109">
        <v>2</v>
      </c>
      <c r="BP55" s="112">
        <v>4.878048780487805</v>
      </c>
      <c r="BQ55" s="109">
        <v>0</v>
      </c>
      <c r="BR55" s="112">
        <v>0</v>
      </c>
      <c r="BS55" s="109">
        <v>37</v>
      </c>
      <c r="BT55" s="112">
        <v>90.2439024390244</v>
      </c>
      <c r="BU55" s="109">
        <v>41</v>
      </c>
      <c r="BV55" s="2"/>
      <c r="BW55" s="3"/>
      <c r="BX55" s="3"/>
      <c r="BY55" s="3"/>
      <c r="BZ55" s="3"/>
    </row>
    <row r="56" spans="1:78" ht="41.45" customHeight="1">
      <c r="A56" s="66" t="s">
        <v>285</v>
      </c>
      <c r="C56" s="67"/>
      <c r="D56" s="67" t="s">
        <v>64</v>
      </c>
      <c r="E56" s="68">
        <v>162.93573357879012</v>
      </c>
      <c r="F56" s="70">
        <v>99.99505305707703</v>
      </c>
      <c r="G56" s="104" t="str">
        <f>HYPERLINK("https://pbs.twimg.com/profile_images/1504643826/293227_10150298969603416_546828415_7850996_1250550_n_normal.jpg")</f>
        <v>https://pbs.twimg.com/profile_images/1504643826/293227_10150298969603416_546828415_7850996_1250550_n_normal.jpg</v>
      </c>
      <c r="H56" s="67"/>
      <c r="I56" s="71" t="s">
        <v>285</v>
      </c>
      <c r="J56" s="72"/>
      <c r="K56" s="72"/>
      <c r="L56" s="71" t="s">
        <v>776</v>
      </c>
      <c r="M56" s="75">
        <v>2.6486511781300557</v>
      </c>
      <c r="N56" s="76">
        <v>2223.10107421875</v>
      </c>
      <c r="O56" s="76">
        <v>870.2709350585938</v>
      </c>
      <c r="P56" s="77"/>
      <c r="Q56" s="78"/>
      <c r="R56" s="78"/>
      <c r="S56" s="90"/>
      <c r="T56" s="49">
        <v>0</v>
      </c>
      <c r="U56" s="49">
        <v>2</v>
      </c>
      <c r="V56" s="50">
        <v>0</v>
      </c>
      <c r="W56" s="50">
        <v>0.010526</v>
      </c>
      <c r="X56" s="50">
        <v>0.021633</v>
      </c>
      <c r="Y56" s="50">
        <v>0.534764</v>
      </c>
      <c r="Z56" s="50">
        <v>1</v>
      </c>
      <c r="AA56" s="50">
        <v>0</v>
      </c>
      <c r="AB56" s="73">
        <v>56</v>
      </c>
      <c r="AC56" s="73"/>
      <c r="AD56" s="74"/>
      <c r="AE56" s="80" t="s">
        <v>550</v>
      </c>
      <c r="AF56" s="89" t="s">
        <v>610</v>
      </c>
      <c r="AG56" s="80">
        <v>72</v>
      </c>
      <c r="AH56" s="80">
        <v>84</v>
      </c>
      <c r="AI56" s="80">
        <v>2126</v>
      </c>
      <c r="AJ56" s="80">
        <v>240</v>
      </c>
      <c r="AK56" s="80"/>
      <c r="AL56" s="80"/>
      <c r="AM56" s="80" t="s">
        <v>717</v>
      </c>
      <c r="AN56" s="85" t="str">
        <f>HYPERLINK("https://t.co/rDv4gpASB6")</f>
        <v>https://t.co/rDv4gpASB6</v>
      </c>
      <c r="AO56" s="80"/>
      <c r="AP56" s="82">
        <v>39835.68797453704</v>
      </c>
      <c r="AQ56" s="80"/>
      <c r="AR56" s="80" t="b">
        <v>0</v>
      </c>
      <c r="AS56" s="80" t="b">
        <v>0</v>
      </c>
      <c r="AT56" s="80" t="b">
        <v>0</v>
      </c>
      <c r="AU56" s="80"/>
      <c r="AV56" s="80">
        <v>5</v>
      </c>
      <c r="AW56" s="85" t="str">
        <f>HYPERLINK("https://abs.twimg.com/images/themes/theme6/bg.gif")</f>
        <v>https://abs.twimg.com/images/themes/theme6/bg.gif</v>
      </c>
      <c r="AX56" s="80" t="b">
        <v>0</v>
      </c>
      <c r="AY56" s="80" t="s">
        <v>723</v>
      </c>
      <c r="AZ56" s="85" t="str">
        <f>HYPERLINK("https://twitter.com/michaeldavidj")</f>
        <v>https://twitter.com/michaeldavidj</v>
      </c>
      <c r="BA56" s="80" t="s">
        <v>66</v>
      </c>
      <c r="BB56" s="80" t="str">
        <f>REPLACE(INDEX(GroupVertices[Group],MATCH(Vertices[[#This Row],[Vertex]],GroupVertices[Vertex],0)),1,1,"")</f>
        <v>1</v>
      </c>
      <c r="BC56" s="49" t="s">
        <v>810</v>
      </c>
      <c r="BD56" s="49" t="s">
        <v>810</v>
      </c>
      <c r="BE56" s="49" t="s">
        <v>337</v>
      </c>
      <c r="BF56" s="49" t="s">
        <v>337</v>
      </c>
      <c r="BG56" s="49"/>
      <c r="BH56" s="49"/>
      <c r="BI56" s="109" t="s">
        <v>1026</v>
      </c>
      <c r="BJ56" s="109" t="s">
        <v>1026</v>
      </c>
      <c r="BK56" s="109" t="s">
        <v>1046</v>
      </c>
      <c r="BL56" s="109" t="s">
        <v>1046</v>
      </c>
      <c r="BM56" s="109">
        <v>1</v>
      </c>
      <c r="BN56" s="112">
        <v>2.7777777777777777</v>
      </c>
      <c r="BO56" s="109">
        <v>1</v>
      </c>
      <c r="BP56" s="112">
        <v>2.7777777777777777</v>
      </c>
      <c r="BQ56" s="109">
        <v>0</v>
      </c>
      <c r="BR56" s="112">
        <v>0</v>
      </c>
      <c r="BS56" s="109">
        <v>34</v>
      </c>
      <c r="BT56" s="112">
        <v>94.44444444444444</v>
      </c>
      <c r="BU56" s="109">
        <v>36</v>
      </c>
      <c r="BV56" s="2"/>
      <c r="BW56" s="3"/>
      <c r="BX56" s="3"/>
      <c r="BY56" s="3"/>
      <c r="BZ56" s="3"/>
    </row>
    <row r="57" spans="1:78" ht="41.45" customHeight="1">
      <c r="A57" s="66" t="s">
        <v>286</v>
      </c>
      <c r="C57" s="67"/>
      <c r="D57" s="67" t="s">
        <v>64</v>
      </c>
      <c r="E57" s="68">
        <v>232.62259510192996</v>
      </c>
      <c r="F57" s="70">
        <v>99.62663951047548</v>
      </c>
      <c r="G57" s="104" t="str">
        <f>HYPERLINK("https://pbs.twimg.com/profile_images/1208933177689067522/v68lF0zl_normal.jpg")</f>
        <v>https://pbs.twimg.com/profile_images/1208933177689067522/v68lF0zl_normal.jpg</v>
      </c>
      <c r="H57" s="67"/>
      <c r="I57" s="71" t="s">
        <v>286</v>
      </c>
      <c r="J57" s="72"/>
      <c r="K57" s="72"/>
      <c r="L57" s="71" t="s">
        <v>777</v>
      </c>
      <c r="M57" s="75">
        <v>125.42860580886973</v>
      </c>
      <c r="N57" s="76">
        <v>2813.386474609375</v>
      </c>
      <c r="O57" s="76">
        <v>3910.24365234375</v>
      </c>
      <c r="P57" s="77"/>
      <c r="Q57" s="78"/>
      <c r="R57" s="78"/>
      <c r="S57" s="90"/>
      <c r="T57" s="49">
        <v>0</v>
      </c>
      <c r="U57" s="49">
        <v>2</v>
      </c>
      <c r="V57" s="50">
        <v>0</v>
      </c>
      <c r="W57" s="50">
        <v>0.010526</v>
      </c>
      <c r="X57" s="50">
        <v>0.021633</v>
      </c>
      <c r="Y57" s="50">
        <v>0.534764</v>
      </c>
      <c r="Z57" s="50">
        <v>1</v>
      </c>
      <c r="AA57" s="50">
        <v>0</v>
      </c>
      <c r="AB57" s="73">
        <v>57</v>
      </c>
      <c r="AC57" s="73"/>
      <c r="AD57" s="74"/>
      <c r="AE57" s="80" t="s">
        <v>551</v>
      </c>
      <c r="AF57" s="89" t="s">
        <v>611</v>
      </c>
      <c r="AG57" s="80">
        <v>5476</v>
      </c>
      <c r="AH57" s="80">
        <v>5595</v>
      </c>
      <c r="AI57" s="80">
        <v>10510</v>
      </c>
      <c r="AJ57" s="80">
        <v>3321</v>
      </c>
      <c r="AK57" s="80"/>
      <c r="AL57" s="80" t="s">
        <v>672</v>
      </c>
      <c r="AM57" s="80" t="s">
        <v>712</v>
      </c>
      <c r="AN57" s="85" t="str">
        <f>HYPERLINK("https://t.co/U2jbpXDybW")</f>
        <v>https://t.co/U2jbpXDybW</v>
      </c>
      <c r="AO57" s="80"/>
      <c r="AP57" s="82">
        <v>40984.13548611111</v>
      </c>
      <c r="AQ57" s="85" t="str">
        <f>HYPERLINK("https://pbs.twimg.com/profile_banners/525984544/1591584589")</f>
        <v>https://pbs.twimg.com/profile_banners/525984544/1591584589</v>
      </c>
      <c r="AR57" s="80" t="b">
        <v>0</v>
      </c>
      <c r="AS57" s="80" t="b">
        <v>0</v>
      </c>
      <c r="AT57" s="80" t="b">
        <v>0</v>
      </c>
      <c r="AU57" s="80"/>
      <c r="AV57" s="80">
        <v>210</v>
      </c>
      <c r="AW57" s="85" t="str">
        <f>HYPERLINK("https://abs.twimg.com/images/themes/theme2/bg.gif")</f>
        <v>https://abs.twimg.com/images/themes/theme2/bg.gif</v>
      </c>
      <c r="AX57" s="80" t="b">
        <v>0</v>
      </c>
      <c r="AY57" s="80" t="s">
        <v>723</v>
      </c>
      <c r="AZ57" s="85" t="str">
        <f>HYPERLINK("https://twitter.com/jamesonvoss")</f>
        <v>https://twitter.com/jamesonvoss</v>
      </c>
      <c r="BA57" s="80" t="s">
        <v>66</v>
      </c>
      <c r="BB57" s="80" t="str">
        <f>REPLACE(INDEX(GroupVertices[Group],MATCH(Vertices[[#This Row],[Vertex]],GroupVertices[Vertex],0)),1,1,"")</f>
        <v>1</v>
      </c>
      <c r="BC57" s="49" t="s">
        <v>810</v>
      </c>
      <c r="BD57" s="49" t="s">
        <v>810</v>
      </c>
      <c r="BE57" s="49" t="s">
        <v>337</v>
      </c>
      <c r="BF57" s="49" t="s">
        <v>337</v>
      </c>
      <c r="BG57" s="49"/>
      <c r="BH57" s="49"/>
      <c r="BI57" s="109" t="s">
        <v>1026</v>
      </c>
      <c r="BJ57" s="109" t="s">
        <v>1026</v>
      </c>
      <c r="BK57" s="109" t="s">
        <v>1046</v>
      </c>
      <c r="BL57" s="109" t="s">
        <v>1046</v>
      </c>
      <c r="BM57" s="109">
        <v>1</v>
      </c>
      <c r="BN57" s="112">
        <v>2.7777777777777777</v>
      </c>
      <c r="BO57" s="109">
        <v>1</v>
      </c>
      <c r="BP57" s="112">
        <v>2.7777777777777777</v>
      </c>
      <c r="BQ57" s="109">
        <v>0</v>
      </c>
      <c r="BR57" s="112">
        <v>0</v>
      </c>
      <c r="BS57" s="109">
        <v>34</v>
      </c>
      <c r="BT57" s="112">
        <v>94.44444444444444</v>
      </c>
      <c r="BU57" s="109">
        <v>36</v>
      </c>
      <c r="BV57" s="2"/>
      <c r="BW57" s="3"/>
      <c r="BX57" s="3"/>
      <c r="BY57" s="3"/>
      <c r="BZ57" s="3"/>
    </row>
    <row r="58" spans="1:78" ht="41.45" customHeight="1">
      <c r="A58" s="66" t="s">
        <v>287</v>
      </c>
      <c r="C58" s="67"/>
      <c r="D58" s="67" t="s">
        <v>64</v>
      </c>
      <c r="E58" s="68">
        <v>172.31835946341536</v>
      </c>
      <c r="F58" s="70">
        <v>99.9454499266872</v>
      </c>
      <c r="G58" s="104" t="str">
        <f>HYPERLINK("https://pbs.twimg.com/profile_images/1342706013347037185/MWJKpwdt_normal.jpg")</f>
        <v>https://pbs.twimg.com/profile_images/1342706013347037185/MWJKpwdt_normal.jpg</v>
      </c>
      <c r="H58" s="67"/>
      <c r="I58" s="71" t="s">
        <v>287</v>
      </c>
      <c r="J58" s="72"/>
      <c r="K58" s="72"/>
      <c r="L58" s="71" t="s">
        <v>778</v>
      </c>
      <c r="M58" s="75">
        <v>19.17972109938007</v>
      </c>
      <c r="N58" s="76">
        <v>9838.8447265625</v>
      </c>
      <c r="O58" s="76">
        <v>5329.86328125</v>
      </c>
      <c r="P58" s="77"/>
      <c r="Q58" s="78"/>
      <c r="R58" s="78"/>
      <c r="S58" s="90"/>
      <c r="T58" s="49">
        <v>0</v>
      </c>
      <c r="U58" s="49">
        <v>1</v>
      </c>
      <c r="V58" s="50">
        <v>0</v>
      </c>
      <c r="W58" s="50">
        <v>0.333333</v>
      </c>
      <c r="X58" s="50">
        <v>0</v>
      </c>
      <c r="Y58" s="50">
        <v>0.638293</v>
      </c>
      <c r="Z58" s="50">
        <v>0</v>
      </c>
      <c r="AA58" s="50">
        <v>0</v>
      </c>
      <c r="AB58" s="73">
        <v>58</v>
      </c>
      <c r="AC58" s="73"/>
      <c r="AD58" s="74"/>
      <c r="AE58" s="80" t="s">
        <v>552</v>
      </c>
      <c r="AF58" s="89" t="s">
        <v>612</v>
      </c>
      <c r="AG58" s="80">
        <v>75</v>
      </c>
      <c r="AH58" s="80">
        <v>826</v>
      </c>
      <c r="AI58" s="80">
        <v>28408</v>
      </c>
      <c r="AJ58" s="80">
        <v>20980</v>
      </c>
      <c r="AK58" s="80"/>
      <c r="AL58" s="80" t="s">
        <v>673</v>
      </c>
      <c r="AM58" s="80"/>
      <c r="AN58" s="80"/>
      <c r="AO58" s="80"/>
      <c r="AP58" s="82">
        <v>44160.62012731482</v>
      </c>
      <c r="AQ58" s="85" t="str">
        <f>HYPERLINK("https://pbs.twimg.com/profile_banners/1331611799053955073/1608961036")</f>
        <v>https://pbs.twimg.com/profile_banners/1331611799053955073/1608961036</v>
      </c>
      <c r="AR58" s="80" t="b">
        <v>1</v>
      </c>
      <c r="AS58" s="80" t="b">
        <v>0</v>
      </c>
      <c r="AT58" s="80" t="b">
        <v>0</v>
      </c>
      <c r="AU58" s="80"/>
      <c r="AV58" s="80">
        <v>7</v>
      </c>
      <c r="AW58" s="80"/>
      <c r="AX58" s="80" t="b">
        <v>0</v>
      </c>
      <c r="AY58" s="80" t="s">
        <v>723</v>
      </c>
      <c r="AZ58" s="85" t="str">
        <f>HYPERLINK("https://twitter.com/b0tsci")</f>
        <v>https://twitter.com/b0tsci</v>
      </c>
      <c r="BA58" s="80" t="s">
        <v>66</v>
      </c>
      <c r="BB58" s="80" t="str">
        <f>REPLACE(INDEX(GroupVertices[Group],MATCH(Vertices[[#This Row],[Vertex]],GroupVertices[Vertex],0)),1,1,"")</f>
        <v>8</v>
      </c>
      <c r="BC58" s="49" t="s">
        <v>809</v>
      </c>
      <c r="BD58" s="49" t="s">
        <v>809</v>
      </c>
      <c r="BE58" s="49" t="s">
        <v>337</v>
      </c>
      <c r="BF58" s="49" t="s">
        <v>337</v>
      </c>
      <c r="BG58" s="49" t="s">
        <v>341</v>
      </c>
      <c r="BH58" s="49" t="s">
        <v>341</v>
      </c>
      <c r="BI58" s="109" t="s">
        <v>909</v>
      </c>
      <c r="BJ58" s="109" t="s">
        <v>909</v>
      </c>
      <c r="BK58" s="109" t="s">
        <v>970</v>
      </c>
      <c r="BL58" s="109" t="s">
        <v>970</v>
      </c>
      <c r="BM58" s="109">
        <v>0</v>
      </c>
      <c r="BN58" s="112">
        <v>0</v>
      </c>
      <c r="BO58" s="109">
        <v>2</v>
      </c>
      <c r="BP58" s="112">
        <v>10</v>
      </c>
      <c r="BQ58" s="109">
        <v>0</v>
      </c>
      <c r="BR58" s="112">
        <v>0</v>
      </c>
      <c r="BS58" s="109">
        <v>18</v>
      </c>
      <c r="BT58" s="112">
        <v>90</v>
      </c>
      <c r="BU58" s="109">
        <v>20</v>
      </c>
      <c r="BV58" s="2"/>
      <c r="BW58" s="3"/>
      <c r="BX58" s="3"/>
      <c r="BY58" s="3"/>
      <c r="BZ58" s="3"/>
    </row>
    <row r="59" spans="1:78" ht="41.45" customHeight="1">
      <c r="A59" s="66" t="s">
        <v>298</v>
      </c>
      <c r="C59" s="67"/>
      <c r="D59" s="67" t="s">
        <v>64</v>
      </c>
      <c r="E59" s="68">
        <v>251.14759095230193</v>
      </c>
      <c r="F59" s="70">
        <v>99.52870341071659</v>
      </c>
      <c r="G59" s="104" t="str">
        <f>HYPERLINK("https://pbs.twimg.com/profile_images/1296955227044745217/6GWpFdl1_normal.jpg")</f>
        <v>https://pbs.twimg.com/profile_images/1296955227044745217/6GWpFdl1_normal.jpg</v>
      </c>
      <c r="H59" s="67"/>
      <c r="I59" s="71" t="s">
        <v>298</v>
      </c>
      <c r="J59" s="72"/>
      <c r="K59" s="72"/>
      <c r="L59" s="71" t="s">
        <v>779</v>
      </c>
      <c r="M59" s="75">
        <v>158.06744332184988</v>
      </c>
      <c r="N59" s="76">
        <v>9150.1796875</v>
      </c>
      <c r="O59" s="76">
        <v>330.3634338378906</v>
      </c>
      <c r="P59" s="77"/>
      <c r="Q59" s="78"/>
      <c r="R59" s="78"/>
      <c r="S59" s="90"/>
      <c r="T59" s="49">
        <v>3</v>
      </c>
      <c r="U59" s="49">
        <v>1</v>
      </c>
      <c r="V59" s="50">
        <v>2</v>
      </c>
      <c r="W59" s="50">
        <v>0.5</v>
      </c>
      <c r="X59" s="50">
        <v>0</v>
      </c>
      <c r="Y59" s="50">
        <v>1.72339</v>
      </c>
      <c r="Z59" s="50">
        <v>0</v>
      </c>
      <c r="AA59" s="50">
        <v>0</v>
      </c>
      <c r="AB59" s="73">
        <v>59</v>
      </c>
      <c r="AC59" s="73"/>
      <c r="AD59" s="74"/>
      <c r="AE59" s="80" t="s">
        <v>553</v>
      </c>
      <c r="AF59" s="89" t="s">
        <v>613</v>
      </c>
      <c r="AG59" s="80">
        <v>1221</v>
      </c>
      <c r="AH59" s="80">
        <v>7060</v>
      </c>
      <c r="AI59" s="80">
        <v>11689</v>
      </c>
      <c r="AJ59" s="80">
        <v>1509</v>
      </c>
      <c r="AK59" s="80"/>
      <c r="AL59" s="80" t="s">
        <v>674</v>
      </c>
      <c r="AM59" s="80"/>
      <c r="AN59" s="85" t="str">
        <f>HYPERLINK("https://t.co/rkXXowxmdj")</f>
        <v>https://t.co/rkXXowxmdj</v>
      </c>
      <c r="AO59" s="80"/>
      <c r="AP59" s="82">
        <v>42758.73850694444</v>
      </c>
      <c r="AQ59" s="85" t="str">
        <f>HYPERLINK("https://pbs.twimg.com/profile_banners/823586959868264449/1602165355")</f>
        <v>https://pbs.twimg.com/profile_banners/823586959868264449/1602165355</v>
      </c>
      <c r="AR59" s="80" t="b">
        <v>0</v>
      </c>
      <c r="AS59" s="80" t="b">
        <v>0</v>
      </c>
      <c r="AT59" s="80" t="b">
        <v>0</v>
      </c>
      <c r="AU59" s="80"/>
      <c r="AV59" s="80">
        <v>141</v>
      </c>
      <c r="AW59" s="85" t="str">
        <f>HYPERLINK("https://abs.twimg.com/images/themes/theme1/bg.png")</f>
        <v>https://abs.twimg.com/images/themes/theme1/bg.png</v>
      </c>
      <c r="AX59" s="80" t="b">
        <v>0</v>
      </c>
      <c r="AY59" s="80" t="s">
        <v>723</v>
      </c>
      <c r="AZ59" s="85" t="str">
        <f>HYPERLINK("https://twitter.com/agu_scicomm")</f>
        <v>https://twitter.com/agu_scicomm</v>
      </c>
      <c r="BA59" s="80" t="s">
        <v>66</v>
      </c>
      <c r="BB59" s="80" t="str">
        <f>REPLACE(INDEX(GroupVertices[Group],MATCH(Vertices[[#This Row],[Vertex]],GroupVertices[Vertex],0)),1,1,"")</f>
        <v>8</v>
      </c>
      <c r="BC59" s="49" t="s">
        <v>809</v>
      </c>
      <c r="BD59" s="49" t="s">
        <v>809</v>
      </c>
      <c r="BE59" s="49" t="s">
        <v>337</v>
      </c>
      <c r="BF59" s="49" t="s">
        <v>337</v>
      </c>
      <c r="BG59" s="49" t="s">
        <v>341</v>
      </c>
      <c r="BH59" s="49" t="s">
        <v>341</v>
      </c>
      <c r="BI59" s="109" t="s">
        <v>909</v>
      </c>
      <c r="BJ59" s="109" t="s">
        <v>909</v>
      </c>
      <c r="BK59" s="109" t="s">
        <v>970</v>
      </c>
      <c r="BL59" s="109" t="s">
        <v>970</v>
      </c>
      <c r="BM59" s="109">
        <v>0</v>
      </c>
      <c r="BN59" s="112">
        <v>0</v>
      </c>
      <c r="BO59" s="109">
        <v>3</v>
      </c>
      <c r="BP59" s="112">
        <v>10</v>
      </c>
      <c r="BQ59" s="109">
        <v>0</v>
      </c>
      <c r="BR59" s="112">
        <v>0</v>
      </c>
      <c r="BS59" s="109">
        <v>27</v>
      </c>
      <c r="BT59" s="112">
        <v>90</v>
      </c>
      <c r="BU59" s="109">
        <v>30</v>
      </c>
      <c r="BV59" s="2"/>
      <c r="BW59" s="3"/>
      <c r="BX59" s="3"/>
      <c r="BY59" s="3"/>
      <c r="BZ59" s="3"/>
    </row>
    <row r="60" spans="1:78" ht="41.45" customHeight="1">
      <c r="A60" s="66" t="s">
        <v>292</v>
      </c>
      <c r="C60" s="67"/>
      <c r="D60" s="67" t="s">
        <v>64</v>
      </c>
      <c r="E60" s="68">
        <v>163.1506994009446</v>
      </c>
      <c r="F60" s="70">
        <v>99.99391659721634</v>
      </c>
      <c r="G60" s="104" t="str">
        <f>HYPERLINK("https://pbs.twimg.com/profile_images/1087159707998011393/24f2Vo_D_normal.jpg")</f>
        <v>https://pbs.twimg.com/profile_images/1087159707998011393/24f2Vo_D_normal.jpg</v>
      </c>
      <c r="H60" s="67"/>
      <c r="I60" s="71" t="s">
        <v>292</v>
      </c>
      <c r="J60" s="72"/>
      <c r="K60" s="72"/>
      <c r="L60" s="71" t="s">
        <v>780</v>
      </c>
      <c r="M60" s="75">
        <v>3.027395367700474</v>
      </c>
      <c r="N60" s="76">
        <v>8569.3505859375</v>
      </c>
      <c r="O60" s="76">
        <v>2198.017822265625</v>
      </c>
      <c r="P60" s="77"/>
      <c r="Q60" s="78"/>
      <c r="R60" s="78"/>
      <c r="S60" s="90"/>
      <c r="T60" s="49">
        <v>1</v>
      </c>
      <c r="U60" s="49">
        <v>3</v>
      </c>
      <c r="V60" s="50">
        <v>28.666667</v>
      </c>
      <c r="W60" s="50">
        <v>0.009901</v>
      </c>
      <c r="X60" s="50">
        <v>0.013406</v>
      </c>
      <c r="Y60" s="50">
        <v>0.79273</v>
      </c>
      <c r="Z60" s="50">
        <v>0.3333333333333333</v>
      </c>
      <c r="AA60" s="50">
        <v>0.3333333333333333</v>
      </c>
      <c r="AB60" s="73">
        <v>60</v>
      </c>
      <c r="AC60" s="73"/>
      <c r="AD60" s="74"/>
      <c r="AE60" s="80" t="s">
        <v>554</v>
      </c>
      <c r="AF60" s="89" t="s">
        <v>466</v>
      </c>
      <c r="AG60" s="80">
        <v>128</v>
      </c>
      <c r="AH60" s="80">
        <v>101</v>
      </c>
      <c r="AI60" s="80">
        <v>13212</v>
      </c>
      <c r="AJ60" s="80">
        <v>10129</v>
      </c>
      <c r="AK60" s="80"/>
      <c r="AL60" s="80" t="s">
        <v>675</v>
      </c>
      <c r="AM60" s="80"/>
      <c r="AN60" s="80"/>
      <c r="AO60" s="80"/>
      <c r="AP60" s="82">
        <v>43486.056539351855</v>
      </c>
      <c r="AQ60" s="85" t="str">
        <f>HYPERLINK("https://pbs.twimg.com/profile_banners/1087158188670140416/1548034809")</f>
        <v>https://pbs.twimg.com/profile_banners/1087158188670140416/1548034809</v>
      </c>
      <c r="AR60" s="80" t="b">
        <v>1</v>
      </c>
      <c r="AS60" s="80" t="b">
        <v>0</v>
      </c>
      <c r="AT60" s="80" t="b">
        <v>0</v>
      </c>
      <c r="AU60" s="80"/>
      <c r="AV60" s="80">
        <v>0</v>
      </c>
      <c r="AW60" s="80"/>
      <c r="AX60" s="80" t="b">
        <v>0</v>
      </c>
      <c r="AY60" s="80" t="s">
        <v>723</v>
      </c>
      <c r="AZ60" s="85" t="str">
        <f>HYPERLINK("https://twitter.com/lasorsalautaro")</f>
        <v>https://twitter.com/lasorsalautaro</v>
      </c>
      <c r="BA60" s="80" t="s">
        <v>66</v>
      </c>
      <c r="BB60" s="80" t="str">
        <f>REPLACE(INDEX(GroupVertices[Group],MATCH(Vertices[[#This Row],[Vertex]],GroupVertices[Vertex],0)),1,1,"")</f>
        <v>6</v>
      </c>
      <c r="BC60" s="49" t="s">
        <v>809</v>
      </c>
      <c r="BD60" s="49" t="s">
        <v>809</v>
      </c>
      <c r="BE60" s="49" t="s">
        <v>337</v>
      </c>
      <c r="BF60" s="49" t="s">
        <v>337</v>
      </c>
      <c r="BG60" s="49"/>
      <c r="BH60" s="49"/>
      <c r="BI60" s="109" t="s">
        <v>1035</v>
      </c>
      <c r="BJ60" s="109" t="s">
        <v>1035</v>
      </c>
      <c r="BK60" s="109" t="s">
        <v>1055</v>
      </c>
      <c r="BL60" s="109" t="s">
        <v>1055</v>
      </c>
      <c r="BM60" s="109">
        <v>0</v>
      </c>
      <c r="BN60" s="112">
        <v>0</v>
      </c>
      <c r="BO60" s="109">
        <v>0</v>
      </c>
      <c r="BP60" s="112">
        <v>0</v>
      </c>
      <c r="BQ60" s="109">
        <v>0</v>
      </c>
      <c r="BR60" s="112">
        <v>0</v>
      </c>
      <c r="BS60" s="109">
        <v>3</v>
      </c>
      <c r="BT60" s="112">
        <v>100</v>
      </c>
      <c r="BU60" s="109">
        <v>3</v>
      </c>
      <c r="BV60" s="2"/>
      <c r="BW60" s="3"/>
      <c r="BX60" s="3"/>
      <c r="BY60" s="3"/>
      <c r="BZ60" s="3"/>
    </row>
    <row r="61" spans="1:78" ht="41.45" customHeight="1">
      <c r="A61" s="66" t="s">
        <v>293</v>
      </c>
      <c r="C61" s="67"/>
      <c r="D61" s="67" t="s">
        <v>64</v>
      </c>
      <c r="E61" s="68">
        <v>203.70336949797047</v>
      </c>
      <c r="F61" s="70">
        <v>99.77952678702742</v>
      </c>
      <c r="G61" s="104" t="str">
        <f>HYPERLINK("https://pbs.twimg.com/profile_images/1373976686136549381/zhkhixM-_normal.jpg")</f>
        <v>https://pbs.twimg.com/profile_images/1373976686136549381/zhkhixM-_normal.jpg</v>
      </c>
      <c r="H61" s="67"/>
      <c r="I61" s="71" t="s">
        <v>293</v>
      </c>
      <c r="J61" s="72"/>
      <c r="K61" s="72"/>
      <c r="L61" s="71" t="s">
        <v>781</v>
      </c>
      <c r="M61" s="75">
        <v>74.47637277666112</v>
      </c>
      <c r="N61" s="76">
        <v>3991.131591796875</v>
      </c>
      <c r="O61" s="76">
        <v>9425.0859375</v>
      </c>
      <c r="P61" s="77"/>
      <c r="Q61" s="78"/>
      <c r="R61" s="78"/>
      <c r="S61" s="90"/>
      <c r="T61" s="49">
        <v>1</v>
      </c>
      <c r="U61" s="49">
        <v>1</v>
      </c>
      <c r="V61" s="50">
        <v>0</v>
      </c>
      <c r="W61" s="50">
        <v>0.009434</v>
      </c>
      <c r="X61" s="50">
        <v>0.012016</v>
      </c>
      <c r="Y61" s="50">
        <v>0.593288</v>
      </c>
      <c r="Z61" s="50">
        <v>0.5</v>
      </c>
      <c r="AA61" s="50">
        <v>0</v>
      </c>
      <c r="AB61" s="73">
        <v>61</v>
      </c>
      <c r="AC61" s="73"/>
      <c r="AD61" s="74"/>
      <c r="AE61" s="80" t="s">
        <v>555</v>
      </c>
      <c r="AF61" s="89" t="s">
        <v>614</v>
      </c>
      <c r="AG61" s="80">
        <v>2674</v>
      </c>
      <c r="AH61" s="80">
        <v>3308</v>
      </c>
      <c r="AI61" s="80">
        <v>13656</v>
      </c>
      <c r="AJ61" s="80">
        <v>13255</v>
      </c>
      <c r="AK61" s="80"/>
      <c r="AL61" s="80" t="s">
        <v>676</v>
      </c>
      <c r="AM61" s="80" t="s">
        <v>718</v>
      </c>
      <c r="AN61" s="85" t="str">
        <f>HYPERLINK("https://t.co/GXpChOrqtB")</f>
        <v>https://t.co/GXpChOrqtB</v>
      </c>
      <c r="AO61" s="80"/>
      <c r="AP61" s="82">
        <v>41044.45224537037</v>
      </c>
      <c r="AQ61" s="80"/>
      <c r="AR61" s="80" t="b">
        <v>1</v>
      </c>
      <c r="AS61" s="80" t="b">
        <v>0</v>
      </c>
      <c r="AT61" s="80" t="b">
        <v>1</v>
      </c>
      <c r="AU61" s="80"/>
      <c r="AV61" s="80">
        <v>59</v>
      </c>
      <c r="AW61" s="85" t="str">
        <f>HYPERLINK("https://abs.twimg.com/images/themes/theme1/bg.png")</f>
        <v>https://abs.twimg.com/images/themes/theme1/bg.png</v>
      </c>
      <c r="AX61" s="80" t="b">
        <v>0</v>
      </c>
      <c r="AY61" s="80" t="s">
        <v>723</v>
      </c>
      <c r="AZ61" s="85" t="str">
        <f>HYPERLINK("https://twitter.com/abbiewightwick")</f>
        <v>https://twitter.com/abbiewightwick</v>
      </c>
      <c r="BA61" s="80" t="s">
        <v>66</v>
      </c>
      <c r="BB61" s="80" t="str">
        <f>REPLACE(INDEX(GroupVertices[Group],MATCH(Vertices[[#This Row],[Vertex]],GroupVertices[Vertex],0)),1,1,"")</f>
        <v>2</v>
      </c>
      <c r="BC61" s="49" t="s">
        <v>809</v>
      </c>
      <c r="BD61" s="49" t="s">
        <v>809</v>
      </c>
      <c r="BE61" s="49" t="s">
        <v>337</v>
      </c>
      <c r="BF61" s="49" t="s">
        <v>337</v>
      </c>
      <c r="BG61" s="49"/>
      <c r="BH61" s="49"/>
      <c r="BI61" s="109" t="s">
        <v>1036</v>
      </c>
      <c r="BJ61" s="109" t="s">
        <v>1036</v>
      </c>
      <c r="BK61" s="109" t="s">
        <v>1056</v>
      </c>
      <c r="BL61" s="109" t="s">
        <v>1056</v>
      </c>
      <c r="BM61" s="109">
        <v>2</v>
      </c>
      <c r="BN61" s="112">
        <v>16.666666666666668</v>
      </c>
      <c r="BO61" s="109">
        <v>1</v>
      </c>
      <c r="BP61" s="112">
        <v>8.333333333333334</v>
      </c>
      <c r="BQ61" s="109">
        <v>0</v>
      </c>
      <c r="BR61" s="112">
        <v>0</v>
      </c>
      <c r="BS61" s="109">
        <v>9</v>
      </c>
      <c r="BT61" s="112">
        <v>75</v>
      </c>
      <c r="BU61" s="109">
        <v>12</v>
      </c>
      <c r="BV61" s="2"/>
      <c r="BW61" s="3"/>
      <c r="BX61" s="3"/>
      <c r="BY61" s="3"/>
      <c r="BZ61" s="3"/>
    </row>
    <row r="62" spans="1:78" ht="41.45" customHeight="1">
      <c r="A62" s="66" t="s">
        <v>294</v>
      </c>
      <c r="C62" s="67"/>
      <c r="D62" s="67" t="s">
        <v>64</v>
      </c>
      <c r="E62" s="68">
        <v>173.81047517013474</v>
      </c>
      <c r="F62" s="70">
        <v>99.93756155824245</v>
      </c>
      <c r="G62" s="104" t="str">
        <f>HYPERLINK("https://pbs.twimg.com/profile_images/1218697779863621633/wNRGqEWw_normal.jpg")</f>
        <v>https://pbs.twimg.com/profile_images/1218697779863621633/wNRGqEWw_normal.jpg</v>
      </c>
      <c r="H62" s="67"/>
      <c r="I62" s="71" t="s">
        <v>294</v>
      </c>
      <c r="J62" s="72"/>
      <c r="K62" s="72"/>
      <c r="L62" s="71" t="s">
        <v>782</v>
      </c>
      <c r="M62" s="75">
        <v>21.80865135639827</v>
      </c>
      <c r="N62" s="76">
        <v>4431.076171875</v>
      </c>
      <c r="O62" s="76">
        <v>9668.63671875</v>
      </c>
      <c r="P62" s="77"/>
      <c r="Q62" s="78"/>
      <c r="R62" s="78"/>
      <c r="S62" s="90"/>
      <c r="T62" s="49">
        <v>0</v>
      </c>
      <c r="U62" s="49">
        <v>2</v>
      </c>
      <c r="V62" s="50">
        <v>0</v>
      </c>
      <c r="W62" s="50">
        <v>0.009434</v>
      </c>
      <c r="X62" s="50">
        <v>0.012016</v>
      </c>
      <c r="Y62" s="50">
        <v>0.593288</v>
      </c>
      <c r="Z62" s="50">
        <v>0.5</v>
      </c>
      <c r="AA62" s="50">
        <v>0</v>
      </c>
      <c r="AB62" s="73">
        <v>62</v>
      </c>
      <c r="AC62" s="73"/>
      <c r="AD62" s="74"/>
      <c r="AE62" s="80" t="s">
        <v>556</v>
      </c>
      <c r="AF62" s="89" t="s">
        <v>615</v>
      </c>
      <c r="AG62" s="80">
        <v>2525</v>
      </c>
      <c r="AH62" s="80">
        <v>944</v>
      </c>
      <c r="AI62" s="80">
        <v>15406</v>
      </c>
      <c r="AJ62" s="80">
        <v>528</v>
      </c>
      <c r="AK62" s="80"/>
      <c r="AL62" s="80" t="s">
        <v>677</v>
      </c>
      <c r="AM62" s="80" t="s">
        <v>719</v>
      </c>
      <c r="AN62" s="85" t="str">
        <f>HYPERLINK("https://t.co/gjaL2fC5Za")</f>
        <v>https://t.co/gjaL2fC5Za</v>
      </c>
      <c r="AO62" s="80"/>
      <c r="AP62" s="82">
        <v>39887.543125</v>
      </c>
      <c r="AQ62" s="85" t="str">
        <f>HYPERLINK("https://pbs.twimg.com/profile_banners/24520567/1579395170")</f>
        <v>https://pbs.twimg.com/profile_banners/24520567/1579395170</v>
      </c>
      <c r="AR62" s="80" t="b">
        <v>0</v>
      </c>
      <c r="AS62" s="80" t="b">
        <v>0</v>
      </c>
      <c r="AT62" s="80" t="b">
        <v>0</v>
      </c>
      <c r="AU62" s="80"/>
      <c r="AV62" s="80">
        <v>91</v>
      </c>
      <c r="AW62" s="85" t="str">
        <f>HYPERLINK("https://abs.twimg.com/images/themes/theme4/bg.gif")</f>
        <v>https://abs.twimg.com/images/themes/theme4/bg.gif</v>
      </c>
      <c r="AX62" s="80" t="b">
        <v>0</v>
      </c>
      <c r="AY62" s="80" t="s">
        <v>723</v>
      </c>
      <c r="AZ62" s="85" t="str">
        <f>HYPERLINK("https://twitter.com/fundmarksol")</f>
        <v>https://twitter.com/fundmarksol</v>
      </c>
      <c r="BA62" s="80" t="s">
        <v>66</v>
      </c>
      <c r="BB62" s="80" t="str">
        <f>REPLACE(INDEX(GroupVertices[Group],MATCH(Vertices[[#This Row],[Vertex]],GroupVertices[Vertex],0)),1,1,"")</f>
        <v>2</v>
      </c>
      <c r="BC62" s="49" t="s">
        <v>809</v>
      </c>
      <c r="BD62" s="49" t="s">
        <v>809</v>
      </c>
      <c r="BE62" s="49" t="s">
        <v>337</v>
      </c>
      <c r="BF62" s="49" t="s">
        <v>337</v>
      </c>
      <c r="BG62" s="49"/>
      <c r="BH62" s="49"/>
      <c r="BI62" s="109" t="s">
        <v>1036</v>
      </c>
      <c r="BJ62" s="109" t="s">
        <v>1036</v>
      </c>
      <c r="BK62" s="109" t="s">
        <v>1056</v>
      </c>
      <c r="BL62" s="109" t="s">
        <v>1056</v>
      </c>
      <c r="BM62" s="109">
        <v>2</v>
      </c>
      <c r="BN62" s="112">
        <v>16.666666666666668</v>
      </c>
      <c r="BO62" s="109">
        <v>1</v>
      </c>
      <c r="BP62" s="112">
        <v>8.333333333333334</v>
      </c>
      <c r="BQ62" s="109">
        <v>0</v>
      </c>
      <c r="BR62" s="112">
        <v>0</v>
      </c>
      <c r="BS62" s="109">
        <v>9</v>
      </c>
      <c r="BT62" s="112">
        <v>75</v>
      </c>
      <c r="BU62" s="109">
        <v>12</v>
      </c>
      <c r="BV62" s="2"/>
      <c r="BW62" s="3"/>
      <c r="BX62" s="3"/>
      <c r="BY62" s="3"/>
      <c r="BZ62" s="3"/>
    </row>
    <row r="63" spans="1:78" ht="41.45" customHeight="1">
      <c r="A63" s="66" t="s">
        <v>299</v>
      </c>
      <c r="C63" s="67"/>
      <c r="D63" s="67" t="s">
        <v>64</v>
      </c>
      <c r="E63" s="68">
        <v>166.26138129800364</v>
      </c>
      <c r="F63" s="70">
        <v>99.97747135452646</v>
      </c>
      <c r="G63" s="104" t="str">
        <f>HYPERLINK("https://pbs.twimg.com/profile_images/1169667258723045376/S76ajAm1_normal.jpg")</f>
        <v>https://pbs.twimg.com/profile_images/1169667258723045376/S76ajAm1_normal.jpg</v>
      </c>
      <c r="H63" s="67"/>
      <c r="I63" s="71" t="s">
        <v>299</v>
      </c>
      <c r="J63" s="72"/>
      <c r="K63" s="72"/>
      <c r="L63" s="71" t="s">
        <v>783</v>
      </c>
      <c r="M63" s="75">
        <v>8.508046581484173</v>
      </c>
      <c r="N63" s="76">
        <v>9379.7353515625</v>
      </c>
      <c r="O63" s="76">
        <v>1996.8638916015625</v>
      </c>
      <c r="P63" s="77"/>
      <c r="Q63" s="78"/>
      <c r="R63" s="78"/>
      <c r="S63" s="90"/>
      <c r="T63" s="49">
        <v>0</v>
      </c>
      <c r="U63" s="49">
        <v>1</v>
      </c>
      <c r="V63" s="50">
        <v>0</v>
      </c>
      <c r="W63" s="50">
        <v>0.333333</v>
      </c>
      <c r="X63" s="50">
        <v>0</v>
      </c>
      <c r="Y63" s="50">
        <v>0.638293</v>
      </c>
      <c r="Z63" s="50">
        <v>0</v>
      </c>
      <c r="AA63" s="50">
        <v>0</v>
      </c>
      <c r="AB63" s="73">
        <v>63</v>
      </c>
      <c r="AC63" s="73"/>
      <c r="AD63" s="74"/>
      <c r="AE63" s="80" t="s">
        <v>557</v>
      </c>
      <c r="AF63" s="89" t="s">
        <v>616</v>
      </c>
      <c r="AG63" s="80">
        <v>395</v>
      </c>
      <c r="AH63" s="80">
        <v>347</v>
      </c>
      <c r="AI63" s="80">
        <v>122917</v>
      </c>
      <c r="AJ63" s="80">
        <v>49850</v>
      </c>
      <c r="AK63" s="80"/>
      <c r="AL63" s="80" t="s">
        <v>678</v>
      </c>
      <c r="AM63" s="80" t="s">
        <v>720</v>
      </c>
      <c r="AN63" s="85" t="str">
        <f>HYPERLINK("https://t.co/80IIJ7oSyw")</f>
        <v>https://t.co/80IIJ7oSyw</v>
      </c>
      <c r="AO63" s="80"/>
      <c r="AP63" s="82">
        <v>42683.44273148148</v>
      </c>
      <c r="AQ63" s="85" t="str">
        <f>HYPERLINK("https://pbs.twimg.com/profile_banners/796300684769562624/1550994528")</f>
        <v>https://pbs.twimg.com/profile_banners/796300684769562624/1550994528</v>
      </c>
      <c r="AR63" s="80" t="b">
        <v>0</v>
      </c>
      <c r="AS63" s="80" t="b">
        <v>0</v>
      </c>
      <c r="AT63" s="80" t="b">
        <v>0</v>
      </c>
      <c r="AU63" s="80"/>
      <c r="AV63" s="80">
        <v>10</v>
      </c>
      <c r="AW63" s="85" t="str">
        <f>HYPERLINK("https://abs.twimg.com/images/themes/theme1/bg.png")</f>
        <v>https://abs.twimg.com/images/themes/theme1/bg.png</v>
      </c>
      <c r="AX63" s="80" t="b">
        <v>0</v>
      </c>
      <c r="AY63" s="80" t="s">
        <v>723</v>
      </c>
      <c r="AZ63" s="85" t="str">
        <f>HYPERLINK("https://twitter.com/chabis_ch")</f>
        <v>https://twitter.com/chabis_ch</v>
      </c>
      <c r="BA63" s="80" t="s">
        <v>66</v>
      </c>
      <c r="BB63" s="80" t="str">
        <f>REPLACE(INDEX(GroupVertices[Group],MATCH(Vertices[[#This Row],[Vertex]],GroupVertices[Vertex],0)),1,1,"")</f>
        <v>8</v>
      </c>
      <c r="BC63" s="49" t="s">
        <v>809</v>
      </c>
      <c r="BD63" s="49" t="s">
        <v>809</v>
      </c>
      <c r="BE63" s="49" t="s">
        <v>337</v>
      </c>
      <c r="BF63" s="49" t="s">
        <v>337</v>
      </c>
      <c r="BG63" s="49" t="s">
        <v>341</v>
      </c>
      <c r="BH63" s="49" t="s">
        <v>341</v>
      </c>
      <c r="BI63" s="109" t="s">
        <v>909</v>
      </c>
      <c r="BJ63" s="109" t="s">
        <v>909</v>
      </c>
      <c r="BK63" s="109" t="s">
        <v>970</v>
      </c>
      <c r="BL63" s="109" t="s">
        <v>970</v>
      </c>
      <c r="BM63" s="109">
        <v>0</v>
      </c>
      <c r="BN63" s="112">
        <v>0</v>
      </c>
      <c r="BO63" s="109">
        <v>2</v>
      </c>
      <c r="BP63" s="112">
        <v>10</v>
      </c>
      <c r="BQ63" s="109">
        <v>0</v>
      </c>
      <c r="BR63" s="112">
        <v>0</v>
      </c>
      <c r="BS63" s="109">
        <v>18</v>
      </c>
      <c r="BT63" s="112">
        <v>90</v>
      </c>
      <c r="BU63" s="109">
        <v>20</v>
      </c>
      <c r="BV63" s="2"/>
      <c r="BW63" s="3"/>
      <c r="BX63" s="3"/>
      <c r="BY63" s="3"/>
      <c r="BZ63" s="3"/>
    </row>
    <row r="64" spans="1:78" ht="41.45" customHeight="1">
      <c r="A64" s="66" t="s">
        <v>301</v>
      </c>
      <c r="C64" s="67"/>
      <c r="D64" s="67" t="s">
        <v>64</v>
      </c>
      <c r="E64" s="68">
        <v>162.65754251482548</v>
      </c>
      <c r="F64" s="70">
        <v>99.9965237698379</v>
      </c>
      <c r="G64" s="104" t="str">
        <f>HYPERLINK("https://pbs.twimg.com/profile_images/1354726934538821634/5F7spOwc_normal.jpg")</f>
        <v>https://pbs.twimg.com/profile_images/1354726934538821634/5F7spOwc_normal.jpg</v>
      </c>
      <c r="H64" s="67"/>
      <c r="I64" s="71" t="s">
        <v>301</v>
      </c>
      <c r="J64" s="72"/>
      <c r="K64" s="72"/>
      <c r="L64" s="71" t="s">
        <v>784</v>
      </c>
      <c r="M64" s="75">
        <v>2.158511638685985</v>
      </c>
      <c r="N64" s="76">
        <v>596.998046875</v>
      </c>
      <c r="O64" s="76">
        <v>1251.8154296875</v>
      </c>
      <c r="P64" s="77"/>
      <c r="Q64" s="78"/>
      <c r="R64" s="78"/>
      <c r="S64" s="90"/>
      <c r="T64" s="49">
        <v>0</v>
      </c>
      <c r="U64" s="49">
        <v>2</v>
      </c>
      <c r="V64" s="50">
        <v>0</v>
      </c>
      <c r="W64" s="50">
        <v>0.010526</v>
      </c>
      <c r="X64" s="50">
        <v>0.021633</v>
      </c>
      <c r="Y64" s="50">
        <v>0.534764</v>
      </c>
      <c r="Z64" s="50">
        <v>1</v>
      </c>
      <c r="AA64" s="50">
        <v>0</v>
      </c>
      <c r="AB64" s="73">
        <v>64</v>
      </c>
      <c r="AC64" s="73"/>
      <c r="AD64" s="74"/>
      <c r="AE64" s="80" t="s">
        <v>558</v>
      </c>
      <c r="AF64" s="89" t="s">
        <v>617</v>
      </c>
      <c r="AG64" s="80">
        <v>97</v>
      </c>
      <c r="AH64" s="80">
        <v>62</v>
      </c>
      <c r="AI64" s="80">
        <v>945</v>
      </c>
      <c r="AJ64" s="80">
        <v>2316</v>
      </c>
      <c r="AK64" s="80"/>
      <c r="AL64" s="80" t="s">
        <v>679</v>
      </c>
      <c r="AM64" s="80" t="s">
        <v>710</v>
      </c>
      <c r="AN64" s="80"/>
      <c r="AO64" s="80"/>
      <c r="AP64" s="82">
        <v>40717.277337962965</v>
      </c>
      <c r="AQ64" s="85" t="str">
        <f>HYPERLINK("https://pbs.twimg.com/profile_banners/322466270/1478645768")</f>
        <v>https://pbs.twimg.com/profile_banners/322466270/1478645768</v>
      </c>
      <c r="AR64" s="80" t="b">
        <v>1</v>
      </c>
      <c r="AS64" s="80" t="b">
        <v>0</v>
      </c>
      <c r="AT64" s="80" t="b">
        <v>0</v>
      </c>
      <c r="AU64" s="80"/>
      <c r="AV64" s="80">
        <v>0</v>
      </c>
      <c r="AW64" s="85" t="str">
        <f>HYPERLINK("https://abs.twimg.com/images/themes/theme1/bg.png")</f>
        <v>https://abs.twimg.com/images/themes/theme1/bg.png</v>
      </c>
      <c r="AX64" s="80" t="b">
        <v>0</v>
      </c>
      <c r="AY64" s="80" t="s">
        <v>723</v>
      </c>
      <c r="AZ64" s="85" t="str">
        <f>HYPERLINK("https://twitter.com/drako_law")</f>
        <v>https://twitter.com/drako_law</v>
      </c>
      <c r="BA64" s="80" t="s">
        <v>66</v>
      </c>
      <c r="BB64" s="80" t="str">
        <f>REPLACE(INDEX(GroupVertices[Group],MATCH(Vertices[[#This Row],[Vertex]],GroupVertices[Vertex],0)),1,1,"")</f>
        <v>1</v>
      </c>
      <c r="BC64" s="49" t="s">
        <v>810</v>
      </c>
      <c r="BD64" s="49" t="s">
        <v>810</v>
      </c>
      <c r="BE64" s="49" t="s">
        <v>337</v>
      </c>
      <c r="BF64" s="49" t="s">
        <v>337</v>
      </c>
      <c r="BG64" s="49"/>
      <c r="BH64" s="49"/>
      <c r="BI64" s="109" t="s">
        <v>1029</v>
      </c>
      <c r="BJ64" s="109" t="s">
        <v>1029</v>
      </c>
      <c r="BK64" s="109" t="s">
        <v>1049</v>
      </c>
      <c r="BL64" s="109" t="s">
        <v>1049</v>
      </c>
      <c r="BM64" s="109">
        <v>4</v>
      </c>
      <c r="BN64" s="112">
        <v>11.764705882352942</v>
      </c>
      <c r="BO64" s="109">
        <v>0</v>
      </c>
      <c r="BP64" s="112">
        <v>0</v>
      </c>
      <c r="BQ64" s="109">
        <v>0</v>
      </c>
      <c r="BR64" s="112">
        <v>0</v>
      </c>
      <c r="BS64" s="109">
        <v>30</v>
      </c>
      <c r="BT64" s="112">
        <v>88.23529411764706</v>
      </c>
      <c r="BU64" s="109">
        <v>34</v>
      </c>
      <c r="BV64" s="2"/>
      <c r="BW64" s="3"/>
      <c r="BX64" s="3"/>
      <c r="BY64" s="3"/>
      <c r="BZ64" s="3"/>
    </row>
    <row r="65" spans="1:78" ht="41.45" customHeight="1">
      <c r="A65" s="91" t="s">
        <v>302</v>
      </c>
      <c r="C65" s="92"/>
      <c r="D65" s="92" t="s">
        <v>64</v>
      </c>
      <c r="E65" s="93">
        <v>235.6447616604548</v>
      </c>
      <c r="F65" s="94">
        <v>99.61066222184589</v>
      </c>
      <c r="G65" s="105" t="str">
        <f>HYPERLINK("https://pbs.twimg.com/profile_images/860596861727526912/Ua761TEu_normal.jpg")</f>
        <v>https://pbs.twimg.com/profile_images/860596861727526912/Ua761TEu_normal.jpg</v>
      </c>
      <c r="H65" s="92"/>
      <c r="I65" s="95" t="s">
        <v>302</v>
      </c>
      <c r="J65" s="96"/>
      <c r="K65" s="96"/>
      <c r="L65" s="95" t="s">
        <v>785</v>
      </c>
      <c r="M65" s="97">
        <v>130.75330353283033</v>
      </c>
      <c r="N65" s="98">
        <v>8389.443359375</v>
      </c>
      <c r="O65" s="98">
        <v>6328.29443359375</v>
      </c>
      <c r="P65" s="99"/>
      <c r="Q65" s="100"/>
      <c r="R65" s="100"/>
      <c r="S65" s="101"/>
      <c r="T65" s="49">
        <v>1</v>
      </c>
      <c r="U65" s="49">
        <v>1</v>
      </c>
      <c r="V65" s="50">
        <v>0</v>
      </c>
      <c r="W65" s="50">
        <v>0</v>
      </c>
      <c r="X65" s="50">
        <v>0</v>
      </c>
      <c r="Y65" s="50">
        <v>0.999992</v>
      </c>
      <c r="Z65" s="50">
        <v>0</v>
      </c>
      <c r="AA65" s="50">
        <v>0</v>
      </c>
      <c r="AB65" s="102">
        <v>65</v>
      </c>
      <c r="AC65" s="102"/>
      <c r="AD65" s="103"/>
      <c r="AE65" s="80" t="s">
        <v>559</v>
      </c>
      <c r="AF65" s="89" t="s">
        <v>618</v>
      </c>
      <c r="AG65" s="80">
        <v>4165</v>
      </c>
      <c r="AH65" s="80">
        <v>5834</v>
      </c>
      <c r="AI65" s="80">
        <v>105895</v>
      </c>
      <c r="AJ65" s="80">
        <v>328165</v>
      </c>
      <c r="AK65" s="80"/>
      <c r="AL65" s="80" t="s">
        <v>680</v>
      </c>
      <c r="AM65" s="80" t="s">
        <v>721</v>
      </c>
      <c r="AN65" s="85" t="str">
        <f>HYPERLINK("https://t.co/OySBsvQzMT")</f>
        <v>https://t.co/OySBsvQzMT</v>
      </c>
      <c r="AO65" s="80"/>
      <c r="AP65" s="82">
        <v>40735.696018518516</v>
      </c>
      <c r="AQ65" s="85" t="str">
        <f>HYPERLINK("https://pbs.twimg.com/profile_banners/333495548/1411228772")</f>
        <v>https://pbs.twimg.com/profile_banners/333495548/1411228772</v>
      </c>
      <c r="AR65" s="80" t="b">
        <v>1</v>
      </c>
      <c r="AS65" s="80" t="b">
        <v>0</v>
      </c>
      <c r="AT65" s="80" t="b">
        <v>1</v>
      </c>
      <c r="AU65" s="80"/>
      <c r="AV65" s="80">
        <v>284</v>
      </c>
      <c r="AW65" s="85" t="str">
        <f>HYPERLINK("https://abs.twimg.com/images/themes/theme1/bg.png")</f>
        <v>https://abs.twimg.com/images/themes/theme1/bg.png</v>
      </c>
      <c r="AX65" s="80" t="b">
        <v>0</v>
      </c>
      <c r="AY65" s="80" t="s">
        <v>723</v>
      </c>
      <c r="AZ65" s="85" t="str">
        <f>HYPERLINK("https://twitter.com/drol007")</f>
        <v>https://twitter.com/drol007</v>
      </c>
      <c r="BA65" s="80" t="s">
        <v>66</v>
      </c>
      <c r="BB65" s="80" t="str">
        <f>REPLACE(INDEX(GroupVertices[Group],MATCH(Vertices[[#This Row],[Vertex]],GroupVertices[Vertex],0)),1,1,"")</f>
        <v>4</v>
      </c>
      <c r="BC65" s="49" t="s">
        <v>812</v>
      </c>
      <c r="BD65" s="49" t="s">
        <v>812</v>
      </c>
      <c r="BE65" s="49" t="s">
        <v>337</v>
      </c>
      <c r="BF65" s="49" t="s">
        <v>337</v>
      </c>
      <c r="BG65" s="49"/>
      <c r="BH65" s="49"/>
      <c r="BI65" s="109" t="s">
        <v>462</v>
      </c>
      <c r="BJ65" s="109" t="s">
        <v>462</v>
      </c>
      <c r="BK65" s="109" t="s">
        <v>462</v>
      </c>
      <c r="BL65" s="109" t="s">
        <v>462</v>
      </c>
      <c r="BM65" s="109">
        <v>0</v>
      </c>
      <c r="BN65" s="112">
        <v>0</v>
      </c>
      <c r="BO65" s="109">
        <v>0</v>
      </c>
      <c r="BP65" s="112">
        <v>0</v>
      </c>
      <c r="BQ65" s="109">
        <v>0</v>
      </c>
      <c r="BR65" s="112">
        <v>0</v>
      </c>
      <c r="BS65" s="109">
        <v>0</v>
      </c>
      <c r="BT65" s="112">
        <v>0</v>
      </c>
      <c r="BU65" s="109">
        <v>0</v>
      </c>
      <c r="BV65" s="2"/>
      <c r="BW65" s="3"/>
      <c r="BX65" s="3"/>
      <c r="BY65" s="3"/>
      <c r="BZ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6.7109375" style="0" bestFit="1" customWidth="1"/>
    <col min="34" max="34" width="20.7109375" style="0" bestFit="1" customWidth="1"/>
    <col min="35" max="35" width="16.7109375" style="0" bestFit="1" customWidth="1"/>
    <col min="36" max="36" width="20.7109375" style="0" bestFit="1" customWidth="1"/>
    <col min="37" max="37" width="16.7109375" style="0" bestFit="1" customWidth="1"/>
    <col min="38" max="38" width="20.7109375" style="0" bestFit="1" customWidth="1"/>
    <col min="39" max="39" width="15.8515625" style="0" bestFit="1" customWidth="1"/>
    <col min="40" max="40" width="19.140625" style="0" bestFit="1" customWidth="1"/>
    <col min="41" max="41" width="14.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830</v>
      </c>
      <c r="Z2" s="13" t="s">
        <v>843</v>
      </c>
      <c r="AA2" s="13" t="s">
        <v>857</v>
      </c>
      <c r="AB2" s="13" t="s">
        <v>903</v>
      </c>
      <c r="AC2" s="13" t="s">
        <v>964</v>
      </c>
      <c r="AD2" s="13" t="s">
        <v>989</v>
      </c>
      <c r="AE2" s="13" t="s">
        <v>991</v>
      </c>
      <c r="AF2" s="13" t="s">
        <v>1006</v>
      </c>
      <c r="AG2" s="54" t="s">
        <v>1171</v>
      </c>
      <c r="AH2" s="54" t="s">
        <v>1172</v>
      </c>
      <c r="AI2" s="54" t="s">
        <v>1173</v>
      </c>
      <c r="AJ2" s="54" t="s">
        <v>1174</v>
      </c>
      <c r="AK2" s="54" t="s">
        <v>1175</v>
      </c>
      <c r="AL2" s="54" t="s">
        <v>1176</v>
      </c>
      <c r="AM2" s="54" t="s">
        <v>1177</v>
      </c>
      <c r="AN2" s="54" t="s">
        <v>1178</v>
      </c>
      <c r="AO2" s="54" t="s">
        <v>1181</v>
      </c>
    </row>
    <row r="3" spans="1:41" ht="15">
      <c r="A3" s="66" t="s">
        <v>788</v>
      </c>
      <c r="B3" s="67" t="s">
        <v>796</v>
      </c>
      <c r="C3" s="67" t="s">
        <v>56</v>
      </c>
      <c r="D3" s="14"/>
      <c r="E3" s="14"/>
      <c r="F3" s="15" t="s">
        <v>1219</v>
      </c>
      <c r="G3" s="64"/>
      <c r="H3" s="64"/>
      <c r="I3" s="79">
        <v>3</v>
      </c>
      <c r="J3" s="51"/>
      <c r="K3" s="49">
        <v>18</v>
      </c>
      <c r="L3" s="49">
        <v>24</v>
      </c>
      <c r="M3" s="49">
        <v>0</v>
      </c>
      <c r="N3" s="49">
        <v>24</v>
      </c>
      <c r="O3" s="49">
        <v>0</v>
      </c>
      <c r="P3" s="50">
        <v>0.043478260869565216</v>
      </c>
      <c r="Q3" s="50">
        <v>0.08333333333333333</v>
      </c>
      <c r="R3" s="49">
        <v>1</v>
      </c>
      <c r="S3" s="49">
        <v>0</v>
      </c>
      <c r="T3" s="49">
        <v>18</v>
      </c>
      <c r="U3" s="49">
        <v>24</v>
      </c>
      <c r="V3" s="49">
        <v>2</v>
      </c>
      <c r="W3" s="50">
        <v>1.746914</v>
      </c>
      <c r="X3" s="50">
        <v>0.0784313725490196</v>
      </c>
      <c r="Y3" s="80" t="s">
        <v>831</v>
      </c>
      <c r="Z3" s="80" t="s">
        <v>337</v>
      </c>
      <c r="AA3" s="80" t="s">
        <v>339</v>
      </c>
      <c r="AB3" s="89" t="s">
        <v>904</v>
      </c>
      <c r="AC3" s="89" t="s">
        <v>965</v>
      </c>
      <c r="AD3" s="89"/>
      <c r="AE3" s="89" t="s">
        <v>992</v>
      </c>
      <c r="AF3" s="89" t="s">
        <v>1007</v>
      </c>
      <c r="AG3" s="109">
        <v>23</v>
      </c>
      <c r="AH3" s="112">
        <v>3.4328358208955225</v>
      </c>
      <c r="AI3" s="109">
        <v>17</v>
      </c>
      <c r="AJ3" s="112">
        <v>2.537313432835821</v>
      </c>
      <c r="AK3" s="109">
        <v>0</v>
      </c>
      <c r="AL3" s="112">
        <v>0</v>
      </c>
      <c r="AM3" s="109">
        <v>630</v>
      </c>
      <c r="AN3" s="112">
        <v>94.02985074626865</v>
      </c>
      <c r="AO3" s="109">
        <v>670</v>
      </c>
    </row>
    <row r="4" spans="1:41" ht="15">
      <c r="A4" s="66" t="s">
        <v>789</v>
      </c>
      <c r="B4" s="67" t="s">
        <v>797</v>
      </c>
      <c r="C4" s="67" t="s">
        <v>56</v>
      </c>
      <c r="D4" s="14"/>
      <c r="E4" s="14"/>
      <c r="F4" s="15" t="s">
        <v>1220</v>
      </c>
      <c r="G4" s="64"/>
      <c r="H4" s="64"/>
      <c r="I4" s="79">
        <v>4</v>
      </c>
      <c r="J4" s="79"/>
      <c r="K4" s="49">
        <v>16</v>
      </c>
      <c r="L4" s="49">
        <v>22</v>
      </c>
      <c r="M4" s="49">
        <v>0</v>
      </c>
      <c r="N4" s="49">
        <v>22</v>
      </c>
      <c r="O4" s="49">
        <v>0</v>
      </c>
      <c r="P4" s="50">
        <v>0</v>
      </c>
      <c r="Q4" s="50">
        <v>0</v>
      </c>
      <c r="R4" s="49">
        <v>1</v>
      </c>
      <c r="S4" s="49">
        <v>0</v>
      </c>
      <c r="T4" s="49">
        <v>16</v>
      </c>
      <c r="U4" s="49">
        <v>22</v>
      </c>
      <c r="V4" s="49">
        <v>2</v>
      </c>
      <c r="W4" s="50">
        <v>1.703125</v>
      </c>
      <c r="X4" s="50">
        <v>0.09166666666666666</v>
      </c>
      <c r="Y4" s="80" t="s">
        <v>832</v>
      </c>
      <c r="Z4" s="80" t="s">
        <v>337</v>
      </c>
      <c r="AA4" s="80" t="s">
        <v>340</v>
      </c>
      <c r="AB4" s="89" t="s">
        <v>905</v>
      </c>
      <c r="AC4" s="89" t="s">
        <v>966</v>
      </c>
      <c r="AD4" s="89"/>
      <c r="AE4" s="89" t="s">
        <v>992</v>
      </c>
      <c r="AF4" s="89" t="s">
        <v>1008</v>
      </c>
      <c r="AG4" s="109">
        <v>33</v>
      </c>
      <c r="AH4" s="112">
        <v>5.84070796460177</v>
      </c>
      <c r="AI4" s="109">
        <v>7</v>
      </c>
      <c r="AJ4" s="112">
        <v>1.238938053097345</v>
      </c>
      <c r="AK4" s="109">
        <v>0</v>
      </c>
      <c r="AL4" s="112">
        <v>0</v>
      </c>
      <c r="AM4" s="109">
        <v>525</v>
      </c>
      <c r="AN4" s="112">
        <v>92.92035398230088</v>
      </c>
      <c r="AO4" s="109">
        <v>565</v>
      </c>
    </row>
    <row r="5" spans="1:41" ht="15">
      <c r="A5" s="66" t="s">
        <v>790</v>
      </c>
      <c r="B5" s="67" t="s">
        <v>798</v>
      </c>
      <c r="C5" s="67" t="s">
        <v>56</v>
      </c>
      <c r="D5" s="14"/>
      <c r="E5" s="14"/>
      <c r="F5" s="15" t="s">
        <v>790</v>
      </c>
      <c r="G5" s="64"/>
      <c r="H5" s="64"/>
      <c r="I5" s="79">
        <v>5</v>
      </c>
      <c r="J5" s="79"/>
      <c r="K5" s="49">
        <v>7</v>
      </c>
      <c r="L5" s="49">
        <v>6</v>
      </c>
      <c r="M5" s="49">
        <v>0</v>
      </c>
      <c r="N5" s="49">
        <v>6</v>
      </c>
      <c r="O5" s="49">
        <v>0</v>
      </c>
      <c r="P5" s="50">
        <v>0</v>
      </c>
      <c r="Q5" s="50">
        <v>0</v>
      </c>
      <c r="R5" s="49">
        <v>1</v>
      </c>
      <c r="S5" s="49">
        <v>0</v>
      </c>
      <c r="T5" s="49">
        <v>7</v>
      </c>
      <c r="U5" s="49">
        <v>6</v>
      </c>
      <c r="V5" s="49">
        <v>2</v>
      </c>
      <c r="W5" s="50">
        <v>1.469388</v>
      </c>
      <c r="X5" s="50">
        <v>0.14285714285714285</v>
      </c>
      <c r="Y5" s="80" t="s">
        <v>809</v>
      </c>
      <c r="Z5" s="80" t="s">
        <v>337</v>
      </c>
      <c r="AA5" s="80"/>
      <c r="AB5" s="89" t="s">
        <v>462</v>
      </c>
      <c r="AC5" s="89" t="s">
        <v>462</v>
      </c>
      <c r="AD5" s="89" t="s">
        <v>313</v>
      </c>
      <c r="AE5" s="89" t="s">
        <v>993</v>
      </c>
      <c r="AF5" s="89" t="s">
        <v>1009</v>
      </c>
      <c r="AG5" s="109">
        <v>1</v>
      </c>
      <c r="AH5" s="112">
        <v>2.127659574468085</v>
      </c>
      <c r="AI5" s="109">
        <v>3</v>
      </c>
      <c r="AJ5" s="112">
        <v>6.382978723404255</v>
      </c>
      <c r="AK5" s="109">
        <v>0</v>
      </c>
      <c r="AL5" s="112">
        <v>0</v>
      </c>
      <c r="AM5" s="109">
        <v>43</v>
      </c>
      <c r="AN5" s="112">
        <v>91.48936170212765</v>
      </c>
      <c r="AO5" s="109">
        <v>47</v>
      </c>
    </row>
    <row r="6" spans="1:41" ht="15">
      <c r="A6" s="66" t="s">
        <v>791</v>
      </c>
      <c r="B6" s="67" t="s">
        <v>799</v>
      </c>
      <c r="C6" s="67" t="s">
        <v>56</v>
      </c>
      <c r="D6" s="14"/>
      <c r="E6" s="14"/>
      <c r="F6" s="15" t="s">
        <v>1221</v>
      </c>
      <c r="G6" s="64"/>
      <c r="H6" s="64"/>
      <c r="I6" s="79">
        <v>6</v>
      </c>
      <c r="J6" s="79"/>
      <c r="K6" s="49">
        <v>6</v>
      </c>
      <c r="L6" s="49">
        <v>6</v>
      </c>
      <c r="M6" s="49">
        <v>0</v>
      </c>
      <c r="N6" s="49">
        <v>6</v>
      </c>
      <c r="O6" s="49">
        <v>6</v>
      </c>
      <c r="P6" s="50" t="s">
        <v>807</v>
      </c>
      <c r="Q6" s="50" t="s">
        <v>807</v>
      </c>
      <c r="R6" s="49">
        <v>6</v>
      </c>
      <c r="S6" s="49">
        <v>6</v>
      </c>
      <c r="T6" s="49">
        <v>1</v>
      </c>
      <c r="U6" s="49">
        <v>1</v>
      </c>
      <c r="V6" s="49">
        <v>0</v>
      </c>
      <c r="W6" s="50">
        <v>0</v>
      </c>
      <c r="X6" s="50">
        <v>0</v>
      </c>
      <c r="Y6" s="80" t="s">
        <v>833</v>
      </c>
      <c r="Z6" s="80" t="s">
        <v>337</v>
      </c>
      <c r="AA6" s="80"/>
      <c r="AB6" s="89" t="s">
        <v>906</v>
      </c>
      <c r="AC6" s="89" t="s">
        <v>967</v>
      </c>
      <c r="AD6" s="89"/>
      <c r="AE6" s="89"/>
      <c r="AF6" s="89" t="s">
        <v>1010</v>
      </c>
      <c r="AG6" s="109">
        <v>2</v>
      </c>
      <c r="AH6" s="112">
        <v>3.508771929824561</v>
      </c>
      <c r="AI6" s="109">
        <v>4</v>
      </c>
      <c r="AJ6" s="112">
        <v>7.017543859649122</v>
      </c>
      <c r="AK6" s="109">
        <v>0</v>
      </c>
      <c r="AL6" s="112">
        <v>0</v>
      </c>
      <c r="AM6" s="109">
        <v>51</v>
      </c>
      <c r="AN6" s="112">
        <v>89.47368421052632</v>
      </c>
      <c r="AO6" s="109">
        <v>57</v>
      </c>
    </row>
    <row r="7" spans="1:41" ht="15">
      <c r="A7" s="66" t="s">
        <v>792</v>
      </c>
      <c r="B7" s="67" t="s">
        <v>800</v>
      </c>
      <c r="C7" s="67" t="s">
        <v>56</v>
      </c>
      <c r="D7" s="14"/>
      <c r="E7" s="14"/>
      <c r="F7" s="15" t="s">
        <v>1222</v>
      </c>
      <c r="G7" s="64"/>
      <c r="H7" s="64"/>
      <c r="I7" s="79">
        <v>7</v>
      </c>
      <c r="J7" s="79"/>
      <c r="K7" s="49">
        <v>5</v>
      </c>
      <c r="L7" s="49">
        <v>13</v>
      </c>
      <c r="M7" s="49">
        <v>0</v>
      </c>
      <c r="N7" s="49">
        <v>13</v>
      </c>
      <c r="O7" s="49">
        <v>0</v>
      </c>
      <c r="P7" s="50">
        <v>0.3</v>
      </c>
      <c r="Q7" s="50">
        <v>0.46153846153846156</v>
      </c>
      <c r="R7" s="49">
        <v>1</v>
      </c>
      <c r="S7" s="49">
        <v>0</v>
      </c>
      <c r="T7" s="49">
        <v>5</v>
      </c>
      <c r="U7" s="49">
        <v>13</v>
      </c>
      <c r="V7" s="49">
        <v>1</v>
      </c>
      <c r="W7" s="50">
        <v>0.8</v>
      </c>
      <c r="X7" s="50">
        <v>0.65</v>
      </c>
      <c r="Y7" s="80" t="s">
        <v>336</v>
      </c>
      <c r="Z7" s="80" t="s">
        <v>337</v>
      </c>
      <c r="AA7" s="80"/>
      <c r="AB7" s="89" t="s">
        <v>907</v>
      </c>
      <c r="AC7" s="89" t="s">
        <v>968</v>
      </c>
      <c r="AD7" s="89"/>
      <c r="AE7" s="89" t="s">
        <v>994</v>
      </c>
      <c r="AF7" s="89" t="s">
        <v>1011</v>
      </c>
      <c r="AG7" s="109">
        <v>0</v>
      </c>
      <c r="AH7" s="112">
        <v>0</v>
      </c>
      <c r="AI7" s="109">
        <v>0</v>
      </c>
      <c r="AJ7" s="112">
        <v>0</v>
      </c>
      <c r="AK7" s="109">
        <v>0</v>
      </c>
      <c r="AL7" s="112">
        <v>0</v>
      </c>
      <c r="AM7" s="109">
        <v>120</v>
      </c>
      <c r="AN7" s="112">
        <v>100</v>
      </c>
      <c r="AO7" s="109">
        <v>120</v>
      </c>
    </row>
    <row r="8" spans="1:41" ht="15">
      <c r="A8" s="66" t="s">
        <v>793</v>
      </c>
      <c r="B8" s="67" t="s">
        <v>801</v>
      </c>
      <c r="C8" s="67" t="s">
        <v>56</v>
      </c>
      <c r="D8" s="14"/>
      <c r="E8" s="14"/>
      <c r="F8" s="15" t="s">
        <v>1223</v>
      </c>
      <c r="G8" s="64"/>
      <c r="H8" s="64"/>
      <c r="I8" s="79">
        <v>8</v>
      </c>
      <c r="J8" s="79"/>
      <c r="K8" s="49">
        <v>4</v>
      </c>
      <c r="L8" s="49">
        <v>5</v>
      </c>
      <c r="M8" s="49">
        <v>2</v>
      </c>
      <c r="N8" s="49">
        <v>7</v>
      </c>
      <c r="O8" s="49">
        <v>0</v>
      </c>
      <c r="P8" s="50">
        <v>0.2</v>
      </c>
      <c r="Q8" s="50">
        <v>0.3333333333333333</v>
      </c>
      <c r="R8" s="49">
        <v>1</v>
      </c>
      <c r="S8" s="49">
        <v>0</v>
      </c>
      <c r="T8" s="49">
        <v>4</v>
      </c>
      <c r="U8" s="49">
        <v>7</v>
      </c>
      <c r="V8" s="49">
        <v>2</v>
      </c>
      <c r="W8" s="50">
        <v>0.875</v>
      </c>
      <c r="X8" s="50">
        <v>0.5</v>
      </c>
      <c r="Y8" s="80" t="s">
        <v>809</v>
      </c>
      <c r="Z8" s="80" t="s">
        <v>337</v>
      </c>
      <c r="AA8" s="80"/>
      <c r="AB8" s="89" t="s">
        <v>908</v>
      </c>
      <c r="AC8" s="89" t="s">
        <v>969</v>
      </c>
      <c r="AD8" s="89" t="s">
        <v>990</v>
      </c>
      <c r="AE8" s="89" t="s">
        <v>995</v>
      </c>
      <c r="AF8" s="89" t="s">
        <v>1012</v>
      </c>
      <c r="AG8" s="109">
        <v>0</v>
      </c>
      <c r="AH8" s="112">
        <v>0</v>
      </c>
      <c r="AI8" s="109">
        <v>0</v>
      </c>
      <c r="AJ8" s="112">
        <v>0</v>
      </c>
      <c r="AK8" s="109">
        <v>0</v>
      </c>
      <c r="AL8" s="112">
        <v>0</v>
      </c>
      <c r="AM8" s="109">
        <v>66</v>
      </c>
      <c r="AN8" s="112">
        <v>100</v>
      </c>
      <c r="AO8" s="109">
        <v>66</v>
      </c>
    </row>
    <row r="9" spans="1:41" ht="15">
      <c r="A9" s="66" t="s">
        <v>794</v>
      </c>
      <c r="B9" s="67" t="s">
        <v>802</v>
      </c>
      <c r="C9" s="67" t="s">
        <v>56</v>
      </c>
      <c r="D9" s="14"/>
      <c r="E9" s="14"/>
      <c r="F9" s="15" t="s">
        <v>1224</v>
      </c>
      <c r="G9" s="64"/>
      <c r="H9" s="64"/>
      <c r="I9" s="79">
        <v>9</v>
      </c>
      <c r="J9" s="79"/>
      <c r="K9" s="49">
        <v>4</v>
      </c>
      <c r="L9" s="49">
        <v>3</v>
      </c>
      <c r="M9" s="49">
        <v>0</v>
      </c>
      <c r="N9" s="49">
        <v>3</v>
      </c>
      <c r="O9" s="49">
        <v>0</v>
      </c>
      <c r="P9" s="50">
        <v>0</v>
      </c>
      <c r="Q9" s="50">
        <v>0</v>
      </c>
      <c r="R9" s="49">
        <v>1</v>
      </c>
      <c r="S9" s="49">
        <v>0</v>
      </c>
      <c r="T9" s="49">
        <v>4</v>
      </c>
      <c r="U9" s="49">
        <v>3</v>
      </c>
      <c r="V9" s="49">
        <v>2</v>
      </c>
      <c r="W9" s="50">
        <v>1.125</v>
      </c>
      <c r="X9" s="50">
        <v>0.25</v>
      </c>
      <c r="Y9" s="80" t="s">
        <v>809</v>
      </c>
      <c r="Z9" s="80" t="s">
        <v>337</v>
      </c>
      <c r="AA9" s="80"/>
      <c r="AB9" s="89" t="s">
        <v>289</v>
      </c>
      <c r="AC9" s="89" t="s">
        <v>462</v>
      </c>
      <c r="AD9" s="89" t="s">
        <v>305</v>
      </c>
      <c r="AE9" s="89" t="s">
        <v>996</v>
      </c>
      <c r="AF9" s="89" t="s">
        <v>1013</v>
      </c>
      <c r="AG9" s="109">
        <v>1</v>
      </c>
      <c r="AH9" s="112">
        <v>5</v>
      </c>
      <c r="AI9" s="109">
        <v>0</v>
      </c>
      <c r="AJ9" s="112">
        <v>0</v>
      </c>
      <c r="AK9" s="109">
        <v>0</v>
      </c>
      <c r="AL9" s="112">
        <v>0</v>
      </c>
      <c r="AM9" s="109">
        <v>19</v>
      </c>
      <c r="AN9" s="112">
        <v>95</v>
      </c>
      <c r="AO9" s="109">
        <v>20</v>
      </c>
    </row>
    <row r="10" spans="1:41" ht="14.25" customHeight="1">
      <c r="A10" s="66" t="s">
        <v>795</v>
      </c>
      <c r="B10" s="67" t="s">
        <v>803</v>
      </c>
      <c r="C10" s="67" t="s">
        <v>56</v>
      </c>
      <c r="D10" s="14"/>
      <c r="E10" s="14"/>
      <c r="F10" s="15" t="s">
        <v>1225</v>
      </c>
      <c r="G10" s="64"/>
      <c r="H10" s="64"/>
      <c r="I10" s="79">
        <v>10</v>
      </c>
      <c r="J10" s="79"/>
      <c r="K10" s="49">
        <v>3</v>
      </c>
      <c r="L10" s="49">
        <v>0</v>
      </c>
      <c r="M10" s="49">
        <v>7</v>
      </c>
      <c r="N10" s="49">
        <v>7</v>
      </c>
      <c r="O10" s="49">
        <v>3</v>
      </c>
      <c r="P10" s="50">
        <v>0</v>
      </c>
      <c r="Q10" s="50">
        <v>0</v>
      </c>
      <c r="R10" s="49">
        <v>1</v>
      </c>
      <c r="S10" s="49">
        <v>0</v>
      </c>
      <c r="T10" s="49">
        <v>3</v>
      </c>
      <c r="U10" s="49">
        <v>7</v>
      </c>
      <c r="V10" s="49">
        <v>2</v>
      </c>
      <c r="W10" s="50">
        <v>0.888889</v>
      </c>
      <c r="X10" s="50">
        <v>0.3333333333333333</v>
      </c>
      <c r="Y10" s="80" t="s">
        <v>809</v>
      </c>
      <c r="Z10" s="80" t="s">
        <v>337</v>
      </c>
      <c r="AA10" s="80" t="s">
        <v>341</v>
      </c>
      <c r="AB10" s="89" t="s">
        <v>909</v>
      </c>
      <c r="AC10" s="89" t="s">
        <v>970</v>
      </c>
      <c r="AD10" s="89"/>
      <c r="AE10" s="89"/>
      <c r="AF10" s="89" t="s">
        <v>1014</v>
      </c>
      <c r="AG10" s="109">
        <v>0</v>
      </c>
      <c r="AH10" s="112">
        <v>0</v>
      </c>
      <c r="AI10" s="109">
        <v>7</v>
      </c>
      <c r="AJ10" s="112">
        <v>10</v>
      </c>
      <c r="AK10" s="109">
        <v>0</v>
      </c>
      <c r="AL10" s="112">
        <v>0</v>
      </c>
      <c r="AM10" s="109">
        <v>63</v>
      </c>
      <c r="AN10" s="112">
        <v>90</v>
      </c>
      <c r="AO10" s="109">
        <v>70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788</v>
      </c>
      <c r="B2" s="89" t="s">
        <v>301</v>
      </c>
      <c r="C2" s="80">
        <f>VLOOKUP(GroupVertices[[#This Row],[Vertex]],Vertices[],MATCH("ID",Vertices[[#Headers],[Vertex]:[Vertex Content Word Count]],0),FALSE)</f>
        <v>64</v>
      </c>
    </row>
    <row r="3" spans="1:3" ht="15">
      <c r="A3" s="81" t="s">
        <v>788</v>
      </c>
      <c r="B3" s="89" t="s">
        <v>289</v>
      </c>
      <c r="C3" s="80">
        <f>VLOOKUP(GroupVertices[[#This Row],[Vertex]],Vertices[],MATCH("ID",Vertices[[#Headers],[Vertex]:[Vertex Content Word Count]],0),FALSE)</f>
        <v>5</v>
      </c>
    </row>
    <row r="4" spans="1:3" ht="15">
      <c r="A4" s="81" t="s">
        <v>788</v>
      </c>
      <c r="B4" s="89" t="s">
        <v>286</v>
      </c>
      <c r="C4" s="80">
        <f>VLOOKUP(GroupVertices[[#This Row],[Vertex]],Vertices[],MATCH("ID",Vertices[[#Headers],[Vertex]:[Vertex Content Word Count]],0),FALSE)</f>
        <v>57</v>
      </c>
    </row>
    <row r="5" spans="1:3" ht="15">
      <c r="A5" s="81" t="s">
        <v>788</v>
      </c>
      <c r="B5" s="89" t="s">
        <v>285</v>
      </c>
      <c r="C5" s="80">
        <f>VLOOKUP(GroupVertices[[#This Row],[Vertex]],Vertices[],MATCH("ID",Vertices[[#Headers],[Vertex]:[Vertex Content Word Count]],0),FALSE)</f>
        <v>56</v>
      </c>
    </row>
    <row r="6" spans="1:3" ht="15">
      <c r="A6" s="81" t="s">
        <v>788</v>
      </c>
      <c r="B6" s="89" t="s">
        <v>279</v>
      </c>
      <c r="C6" s="80">
        <f>VLOOKUP(GroupVertices[[#This Row],[Vertex]],Vertices[],MATCH("ID",Vertices[[#Headers],[Vertex]:[Vertex Content Word Count]],0),FALSE)</f>
        <v>44</v>
      </c>
    </row>
    <row r="7" spans="1:3" ht="15">
      <c r="A7" s="81" t="s">
        <v>788</v>
      </c>
      <c r="B7" s="89" t="s">
        <v>278</v>
      </c>
      <c r="C7" s="80">
        <f>VLOOKUP(GroupVertices[[#This Row],[Vertex]],Vertices[],MATCH("ID",Vertices[[#Headers],[Vertex]:[Vertex Content Word Count]],0),FALSE)</f>
        <v>43</v>
      </c>
    </row>
    <row r="8" spans="1:3" ht="15">
      <c r="A8" s="81" t="s">
        <v>788</v>
      </c>
      <c r="B8" s="89" t="s">
        <v>288</v>
      </c>
      <c r="C8" s="80">
        <f>VLOOKUP(GroupVertices[[#This Row],[Vertex]],Vertices[],MATCH("ID",Vertices[[#Headers],[Vertex]:[Vertex Content Word Count]],0),FALSE)</f>
        <v>9</v>
      </c>
    </row>
    <row r="9" spans="1:3" ht="15">
      <c r="A9" s="81" t="s">
        <v>788</v>
      </c>
      <c r="B9" s="89" t="s">
        <v>277</v>
      </c>
      <c r="C9" s="80">
        <f>VLOOKUP(GroupVertices[[#This Row],[Vertex]],Vertices[],MATCH("ID",Vertices[[#Headers],[Vertex]:[Vertex Content Word Count]],0),FALSE)</f>
        <v>42</v>
      </c>
    </row>
    <row r="10" spans="1:3" ht="15">
      <c r="A10" s="81" t="s">
        <v>788</v>
      </c>
      <c r="B10" s="89" t="s">
        <v>275</v>
      </c>
      <c r="C10" s="80">
        <f>VLOOKUP(GroupVertices[[#This Row],[Vertex]],Vertices[],MATCH("ID",Vertices[[#Headers],[Vertex]:[Vertex Content Word Count]],0),FALSE)</f>
        <v>40</v>
      </c>
    </row>
    <row r="11" spans="1:3" ht="15">
      <c r="A11" s="81" t="s">
        <v>788</v>
      </c>
      <c r="B11" s="89" t="s">
        <v>274</v>
      </c>
      <c r="C11" s="80">
        <f>VLOOKUP(GroupVertices[[#This Row],[Vertex]],Vertices[],MATCH("ID",Vertices[[#Headers],[Vertex]:[Vertex Content Word Count]],0),FALSE)</f>
        <v>39</v>
      </c>
    </row>
    <row r="12" spans="1:3" ht="15">
      <c r="A12" s="81" t="s">
        <v>788</v>
      </c>
      <c r="B12" s="89" t="s">
        <v>269</v>
      </c>
      <c r="C12" s="80">
        <f>VLOOKUP(GroupVertices[[#This Row],[Vertex]],Vertices[],MATCH("ID",Vertices[[#Headers],[Vertex]:[Vertex Content Word Count]],0),FALSE)</f>
        <v>32</v>
      </c>
    </row>
    <row r="13" spans="1:3" ht="15">
      <c r="A13" s="81" t="s">
        <v>788</v>
      </c>
      <c r="B13" s="89" t="s">
        <v>267</v>
      </c>
      <c r="C13" s="80">
        <f>VLOOKUP(GroupVertices[[#This Row],[Vertex]],Vertices[],MATCH("ID",Vertices[[#Headers],[Vertex]:[Vertex Content Word Count]],0),FALSE)</f>
        <v>30</v>
      </c>
    </row>
    <row r="14" spans="1:3" ht="15">
      <c r="A14" s="81" t="s">
        <v>788</v>
      </c>
      <c r="B14" s="89" t="s">
        <v>264</v>
      </c>
      <c r="C14" s="80">
        <f>VLOOKUP(GroupVertices[[#This Row],[Vertex]],Vertices[],MATCH("ID",Vertices[[#Headers],[Vertex]:[Vertex Content Word Count]],0),FALSE)</f>
        <v>27</v>
      </c>
    </row>
    <row r="15" spans="1:3" ht="15">
      <c r="A15" s="81" t="s">
        <v>788</v>
      </c>
      <c r="B15" s="89" t="s">
        <v>261</v>
      </c>
      <c r="C15" s="80">
        <f>VLOOKUP(GroupVertices[[#This Row],[Vertex]],Vertices[],MATCH("ID",Vertices[[#Headers],[Vertex]:[Vertex Content Word Count]],0),FALSE)</f>
        <v>20</v>
      </c>
    </row>
    <row r="16" spans="1:3" ht="15">
      <c r="A16" s="81" t="s">
        <v>788</v>
      </c>
      <c r="B16" s="89" t="s">
        <v>259</v>
      </c>
      <c r="C16" s="80">
        <f>VLOOKUP(GroupVertices[[#This Row],[Vertex]],Vertices[],MATCH("ID",Vertices[[#Headers],[Vertex]:[Vertex Content Word Count]],0),FALSE)</f>
        <v>18</v>
      </c>
    </row>
    <row r="17" spans="1:3" ht="15">
      <c r="A17" s="81" t="s">
        <v>788</v>
      </c>
      <c r="B17" s="89" t="s">
        <v>255</v>
      </c>
      <c r="C17" s="80">
        <f>VLOOKUP(GroupVertices[[#This Row],[Vertex]],Vertices[],MATCH("ID",Vertices[[#Headers],[Vertex]:[Vertex Content Word Count]],0),FALSE)</f>
        <v>11</v>
      </c>
    </row>
    <row r="18" spans="1:3" ht="15">
      <c r="A18" s="81" t="s">
        <v>788</v>
      </c>
      <c r="B18" s="89" t="s">
        <v>254</v>
      </c>
      <c r="C18" s="80">
        <f>VLOOKUP(GroupVertices[[#This Row],[Vertex]],Vertices[],MATCH("ID",Vertices[[#Headers],[Vertex]:[Vertex Content Word Count]],0),FALSE)</f>
        <v>10</v>
      </c>
    </row>
    <row r="19" spans="1:3" ht="15">
      <c r="A19" s="81" t="s">
        <v>788</v>
      </c>
      <c r="B19" s="89" t="s">
        <v>253</v>
      </c>
      <c r="C19" s="80">
        <f>VLOOKUP(GroupVertices[[#This Row],[Vertex]],Vertices[],MATCH("ID",Vertices[[#Headers],[Vertex]:[Vertex Content Word Count]],0),FALSE)</f>
        <v>8</v>
      </c>
    </row>
    <row r="20" spans="1:3" ht="15">
      <c r="A20" s="81" t="s">
        <v>789</v>
      </c>
      <c r="B20" s="89" t="s">
        <v>300</v>
      </c>
      <c r="C20" s="80">
        <f>VLOOKUP(GroupVertices[[#This Row],[Vertex]],Vertices[],MATCH("ID",Vertices[[#Headers],[Vertex]:[Vertex Content Word Count]],0),FALSE)</f>
        <v>4</v>
      </c>
    </row>
    <row r="21" spans="1:3" ht="15">
      <c r="A21" s="81" t="s">
        <v>789</v>
      </c>
      <c r="B21" s="89" t="s">
        <v>294</v>
      </c>
      <c r="C21" s="80">
        <f>VLOOKUP(GroupVertices[[#This Row],[Vertex]],Vertices[],MATCH("ID",Vertices[[#Headers],[Vertex]:[Vertex Content Word Count]],0),FALSE)</f>
        <v>62</v>
      </c>
    </row>
    <row r="22" spans="1:3" ht="15">
      <c r="A22" s="81" t="s">
        <v>789</v>
      </c>
      <c r="B22" s="89" t="s">
        <v>293</v>
      </c>
      <c r="C22" s="80">
        <f>VLOOKUP(GroupVertices[[#This Row],[Vertex]],Vertices[],MATCH("ID",Vertices[[#Headers],[Vertex]:[Vertex Content Word Count]],0),FALSE)</f>
        <v>61</v>
      </c>
    </row>
    <row r="23" spans="1:3" ht="15">
      <c r="A23" s="81" t="s">
        <v>789</v>
      </c>
      <c r="B23" s="89" t="s">
        <v>282</v>
      </c>
      <c r="C23" s="80">
        <f>VLOOKUP(GroupVertices[[#This Row],[Vertex]],Vertices[],MATCH("ID",Vertices[[#Headers],[Vertex]:[Vertex Content Word Count]],0),FALSE)</f>
        <v>47</v>
      </c>
    </row>
    <row r="24" spans="1:3" ht="15">
      <c r="A24" s="81" t="s">
        <v>789</v>
      </c>
      <c r="B24" s="89" t="s">
        <v>290</v>
      </c>
      <c r="C24" s="80">
        <f>VLOOKUP(GroupVertices[[#This Row],[Vertex]],Vertices[],MATCH("ID",Vertices[[#Headers],[Vertex]:[Vertex Content Word Count]],0),FALSE)</f>
        <v>6</v>
      </c>
    </row>
    <row r="25" spans="1:3" ht="15">
      <c r="A25" s="81" t="s">
        <v>789</v>
      </c>
      <c r="B25" s="89" t="s">
        <v>281</v>
      </c>
      <c r="C25" s="80">
        <f>VLOOKUP(GroupVertices[[#This Row],[Vertex]],Vertices[],MATCH("ID",Vertices[[#Headers],[Vertex]:[Vertex Content Word Count]],0),FALSE)</f>
        <v>46</v>
      </c>
    </row>
    <row r="26" spans="1:3" ht="15">
      <c r="A26" s="81" t="s">
        <v>789</v>
      </c>
      <c r="B26" s="89" t="s">
        <v>276</v>
      </c>
      <c r="C26" s="80">
        <f>VLOOKUP(GroupVertices[[#This Row],[Vertex]],Vertices[],MATCH("ID",Vertices[[#Headers],[Vertex]:[Vertex Content Word Count]],0),FALSE)</f>
        <v>41</v>
      </c>
    </row>
    <row r="27" spans="1:3" ht="15">
      <c r="A27" s="81" t="s">
        <v>789</v>
      </c>
      <c r="B27" s="89" t="s">
        <v>272</v>
      </c>
      <c r="C27" s="80">
        <f>VLOOKUP(GroupVertices[[#This Row],[Vertex]],Vertices[],MATCH("ID",Vertices[[#Headers],[Vertex]:[Vertex Content Word Count]],0),FALSE)</f>
        <v>35</v>
      </c>
    </row>
    <row r="28" spans="1:3" ht="15">
      <c r="A28" s="81" t="s">
        <v>789</v>
      </c>
      <c r="B28" s="89" t="s">
        <v>270</v>
      </c>
      <c r="C28" s="80">
        <f>VLOOKUP(GroupVertices[[#This Row],[Vertex]],Vertices[],MATCH("ID",Vertices[[#Headers],[Vertex]:[Vertex Content Word Count]],0),FALSE)</f>
        <v>33</v>
      </c>
    </row>
    <row r="29" spans="1:3" ht="15">
      <c r="A29" s="81" t="s">
        <v>789</v>
      </c>
      <c r="B29" s="89" t="s">
        <v>268</v>
      </c>
      <c r="C29" s="80">
        <f>VLOOKUP(GroupVertices[[#This Row],[Vertex]],Vertices[],MATCH("ID",Vertices[[#Headers],[Vertex]:[Vertex Content Word Count]],0),FALSE)</f>
        <v>31</v>
      </c>
    </row>
    <row r="30" spans="1:3" ht="15">
      <c r="A30" s="81" t="s">
        <v>789</v>
      </c>
      <c r="B30" s="89" t="s">
        <v>265</v>
      </c>
      <c r="C30" s="80">
        <f>VLOOKUP(GroupVertices[[#This Row],[Vertex]],Vertices[],MATCH("ID",Vertices[[#Headers],[Vertex]:[Vertex Content Word Count]],0),FALSE)</f>
        <v>28</v>
      </c>
    </row>
    <row r="31" spans="1:3" ht="15">
      <c r="A31" s="81" t="s">
        <v>789</v>
      </c>
      <c r="B31" s="89" t="s">
        <v>263</v>
      </c>
      <c r="C31" s="80">
        <f>VLOOKUP(GroupVertices[[#This Row],[Vertex]],Vertices[],MATCH("ID",Vertices[[#Headers],[Vertex]:[Vertex Content Word Count]],0),FALSE)</f>
        <v>26</v>
      </c>
    </row>
    <row r="32" spans="1:3" ht="15">
      <c r="A32" s="81" t="s">
        <v>789</v>
      </c>
      <c r="B32" s="89" t="s">
        <v>260</v>
      </c>
      <c r="C32" s="80">
        <f>VLOOKUP(GroupVertices[[#This Row],[Vertex]],Vertices[],MATCH("ID",Vertices[[#Headers],[Vertex]:[Vertex Content Word Count]],0),FALSE)</f>
        <v>19</v>
      </c>
    </row>
    <row r="33" spans="1:3" ht="15">
      <c r="A33" s="81" t="s">
        <v>789</v>
      </c>
      <c r="B33" s="89" t="s">
        <v>258</v>
      </c>
      <c r="C33" s="80">
        <f>VLOOKUP(GroupVertices[[#This Row],[Vertex]],Vertices[],MATCH("ID",Vertices[[#Headers],[Vertex]:[Vertex Content Word Count]],0),FALSE)</f>
        <v>17</v>
      </c>
    </row>
    <row r="34" spans="1:3" ht="15">
      <c r="A34" s="81" t="s">
        <v>789</v>
      </c>
      <c r="B34" s="89" t="s">
        <v>252</v>
      </c>
      <c r="C34" s="80">
        <f>VLOOKUP(GroupVertices[[#This Row],[Vertex]],Vertices[],MATCH("ID",Vertices[[#Headers],[Vertex]:[Vertex Content Word Count]],0),FALSE)</f>
        <v>7</v>
      </c>
    </row>
    <row r="35" spans="1:3" ht="15">
      <c r="A35" s="81" t="s">
        <v>789</v>
      </c>
      <c r="B35" s="89" t="s">
        <v>251</v>
      </c>
      <c r="C35" s="80">
        <f>VLOOKUP(GroupVertices[[#This Row],[Vertex]],Vertices[],MATCH("ID",Vertices[[#Headers],[Vertex]:[Vertex Content Word Count]],0),FALSE)</f>
        <v>3</v>
      </c>
    </row>
    <row r="36" spans="1:3" ht="15">
      <c r="A36" s="81" t="s">
        <v>790</v>
      </c>
      <c r="B36" s="89" t="s">
        <v>283</v>
      </c>
      <c r="C36" s="80">
        <f>VLOOKUP(GroupVertices[[#This Row],[Vertex]],Vertices[],MATCH("ID",Vertices[[#Headers],[Vertex]:[Vertex Content Word Count]],0),FALSE)</f>
        <v>48</v>
      </c>
    </row>
    <row r="37" spans="1:3" ht="15">
      <c r="A37" s="81" t="s">
        <v>790</v>
      </c>
      <c r="B37" s="89" t="s">
        <v>313</v>
      </c>
      <c r="C37" s="80">
        <f>VLOOKUP(GroupVertices[[#This Row],[Vertex]],Vertices[],MATCH("ID",Vertices[[#Headers],[Vertex]:[Vertex Content Word Count]],0),FALSE)</f>
        <v>54</v>
      </c>
    </row>
    <row r="38" spans="1:3" ht="15">
      <c r="A38" s="81" t="s">
        <v>790</v>
      </c>
      <c r="B38" s="89" t="s">
        <v>312</v>
      </c>
      <c r="C38" s="80">
        <f>VLOOKUP(GroupVertices[[#This Row],[Vertex]],Vertices[],MATCH("ID",Vertices[[#Headers],[Vertex]:[Vertex Content Word Count]],0),FALSE)</f>
        <v>53</v>
      </c>
    </row>
    <row r="39" spans="1:3" ht="15">
      <c r="A39" s="81" t="s">
        <v>790</v>
      </c>
      <c r="B39" s="89" t="s">
        <v>311</v>
      </c>
      <c r="C39" s="80">
        <f>VLOOKUP(GroupVertices[[#This Row],[Vertex]],Vertices[],MATCH("ID",Vertices[[#Headers],[Vertex]:[Vertex Content Word Count]],0),FALSE)</f>
        <v>52</v>
      </c>
    </row>
    <row r="40" spans="1:3" ht="15">
      <c r="A40" s="81" t="s">
        <v>790</v>
      </c>
      <c r="B40" s="89" t="s">
        <v>310</v>
      </c>
      <c r="C40" s="80">
        <f>VLOOKUP(GroupVertices[[#This Row],[Vertex]],Vertices[],MATCH("ID",Vertices[[#Headers],[Vertex]:[Vertex Content Word Count]],0),FALSE)</f>
        <v>51</v>
      </c>
    </row>
    <row r="41" spans="1:3" ht="15">
      <c r="A41" s="81" t="s">
        <v>790</v>
      </c>
      <c r="B41" s="89" t="s">
        <v>309</v>
      </c>
      <c r="C41" s="80">
        <f>VLOOKUP(GroupVertices[[#This Row],[Vertex]],Vertices[],MATCH("ID",Vertices[[#Headers],[Vertex]:[Vertex Content Word Count]],0),FALSE)</f>
        <v>50</v>
      </c>
    </row>
    <row r="42" spans="1:3" ht="15">
      <c r="A42" s="81" t="s">
        <v>790</v>
      </c>
      <c r="B42" s="89" t="s">
        <v>308</v>
      </c>
      <c r="C42" s="80">
        <f>VLOOKUP(GroupVertices[[#This Row],[Vertex]],Vertices[],MATCH("ID",Vertices[[#Headers],[Vertex]:[Vertex Content Word Count]],0),FALSE)</f>
        <v>49</v>
      </c>
    </row>
    <row r="43" spans="1:3" ht="15">
      <c r="A43" s="81" t="s">
        <v>791</v>
      </c>
      <c r="B43" s="89" t="s">
        <v>256</v>
      </c>
      <c r="C43" s="80">
        <f>VLOOKUP(GroupVertices[[#This Row],[Vertex]],Vertices[],MATCH("ID",Vertices[[#Headers],[Vertex]:[Vertex Content Word Count]],0),FALSE)</f>
        <v>12</v>
      </c>
    </row>
    <row r="44" spans="1:3" ht="15">
      <c r="A44" s="81" t="s">
        <v>791</v>
      </c>
      <c r="B44" s="89" t="s">
        <v>266</v>
      </c>
      <c r="C44" s="80">
        <f>VLOOKUP(GroupVertices[[#This Row],[Vertex]],Vertices[],MATCH("ID",Vertices[[#Headers],[Vertex]:[Vertex Content Word Count]],0),FALSE)</f>
        <v>29</v>
      </c>
    </row>
    <row r="45" spans="1:3" ht="15">
      <c r="A45" s="81" t="s">
        <v>791</v>
      </c>
      <c r="B45" s="89" t="s">
        <v>271</v>
      </c>
      <c r="C45" s="80">
        <f>VLOOKUP(GroupVertices[[#This Row],[Vertex]],Vertices[],MATCH("ID",Vertices[[#Headers],[Vertex]:[Vertex Content Word Count]],0),FALSE)</f>
        <v>34</v>
      </c>
    </row>
    <row r="46" spans="1:3" ht="15">
      <c r="A46" s="81" t="s">
        <v>791</v>
      </c>
      <c r="B46" s="89" t="s">
        <v>280</v>
      </c>
      <c r="C46" s="80">
        <f>VLOOKUP(GroupVertices[[#This Row],[Vertex]],Vertices[],MATCH("ID",Vertices[[#Headers],[Vertex]:[Vertex Content Word Count]],0),FALSE)</f>
        <v>45</v>
      </c>
    </row>
    <row r="47" spans="1:3" ht="15">
      <c r="A47" s="81" t="s">
        <v>791</v>
      </c>
      <c r="B47" s="89" t="s">
        <v>284</v>
      </c>
      <c r="C47" s="80">
        <f>VLOOKUP(GroupVertices[[#This Row],[Vertex]],Vertices[],MATCH("ID",Vertices[[#Headers],[Vertex]:[Vertex Content Word Count]],0),FALSE)</f>
        <v>55</v>
      </c>
    </row>
    <row r="48" spans="1:3" ht="15">
      <c r="A48" s="81" t="s">
        <v>791</v>
      </c>
      <c r="B48" s="89" t="s">
        <v>302</v>
      </c>
      <c r="C48" s="80">
        <f>VLOOKUP(GroupVertices[[#This Row],[Vertex]],Vertices[],MATCH("ID",Vertices[[#Headers],[Vertex]:[Vertex Content Word Count]],0),FALSE)</f>
        <v>65</v>
      </c>
    </row>
    <row r="49" spans="1:3" ht="15">
      <c r="A49" s="81" t="s">
        <v>792</v>
      </c>
      <c r="B49" s="89" t="s">
        <v>297</v>
      </c>
      <c r="C49" s="80">
        <f>VLOOKUP(GroupVertices[[#This Row],[Vertex]],Vertices[],MATCH("ID",Vertices[[#Headers],[Vertex]:[Vertex Content Word Count]],0),FALSE)</f>
        <v>22</v>
      </c>
    </row>
    <row r="50" spans="1:3" ht="15">
      <c r="A50" s="81" t="s">
        <v>792</v>
      </c>
      <c r="B50" s="89" t="s">
        <v>296</v>
      </c>
      <c r="C50" s="80">
        <f>VLOOKUP(GroupVertices[[#This Row],[Vertex]],Vertices[],MATCH("ID",Vertices[[#Headers],[Vertex]:[Vertex Content Word Count]],0),FALSE)</f>
        <v>25</v>
      </c>
    </row>
    <row r="51" spans="1:3" ht="15">
      <c r="A51" s="81" t="s">
        <v>792</v>
      </c>
      <c r="B51" s="89" t="s">
        <v>306</v>
      </c>
      <c r="C51" s="80">
        <f>VLOOKUP(GroupVertices[[#This Row],[Vertex]],Vertices[],MATCH("ID",Vertices[[#Headers],[Vertex]:[Vertex Content Word Count]],0),FALSE)</f>
        <v>24</v>
      </c>
    </row>
    <row r="52" spans="1:3" ht="15">
      <c r="A52" s="81" t="s">
        <v>792</v>
      </c>
      <c r="B52" s="89" t="s">
        <v>295</v>
      </c>
      <c r="C52" s="80">
        <f>VLOOKUP(GroupVertices[[#This Row],[Vertex]],Vertices[],MATCH("ID",Vertices[[#Headers],[Vertex]:[Vertex Content Word Count]],0),FALSE)</f>
        <v>23</v>
      </c>
    </row>
    <row r="53" spans="1:3" ht="15">
      <c r="A53" s="81" t="s">
        <v>792</v>
      </c>
      <c r="B53" s="89" t="s">
        <v>262</v>
      </c>
      <c r="C53" s="80">
        <f>VLOOKUP(GroupVertices[[#This Row],[Vertex]],Vertices[],MATCH("ID",Vertices[[#Headers],[Vertex]:[Vertex Content Word Count]],0),FALSE)</f>
        <v>21</v>
      </c>
    </row>
    <row r="54" spans="1:3" ht="15">
      <c r="A54" s="81" t="s">
        <v>793</v>
      </c>
      <c r="B54" s="89" t="s">
        <v>292</v>
      </c>
      <c r="C54" s="80">
        <f>VLOOKUP(GroupVertices[[#This Row],[Vertex]],Vertices[],MATCH("ID",Vertices[[#Headers],[Vertex]:[Vertex Content Word Count]],0),FALSE)</f>
        <v>60</v>
      </c>
    </row>
    <row r="55" spans="1:3" ht="15">
      <c r="A55" s="81" t="s">
        <v>793</v>
      </c>
      <c r="B55" s="89" t="s">
        <v>291</v>
      </c>
      <c r="C55" s="80">
        <f>VLOOKUP(GroupVertices[[#This Row],[Vertex]],Vertices[],MATCH("ID",Vertices[[#Headers],[Vertex]:[Vertex Content Word Count]],0),FALSE)</f>
        <v>37</v>
      </c>
    </row>
    <row r="56" spans="1:3" ht="15">
      <c r="A56" s="81" t="s">
        <v>793</v>
      </c>
      <c r="B56" s="89" t="s">
        <v>307</v>
      </c>
      <c r="C56" s="80">
        <f>VLOOKUP(GroupVertices[[#This Row],[Vertex]],Vertices[],MATCH("ID",Vertices[[#Headers],[Vertex]:[Vertex Content Word Count]],0),FALSE)</f>
        <v>38</v>
      </c>
    </row>
    <row r="57" spans="1:3" ht="15">
      <c r="A57" s="81" t="s">
        <v>793</v>
      </c>
      <c r="B57" s="89" t="s">
        <v>273</v>
      </c>
      <c r="C57" s="80">
        <f>VLOOKUP(GroupVertices[[#This Row],[Vertex]],Vertices[],MATCH("ID",Vertices[[#Headers],[Vertex]:[Vertex Content Word Count]],0),FALSE)</f>
        <v>36</v>
      </c>
    </row>
    <row r="58" spans="1:3" ht="15">
      <c r="A58" s="81" t="s">
        <v>794</v>
      </c>
      <c r="B58" s="89" t="s">
        <v>257</v>
      </c>
      <c r="C58" s="80">
        <f>VLOOKUP(GroupVertices[[#This Row],[Vertex]],Vertices[],MATCH("ID",Vertices[[#Headers],[Vertex]:[Vertex Content Word Count]],0),FALSE)</f>
        <v>13</v>
      </c>
    </row>
    <row r="59" spans="1:3" ht="15">
      <c r="A59" s="81" t="s">
        <v>794</v>
      </c>
      <c r="B59" s="89" t="s">
        <v>305</v>
      </c>
      <c r="C59" s="80">
        <f>VLOOKUP(GroupVertices[[#This Row],[Vertex]],Vertices[],MATCH("ID",Vertices[[#Headers],[Vertex]:[Vertex Content Word Count]],0),FALSE)</f>
        <v>16</v>
      </c>
    </row>
    <row r="60" spans="1:3" ht="15">
      <c r="A60" s="81" t="s">
        <v>794</v>
      </c>
      <c r="B60" s="89" t="s">
        <v>304</v>
      </c>
      <c r="C60" s="80">
        <f>VLOOKUP(GroupVertices[[#This Row],[Vertex]],Vertices[],MATCH("ID",Vertices[[#Headers],[Vertex]:[Vertex Content Word Count]],0),FALSE)</f>
        <v>15</v>
      </c>
    </row>
    <row r="61" spans="1:3" ht="15">
      <c r="A61" s="81" t="s">
        <v>794</v>
      </c>
      <c r="B61" s="89" t="s">
        <v>303</v>
      </c>
      <c r="C61" s="80">
        <f>VLOOKUP(GroupVertices[[#This Row],[Vertex]],Vertices[],MATCH("ID",Vertices[[#Headers],[Vertex]:[Vertex Content Word Count]],0),FALSE)</f>
        <v>14</v>
      </c>
    </row>
    <row r="62" spans="1:3" ht="15">
      <c r="A62" s="81" t="s">
        <v>795</v>
      </c>
      <c r="B62" s="89" t="s">
        <v>299</v>
      </c>
      <c r="C62" s="80">
        <f>VLOOKUP(GroupVertices[[#This Row],[Vertex]],Vertices[],MATCH("ID",Vertices[[#Headers],[Vertex]:[Vertex Content Word Count]],0),FALSE)</f>
        <v>63</v>
      </c>
    </row>
    <row r="63" spans="1:3" ht="15">
      <c r="A63" s="81" t="s">
        <v>795</v>
      </c>
      <c r="B63" s="89" t="s">
        <v>298</v>
      </c>
      <c r="C63" s="80">
        <f>VLOOKUP(GroupVertices[[#This Row],[Vertex]],Vertices[],MATCH("ID",Vertices[[#Headers],[Vertex]:[Vertex Content Word Count]],0),FALSE)</f>
        <v>59</v>
      </c>
    </row>
    <row r="64" spans="1:3" ht="15">
      <c r="A64" s="81" t="s">
        <v>795</v>
      </c>
      <c r="B64" s="89" t="s">
        <v>287</v>
      </c>
      <c r="C64" s="80">
        <f>VLOOKUP(GroupVertices[[#This Row],[Vertex]],Vertices[],MATCH("ID",Vertices[[#Headers],[Vertex]:[Vertex Content Word Count]],0),FALSE)</f>
        <v>58</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1185</v>
      </c>
      <c r="B2" s="35" t="s">
        <v>192</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51</v>
      </c>
      <c r="N2" s="38">
        <f>MIN(Vertices[Eigenvector Centrality])</f>
        <v>0</v>
      </c>
      <c r="O2" s="39">
        <f>COUNTIF(Vertices[Eigenvector Centrality],"&gt;= "&amp;N2)-COUNTIF(Vertices[Eigenvector Centrality],"&gt;="&amp;N3)</f>
        <v>19</v>
      </c>
      <c r="P2" s="38">
        <f>MIN(Vertices[PageRank])</f>
        <v>0.341141</v>
      </c>
      <c r="Q2" s="39">
        <f>COUNTIF(Vertices[PageRank],"&gt;= "&amp;P2)-COUNTIF(Vertices[PageRank],"&gt;="&amp;P3)</f>
        <v>25</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17</v>
      </c>
      <c r="H3" s="40">
        <f aca="true" t="shared" si="3" ref="H3:H35">H2+($H$36-$H$2)/BinDivisor</f>
        <v>0.17647058823529413</v>
      </c>
      <c r="I3" s="41">
        <f>COUNTIF(Vertices[Out-Degree],"&gt;= "&amp;H3)-COUNTIF(Vertices[Out-Degree],"&gt;="&amp;H4)</f>
        <v>0</v>
      </c>
      <c r="J3" s="40">
        <f aca="true" t="shared" si="4" ref="J3:J35">J2+($J$36-$J$2)/BinDivisor</f>
        <v>33.8137255</v>
      </c>
      <c r="K3" s="41">
        <f>COUNTIF(Vertices[Betweenness Centrality],"&gt;= "&amp;J3)-COUNTIF(Vertices[Betweenness Centrality],"&gt;="&amp;J4)</f>
        <v>0</v>
      </c>
      <c r="L3" s="40">
        <f aca="true" t="shared" si="5" ref="L3:L35">L2+($L$36-$L$2)/BinDivisor</f>
        <v>0.014705882352941176</v>
      </c>
      <c r="M3" s="41">
        <f>COUNTIF(Vertices[Closeness Centrality],"&gt;= "&amp;L3)-COUNTIF(Vertices[Closeness Centrality],"&gt;="&amp;L4)</f>
        <v>2</v>
      </c>
      <c r="N3" s="40">
        <f aca="true" t="shared" si="6" ref="N3:N35">N2+($N$36-$N$2)/BinDivisor</f>
        <v>0.0027281176470588236</v>
      </c>
      <c r="O3" s="41">
        <f>COUNTIF(Vertices[Eigenvector Centrality],"&gt;= "&amp;N3)-COUNTIF(Vertices[Eigenvector Centrality],"&gt;="&amp;N4)</f>
        <v>1</v>
      </c>
      <c r="P3" s="40">
        <f aca="true" t="shared" si="7" ref="P3:P35">P2+($P$36-$P$2)/BinDivisor</f>
        <v>0.5588997352941176</v>
      </c>
      <c r="Q3" s="41">
        <f>COUNTIF(Vertices[PageRank],"&gt;= "&amp;P3)-COUNTIF(Vertices[PageRank],"&gt;="&amp;P4)</f>
        <v>16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2</v>
      </c>
      <c r="G4" s="39">
        <f>COUNTIF(Vertices[In-Degree],"&gt;= "&amp;F4)-COUNTIF(Vertices[In-Degree],"&gt;="&amp;F5)</f>
        <v>1</v>
      </c>
      <c r="H4" s="38">
        <f t="shared" si="3"/>
        <v>0.35294117647058826</v>
      </c>
      <c r="I4" s="39">
        <f>COUNTIF(Vertices[Out-Degree],"&gt;= "&amp;H4)-COUNTIF(Vertices[Out-Degree],"&gt;="&amp;H5)</f>
        <v>0</v>
      </c>
      <c r="J4" s="38">
        <f t="shared" si="4"/>
        <v>67.627451</v>
      </c>
      <c r="K4" s="39">
        <f>COUNTIF(Vertices[Betweenness Centrality],"&gt;= "&amp;J4)-COUNTIF(Vertices[Betweenness Centrality],"&gt;="&amp;J5)</f>
        <v>0</v>
      </c>
      <c r="L4" s="38">
        <f t="shared" si="5"/>
        <v>0.029411764705882353</v>
      </c>
      <c r="M4" s="39">
        <f>COUNTIF(Vertices[Closeness Centrality],"&gt;= "&amp;L4)-COUNTIF(Vertices[Closeness Centrality],"&gt;="&amp;L5)</f>
        <v>0</v>
      </c>
      <c r="N4" s="38">
        <f t="shared" si="6"/>
        <v>0.005456235294117647</v>
      </c>
      <c r="O4" s="39">
        <f>COUNTIF(Vertices[Eigenvector Centrality],"&gt;= "&amp;N4)-COUNTIF(Vertices[Eigenvector Centrality],"&gt;="&amp;N5)</f>
        <v>0</v>
      </c>
      <c r="P4" s="38">
        <f t="shared" si="7"/>
        <v>0.7766584705882353</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5</v>
      </c>
      <c r="H5" s="40">
        <f t="shared" si="3"/>
        <v>0.5294117647058824</v>
      </c>
      <c r="I5" s="41">
        <f>COUNTIF(Vertices[Out-Degree],"&gt;= "&amp;H5)-COUNTIF(Vertices[Out-Degree],"&gt;="&amp;H6)</f>
        <v>0</v>
      </c>
      <c r="J5" s="40">
        <f t="shared" si="4"/>
        <v>101.44117649999998</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0.00818435294117647</v>
      </c>
      <c r="O5" s="41">
        <f>COUNTIF(Vertices[Eigenvector Centrality],"&gt;= "&amp;N5)-COUNTIF(Vertices[Eigenvector Centrality],"&gt;="&amp;N6)</f>
        <v>2</v>
      </c>
      <c r="P5" s="40">
        <f t="shared" si="7"/>
        <v>0.994417205882353</v>
      </c>
      <c r="Q5" s="41">
        <f>COUNTIF(Vertices[PageRank],"&gt;= "&amp;P5)-COUNTIF(Vertices[PageRank],"&gt;="&amp;P6)</f>
        <v>11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111</v>
      </c>
      <c r="D6" s="33">
        <f t="shared" si="1"/>
        <v>0</v>
      </c>
      <c r="E6" s="3">
        <f>COUNTIF(Vertices[Degree],"&gt;= "&amp;D6)-COUNTIF(Vertices[Degree],"&gt;="&amp;D7)</f>
        <v>0</v>
      </c>
      <c r="F6" s="38">
        <f t="shared" si="2"/>
        <v>4</v>
      </c>
      <c r="G6" s="39">
        <f>COUNTIF(Vertices[In-Degree],"&gt;= "&amp;F6)-COUNTIF(Vertices[In-Degree],"&gt;="&amp;F7)</f>
        <v>1</v>
      </c>
      <c r="H6" s="38">
        <f t="shared" si="3"/>
        <v>0.7058823529411765</v>
      </c>
      <c r="I6" s="39">
        <f>COUNTIF(Vertices[Out-Degree],"&gt;= "&amp;H6)-COUNTIF(Vertices[Out-Degree],"&gt;="&amp;H7)</f>
        <v>0</v>
      </c>
      <c r="J6" s="38">
        <f t="shared" si="4"/>
        <v>135.254902</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0.010912470588235294</v>
      </c>
      <c r="O6" s="39">
        <f>COUNTIF(Vertices[Eigenvector Centrality],"&gt;= "&amp;N6)-COUNTIF(Vertices[Eigenvector Centrality],"&gt;="&amp;N7)</f>
        <v>10</v>
      </c>
      <c r="P6" s="38">
        <f t="shared" si="7"/>
        <v>1.2121759411764708</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v>
      </c>
      <c r="D7" s="33">
        <f t="shared" si="1"/>
        <v>0</v>
      </c>
      <c r="E7" s="3">
        <f>COUNTIF(Vertices[Degree],"&gt;= "&amp;D7)-COUNTIF(Vertices[Degree],"&gt;="&amp;D8)</f>
        <v>0</v>
      </c>
      <c r="F7" s="40">
        <f t="shared" si="2"/>
        <v>5</v>
      </c>
      <c r="G7" s="41">
        <f>COUNTIF(Vertices[In-Degree],"&gt;= "&amp;F7)-COUNTIF(Vertices[In-Degree],"&gt;="&amp;F8)</f>
        <v>0</v>
      </c>
      <c r="H7" s="40">
        <f t="shared" si="3"/>
        <v>0.8823529411764707</v>
      </c>
      <c r="I7" s="41">
        <f>COUNTIF(Vertices[Out-Degree],"&gt;= "&amp;H7)-COUNTIF(Vertices[Out-Degree],"&gt;="&amp;H8)</f>
        <v>13</v>
      </c>
      <c r="J7" s="40">
        <f t="shared" si="4"/>
        <v>169.0686275</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0.013640588235294118</v>
      </c>
      <c r="O7" s="41">
        <f>COUNTIF(Vertices[Eigenvector Centrality],"&gt;= "&amp;N7)-COUNTIF(Vertices[Eigenvector Centrality],"&gt;="&amp;N8)</f>
        <v>1</v>
      </c>
      <c r="P7" s="40">
        <f t="shared" si="7"/>
        <v>1.4299346764705885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124</v>
      </c>
      <c r="D8" s="33">
        <f t="shared" si="1"/>
        <v>0</v>
      </c>
      <c r="E8" s="3">
        <f>COUNTIF(Vertices[Degree],"&gt;= "&amp;D8)-COUNTIF(Vertices[Degree],"&gt;="&amp;D9)</f>
        <v>0</v>
      </c>
      <c r="F8" s="38">
        <f t="shared" si="2"/>
        <v>6</v>
      </c>
      <c r="G8" s="39">
        <f>COUNTIF(Vertices[In-Degree],"&gt;= "&amp;F8)-COUNTIF(Vertices[In-Degree],"&gt;="&amp;F9)</f>
        <v>0</v>
      </c>
      <c r="H8" s="38">
        <f t="shared" si="3"/>
        <v>1.0588235294117647</v>
      </c>
      <c r="I8" s="39">
        <f>COUNTIF(Vertices[Out-Degree],"&gt;= "&amp;H8)-COUNTIF(Vertices[Out-Degree],"&gt;="&amp;H9)</f>
        <v>0</v>
      </c>
      <c r="J8" s="38">
        <f t="shared" si="4"/>
        <v>202.882353</v>
      </c>
      <c r="K8" s="39">
        <f>COUNTIF(Vertices[Betweenness Centrality],"&gt;= "&amp;J8)-COUNTIF(Vertices[Betweenness Centrality],"&gt;="&amp;J9)</f>
        <v>0</v>
      </c>
      <c r="L8" s="38">
        <f t="shared" si="5"/>
        <v>0.08823529411764706</v>
      </c>
      <c r="M8" s="39">
        <f>COUNTIF(Vertices[Closeness Centrality],"&gt;= "&amp;L8)-COUNTIF(Vertices[Closeness Centrality],"&gt;="&amp;L9)</f>
        <v>6</v>
      </c>
      <c r="N8" s="38">
        <f t="shared" si="6"/>
        <v>0.01636870588235294</v>
      </c>
      <c r="O8" s="39">
        <f>COUNTIF(Vertices[Eigenvector Centrality],"&gt;= "&amp;N8)-COUNTIF(Vertices[Eigenvector Centrality],"&gt;="&amp;N9)</f>
        <v>4</v>
      </c>
      <c r="P8" s="38">
        <f t="shared" si="7"/>
        <v>1.6476934117647062</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2</v>
      </c>
      <c r="H9" s="40">
        <f t="shared" si="3"/>
        <v>1.2352941176470589</v>
      </c>
      <c r="I9" s="41">
        <f>COUNTIF(Vertices[Out-Degree],"&gt;= "&amp;H9)-COUNTIF(Vertices[Out-Degree],"&gt;="&amp;H10)</f>
        <v>0</v>
      </c>
      <c r="J9" s="40">
        <f t="shared" si="4"/>
        <v>236.6960785</v>
      </c>
      <c r="K9" s="41">
        <f>COUNTIF(Vertices[Betweenness Centrality],"&gt;= "&amp;J9)-COUNTIF(Vertices[Betweenness Centrality],"&gt;="&amp;J10)</f>
        <v>1</v>
      </c>
      <c r="L9" s="40">
        <f t="shared" si="5"/>
        <v>0.10294117647058824</v>
      </c>
      <c r="M9" s="41">
        <f>COUNTIF(Vertices[Closeness Centrality],"&gt;= "&amp;L9)-COUNTIF(Vertices[Closeness Centrality],"&gt;="&amp;L10)</f>
        <v>0</v>
      </c>
      <c r="N9" s="40">
        <f t="shared" si="6"/>
        <v>0.019096823529411763</v>
      </c>
      <c r="O9" s="41">
        <f>COUNTIF(Vertices[Eigenvector Centrality],"&gt;= "&amp;N9)-COUNTIF(Vertices[Eigenvector Centrality],"&gt;="&amp;N10)</f>
        <v>16</v>
      </c>
      <c r="P9" s="40">
        <f t="shared" si="7"/>
        <v>1.865452147058824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151</v>
      </c>
      <c r="B10" s="35">
        <v>9</v>
      </c>
      <c r="D10" s="33">
        <f t="shared" si="1"/>
        <v>0</v>
      </c>
      <c r="E10" s="3">
        <f>COUNTIF(Vertices[Degree],"&gt;= "&amp;D10)-COUNTIF(Vertices[Degree],"&gt;="&amp;D11)</f>
        <v>0</v>
      </c>
      <c r="F10" s="38">
        <f t="shared" si="2"/>
        <v>8</v>
      </c>
      <c r="G10" s="39">
        <f>COUNTIF(Vertices[In-Degree],"&gt;= "&amp;F10)-COUNTIF(Vertices[In-Degree],"&gt;="&amp;F11)</f>
        <v>0</v>
      </c>
      <c r="H10" s="38">
        <f t="shared" si="3"/>
        <v>1.411764705882353</v>
      </c>
      <c r="I10" s="39">
        <f>COUNTIF(Vertices[Out-Degree],"&gt;= "&amp;H10)-COUNTIF(Vertices[Out-Degree],"&gt;="&amp;H11)</f>
        <v>0</v>
      </c>
      <c r="J10" s="38">
        <f t="shared" si="4"/>
        <v>270.509804</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0.02182494117647059</v>
      </c>
      <c r="O10" s="39">
        <f>COUNTIF(Vertices[Eigenvector Centrality],"&gt;= "&amp;N10)-COUNTIF(Vertices[Eigenvector Centrality],"&gt;="&amp;N11)</f>
        <v>1</v>
      </c>
      <c r="P10" s="38">
        <f t="shared" si="7"/>
        <v>2.0832108823529416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1.5882352941176472</v>
      </c>
      <c r="I11" s="41">
        <f>COUNTIF(Vertices[Out-Degree],"&gt;= "&amp;H11)-COUNTIF(Vertices[Out-Degree],"&gt;="&amp;H12)</f>
        <v>0</v>
      </c>
      <c r="J11" s="40">
        <f t="shared" si="4"/>
        <v>304.32352949999995</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0.024553058823529414</v>
      </c>
      <c r="O11" s="41">
        <f>COUNTIF(Vertices[Eigenvector Centrality],"&gt;= "&amp;N11)-COUNTIF(Vertices[Eigenvector Centrality],"&gt;="&amp;N12)</f>
        <v>6</v>
      </c>
      <c r="P11" s="40">
        <f t="shared" si="7"/>
        <v>2.300969617647059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170</v>
      </c>
      <c r="B12" s="35">
        <v>0.06796116504854369</v>
      </c>
      <c r="D12" s="33">
        <f t="shared" si="1"/>
        <v>0</v>
      </c>
      <c r="E12" s="3">
        <f>COUNTIF(Vertices[Degree],"&gt;= "&amp;D12)-COUNTIF(Vertices[Degree],"&gt;="&amp;D13)</f>
        <v>0</v>
      </c>
      <c r="F12" s="38">
        <f t="shared" si="2"/>
        <v>10</v>
      </c>
      <c r="G12" s="39">
        <f>COUNTIF(Vertices[In-Degree],"&gt;= "&amp;F12)-COUNTIF(Vertices[In-Degree],"&gt;="&amp;F13)</f>
        <v>0</v>
      </c>
      <c r="H12" s="38">
        <f t="shared" si="3"/>
        <v>1.7647058823529413</v>
      </c>
      <c r="I12" s="39">
        <f>COUNTIF(Vertices[Out-Degree],"&gt;= "&amp;H12)-COUNTIF(Vertices[Out-Degree],"&gt;="&amp;H13)</f>
        <v>0</v>
      </c>
      <c r="J12" s="38">
        <f t="shared" si="4"/>
        <v>338.1372549999999</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0.02728117647058824</v>
      </c>
      <c r="O12" s="39">
        <f>COUNTIF(Vertices[Eigenvector Centrality],"&gt;= "&amp;N12)-COUNTIF(Vertices[Eigenvector Centrality],"&gt;="&amp;N13)</f>
        <v>0</v>
      </c>
      <c r="P12" s="38">
        <f t="shared" si="7"/>
        <v>2.5187283529411766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171</v>
      </c>
      <c r="B13" s="35">
        <v>0.12727272727272726</v>
      </c>
      <c r="D13" s="33">
        <f t="shared" si="1"/>
        <v>0</v>
      </c>
      <c r="E13" s="3">
        <f>COUNTIF(Vertices[Degree],"&gt;= "&amp;D13)-COUNTIF(Vertices[Degree],"&gt;="&amp;D14)</f>
        <v>0</v>
      </c>
      <c r="F13" s="40">
        <f t="shared" si="2"/>
        <v>11</v>
      </c>
      <c r="G13" s="41">
        <f>COUNTIF(Vertices[In-Degree],"&gt;= "&amp;F13)-COUNTIF(Vertices[In-Degree],"&gt;="&amp;F14)</f>
        <v>0</v>
      </c>
      <c r="H13" s="40">
        <f t="shared" si="3"/>
        <v>1.9411764705882355</v>
      </c>
      <c r="I13" s="41">
        <f>COUNTIF(Vertices[Out-Degree],"&gt;= "&amp;H13)-COUNTIF(Vertices[Out-Degree],"&gt;="&amp;H14)</f>
        <v>23</v>
      </c>
      <c r="J13" s="40">
        <f t="shared" si="4"/>
        <v>371.9509804999999</v>
      </c>
      <c r="K13" s="41">
        <f>COUNTIF(Vertices[Betweenness Centrality],"&gt;= "&amp;J13)-COUNTIF(Vertices[Betweenness Centrality],"&gt;="&amp;J14)</f>
        <v>0</v>
      </c>
      <c r="L13" s="40">
        <f t="shared" si="5"/>
        <v>0.16176470588235295</v>
      </c>
      <c r="M13" s="41">
        <f>COUNTIF(Vertices[Closeness Centrality],"&gt;= "&amp;L13)-COUNTIF(Vertices[Closeness Centrality],"&gt;="&amp;L14)</f>
        <v>1</v>
      </c>
      <c r="N13" s="40">
        <f t="shared" si="6"/>
        <v>0.030009294117647065</v>
      </c>
      <c r="O13" s="41">
        <f>COUNTIF(Vertices[Eigenvector Centrality],"&gt;= "&amp;N13)-COUNTIF(Vertices[Eigenvector Centrality],"&gt;="&amp;N14)</f>
        <v>0</v>
      </c>
      <c r="P13" s="40">
        <f t="shared" si="7"/>
        <v>2.736487088235294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115"/>
      <c r="B14" s="115"/>
      <c r="D14" s="33">
        <f t="shared" si="1"/>
        <v>0</v>
      </c>
      <c r="E14" s="3">
        <f>COUNTIF(Vertices[Degree],"&gt;= "&amp;D14)-COUNTIF(Vertices[Degree],"&gt;="&amp;D15)</f>
        <v>0</v>
      </c>
      <c r="F14" s="38">
        <f t="shared" si="2"/>
        <v>12</v>
      </c>
      <c r="G14" s="39">
        <f>COUNTIF(Vertices[In-Degree],"&gt;= "&amp;F14)-COUNTIF(Vertices[In-Degree],"&gt;="&amp;F15)</f>
        <v>0</v>
      </c>
      <c r="H14" s="38">
        <f t="shared" si="3"/>
        <v>2.1176470588235294</v>
      </c>
      <c r="I14" s="39">
        <f>COUNTIF(Vertices[Out-Degree],"&gt;= "&amp;H14)-COUNTIF(Vertices[Out-Degree],"&gt;="&amp;H15)</f>
        <v>0</v>
      </c>
      <c r="J14" s="38">
        <f t="shared" si="4"/>
        <v>405.7647059999999</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0.03273741176470589</v>
      </c>
      <c r="O14" s="39">
        <f>COUNTIF(Vertices[Eigenvector Centrality],"&gt;= "&amp;N14)-COUNTIF(Vertices[Eigenvector Centrality],"&gt;="&amp;N15)</f>
        <v>0</v>
      </c>
      <c r="P14" s="38">
        <f t="shared" si="7"/>
        <v>2.9542458235294116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152</v>
      </c>
      <c r="B15" s="35">
        <v>9</v>
      </c>
      <c r="D15" s="33">
        <f t="shared" si="1"/>
        <v>0</v>
      </c>
      <c r="E15" s="3">
        <f>COUNTIF(Vertices[Degree],"&gt;= "&amp;D15)-COUNTIF(Vertices[Degree],"&gt;="&amp;D16)</f>
        <v>0</v>
      </c>
      <c r="F15" s="40">
        <f t="shared" si="2"/>
        <v>13</v>
      </c>
      <c r="G15" s="41">
        <f>COUNTIF(Vertices[In-Degree],"&gt;= "&amp;F15)-COUNTIF(Vertices[In-Degree],"&gt;="&amp;F16)</f>
        <v>0</v>
      </c>
      <c r="H15" s="40">
        <f t="shared" si="3"/>
        <v>2.2941176470588234</v>
      </c>
      <c r="I15" s="41">
        <f>COUNTIF(Vertices[Out-Degree],"&gt;= "&amp;H15)-COUNTIF(Vertices[Out-Degree],"&gt;="&amp;H16)</f>
        <v>0</v>
      </c>
      <c r="J15" s="40">
        <f t="shared" si="4"/>
        <v>439.57843149999985</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0.035465529411764715</v>
      </c>
      <c r="O15" s="41">
        <f>COUNTIF(Vertices[Eigenvector Centrality],"&gt;= "&amp;N15)-COUNTIF(Vertices[Eigenvector Centrality],"&gt;="&amp;N16)</f>
        <v>0</v>
      </c>
      <c r="P15" s="40">
        <f t="shared" si="7"/>
        <v>3.172004558823529</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153</v>
      </c>
      <c r="B16" s="35">
        <v>6</v>
      </c>
      <c r="D16" s="33">
        <f t="shared" si="1"/>
        <v>0</v>
      </c>
      <c r="E16" s="3">
        <f>COUNTIF(Vertices[Degree],"&gt;= "&amp;D16)-COUNTIF(Vertices[Degree],"&gt;="&amp;D17)</f>
        <v>0</v>
      </c>
      <c r="F16" s="38">
        <f t="shared" si="2"/>
        <v>14</v>
      </c>
      <c r="G16" s="39">
        <f>COUNTIF(Vertices[In-Degree],"&gt;= "&amp;F16)-COUNTIF(Vertices[In-Degree],"&gt;="&amp;F17)</f>
        <v>0</v>
      </c>
      <c r="H16" s="38">
        <f t="shared" si="3"/>
        <v>2.4705882352941173</v>
      </c>
      <c r="I16" s="39">
        <f>COUNTIF(Vertices[Out-Degree],"&gt;= "&amp;H16)-COUNTIF(Vertices[Out-Degree],"&gt;="&amp;H17)</f>
        <v>0</v>
      </c>
      <c r="J16" s="38">
        <f t="shared" si="4"/>
        <v>473.3921569999998</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0.03819364705882354</v>
      </c>
      <c r="O16" s="39">
        <f>COUNTIF(Vertices[Eigenvector Centrality],"&gt;= "&amp;N16)-COUNTIF(Vertices[Eigenvector Centrality],"&gt;="&amp;N17)</f>
        <v>1</v>
      </c>
      <c r="P16" s="38">
        <f t="shared" si="7"/>
        <v>3.3897632941176465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154</v>
      </c>
      <c r="B17" s="35">
        <v>47</v>
      </c>
      <c r="D17" s="33">
        <f t="shared" si="1"/>
        <v>0</v>
      </c>
      <c r="E17" s="3">
        <f>COUNTIF(Vertices[Degree],"&gt;= "&amp;D17)-COUNTIF(Vertices[Degree],"&gt;="&amp;D18)</f>
        <v>0</v>
      </c>
      <c r="F17" s="40">
        <f t="shared" si="2"/>
        <v>15</v>
      </c>
      <c r="G17" s="41">
        <f>COUNTIF(Vertices[In-Degree],"&gt;= "&amp;F17)-COUNTIF(Vertices[In-Degree],"&gt;="&amp;F18)</f>
        <v>0</v>
      </c>
      <c r="H17" s="40">
        <f t="shared" si="3"/>
        <v>2.6470588235294112</v>
      </c>
      <c r="I17" s="41">
        <f>COUNTIF(Vertices[Out-Degree],"&gt;= "&amp;H17)-COUNTIF(Vertices[Out-Degree],"&gt;="&amp;H18)</f>
        <v>0</v>
      </c>
      <c r="J17" s="40">
        <f t="shared" si="4"/>
        <v>507.2058824999998</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0.040921764705882366</v>
      </c>
      <c r="O17" s="41">
        <f>COUNTIF(Vertices[Eigenvector Centrality],"&gt;= "&amp;N17)-COUNTIF(Vertices[Eigenvector Centrality],"&gt;="&amp;N18)</f>
        <v>0</v>
      </c>
      <c r="P17" s="40">
        <f t="shared" si="7"/>
        <v>3.607522029411764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105</v>
      </c>
      <c r="D18" s="33">
        <f t="shared" si="1"/>
        <v>0</v>
      </c>
      <c r="E18" s="3">
        <f>COUNTIF(Vertices[Degree],"&gt;= "&amp;D18)-COUNTIF(Vertices[Degree],"&gt;="&amp;D19)</f>
        <v>0</v>
      </c>
      <c r="F18" s="38">
        <f t="shared" si="2"/>
        <v>16</v>
      </c>
      <c r="G18" s="39">
        <f>COUNTIF(Vertices[In-Degree],"&gt;= "&amp;F18)-COUNTIF(Vertices[In-Degree],"&gt;="&amp;F19)</f>
        <v>0</v>
      </c>
      <c r="H18" s="38">
        <f t="shared" si="3"/>
        <v>2.823529411764705</v>
      </c>
      <c r="I18" s="39">
        <f>COUNTIF(Vertices[Out-Degree],"&gt;= "&amp;H18)-COUNTIF(Vertices[Out-Degree],"&gt;="&amp;H19)</f>
        <v>0</v>
      </c>
      <c r="J18" s="38">
        <f t="shared" si="4"/>
        <v>541.0196079999998</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0.04364988235294119</v>
      </c>
      <c r="O18" s="39">
        <f>COUNTIF(Vertices[Eigenvector Centrality],"&gt;= "&amp;N18)-COUNTIF(Vertices[Eigenvector Centrality],"&gt;="&amp;N19)</f>
        <v>0</v>
      </c>
      <c r="P18" s="38">
        <f t="shared" si="7"/>
        <v>3.8252807647058815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2.999999999999999</v>
      </c>
      <c r="I19" s="41">
        <f>COUNTIF(Vertices[Out-Degree],"&gt;= "&amp;H19)-COUNTIF(Vertices[Out-Degree],"&gt;="&amp;H20)</f>
        <v>10</v>
      </c>
      <c r="J19" s="40">
        <f t="shared" si="4"/>
        <v>574.8333334999999</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0.046378000000000016</v>
      </c>
      <c r="O19" s="41">
        <f>COUNTIF(Vertices[Eigenvector Centrality],"&gt;= "&amp;N19)-COUNTIF(Vertices[Eigenvector Centrality],"&gt;="&amp;N20)</f>
        <v>0</v>
      </c>
      <c r="P19" s="40">
        <f t="shared" si="7"/>
        <v>4.043039499999999</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156</v>
      </c>
      <c r="B20" s="35">
        <v>5</v>
      </c>
      <c r="D20" s="33">
        <f t="shared" si="1"/>
        <v>0</v>
      </c>
      <c r="E20" s="3">
        <f>COUNTIF(Vertices[Degree],"&gt;= "&amp;D20)-COUNTIF(Vertices[Degree],"&gt;="&amp;D21)</f>
        <v>0</v>
      </c>
      <c r="F20" s="38">
        <f t="shared" si="2"/>
        <v>18</v>
      </c>
      <c r="G20" s="39">
        <f>COUNTIF(Vertices[In-Degree],"&gt;= "&amp;F20)-COUNTIF(Vertices[In-Degree],"&gt;="&amp;F21)</f>
        <v>0</v>
      </c>
      <c r="H20" s="38">
        <f t="shared" si="3"/>
        <v>3.176470588235293</v>
      </c>
      <c r="I20" s="39">
        <f>COUNTIF(Vertices[Out-Degree],"&gt;= "&amp;H20)-COUNTIF(Vertices[Out-Degree],"&gt;="&amp;H21)</f>
        <v>0</v>
      </c>
      <c r="J20" s="38">
        <f t="shared" si="4"/>
        <v>608.6470589999999</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0.04910611764705884</v>
      </c>
      <c r="O20" s="39">
        <f>COUNTIF(Vertices[Eigenvector Centrality],"&gt;= "&amp;N20)-COUNTIF(Vertices[Eigenvector Centrality],"&gt;="&amp;N21)</f>
        <v>0</v>
      </c>
      <c r="P20" s="38">
        <f t="shared" si="7"/>
        <v>4.260798235294117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2.112626</v>
      </c>
      <c r="D21" s="33">
        <f t="shared" si="1"/>
        <v>0</v>
      </c>
      <c r="E21" s="3">
        <f>COUNTIF(Vertices[Degree],"&gt;= "&amp;D21)-COUNTIF(Vertices[Degree],"&gt;="&amp;D22)</f>
        <v>0</v>
      </c>
      <c r="F21" s="40">
        <f t="shared" si="2"/>
        <v>19</v>
      </c>
      <c r="G21" s="41">
        <f>COUNTIF(Vertices[In-Degree],"&gt;= "&amp;F21)-COUNTIF(Vertices[In-Degree],"&gt;="&amp;F22)</f>
        <v>0</v>
      </c>
      <c r="H21" s="40">
        <f t="shared" si="3"/>
        <v>3.352941176470587</v>
      </c>
      <c r="I21" s="41">
        <f>COUNTIF(Vertices[Out-Degree],"&gt;= "&amp;H21)-COUNTIF(Vertices[Out-Degree],"&gt;="&amp;H22)</f>
        <v>0</v>
      </c>
      <c r="J21" s="40">
        <f t="shared" si="4"/>
        <v>642.4607844999999</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0.05183423529411767</v>
      </c>
      <c r="O21" s="41">
        <f>COUNTIF(Vertices[Eigenvector Centrality],"&gt;= "&amp;N21)-COUNTIF(Vertices[Eigenvector Centrality],"&gt;="&amp;N22)</f>
        <v>0</v>
      </c>
      <c r="P21" s="40">
        <f t="shared" si="7"/>
        <v>4.478556970588235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3.529411764705881</v>
      </c>
      <c r="I22" s="39">
        <f>COUNTIF(Vertices[Out-Degree],"&gt;= "&amp;H22)-COUNTIF(Vertices[Out-Degree],"&gt;="&amp;H23)</f>
        <v>0</v>
      </c>
      <c r="J22" s="38">
        <f t="shared" si="4"/>
        <v>676.27451</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0.05456235294117649</v>
      </c>
      <c r="O22" s="39">
        <f>COUNTIF(Vertices[Eigenvector Centrality],"&gt;= "&amp;N22)-COUNTIF(Vertices[Eigenvector Centrality],"&gt;="&amp;N23)</f>
        <v>0</v>
      </c>
      <c r="P22" s="38">
        <f t="shared" si="7"/>
        <v>4.696315705882353</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158</v>
      </c>
      <c r="B23" s="35">
        <v>0.02816180235535074</v>
      </c>
      <c r="D23" s="33">
        <f t="shared" si="1"/>
        <v>0</v>
      </c>
      <c r="E23" s="3">
        <f>COUNTIF(Vertices[Degree],"&gt;= "&amp;D23)-COUNTIF(Vertices[Degree],"&gt;="&amp;D24)</f>
        <v>0</v>
      </c>
      <c r="F23" s="40">
        <f t="shared" si="2"/>
        <v>21</v>
      </c>
      <c r="G23" s="41">
        <f>COUNTIF(Vertices[In-Degree],"&gt;= "&amp;F23)-COUNTIF(Vertices[In-Degree],"&gt;="&amp;F24)</f>
        <v>0</v>
      </c>
      <c r="H23" s="40">
        <f t="shared" si="3"/>
        <v>3.705882352941175</v>
      </c>
      <c r="I23" s="41">
        <f>COUNTIF(Vertices[Out-Degree],"&gt;= "&amp;H23)-COUNTIF(Vertices[Out-Degree],"&gt;="&amp;H24)</f>
        <v>0</v>
      </c>
      <c r="J23" s="40">
        <f t="shared" si="4"/>
        <v>710.0882355</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0.05729047058823532</v>
      </c>
      <c r="O23" s="41">
        <f>COUNTIF(Vertices[Eigenvector Centrality],"&gt;= "&amp;N23)-COUNTIF(Vertices[Eigenvector Centrality],"&gt;="&amp;N24)</f>
        <v>0</v>
      </c>
      <c r="P23" s="40">
        <f t="shared" si="7"/>
        <v>4.914074441176471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1186</v>
      </c>
      <c r="B24" s="35">
        <v>0.413388</v>
      </c>
      <c r="D24" s="33">
        <f t="shared" si="1"/>
        <v>0</v>
      </c>
      <c r="E24" s="3">
        <f>COUNTIF(Vertices[Degree],"&gt;= "&amp;D24)-COUNTIF(Vertices[Degree],"&gt;="&amp;D25)</f>
        <v>0</v>
      </c>
      <c r="F24" s="38">
        <f t="shared" si="2"/>
        <v>22</v>
      </c>
      <c r="G24" s="39">
        <f>COUNTIF(Vertices[In-Degree],"&gt;= "&amp;F24)-COUNTIF(Vertices[In-Degree],"&gt;="&amp;F25)</f>
        <v>0</v>
      </c>
      <c r="H24" s="38">
        <f t="shared" si="3"/>
        <v>3.882352941176469</v>
      </c>
      <c r="I24" s="39">
        <f>COUNTIF(Vertices[Out-Degree],"&gt;= "&amp;H24)-COUNTIF(Vertices[Out-Degree],"&gt;="&amp;H25)</f>
        <v>3</v>
      </c>
      <c r="J24" s="38">
        <f t="shared" si="4"/>
        <v>743.901961</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0.06001858823529414</v>
      </c>
      <c r="O24" s="39">
        <f>COUNTIF(Vertices[Eigenvector Centrality],"&gt;= "&amp;N24)-COUNTIF(Vertices[Eigenvector Centrality],"&gt;="&amp;N25)</f>
        <v>0</v>
      </c>
      <c r="P24" s="38">
        <f t="shared" si="7"/>
        <v>5.131833176470589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23</v>
      </c>
      <c r="G25" s="41">
        <f>COUNTIF(Vertices[In-Degree],"&gt;= "&amp;F25)-COUNTIF(Vertices[In-Degree],"&gt;="&amp;F26)</f>
        <v>0</v>
      </c>
      <c r="H25" s="40">
        <f t="shared" si="3"/>
        <v>4.058823529411763</v>
      </c>
      <c r="I25" s="41">
        <f>COUNTIF(Vertices[Out-Degree],"&gt;= "&amp;H25)-COUNTIF(Vertices[Out-Degree],"&gt;="&amp;H26)</f>
        <v>0</v>
      </c>
      <c r="J25" s="40">
        <f t="shared" si="4"/>
        <v>777.7156865000001</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0.06274670588235297</v>
      </c>
      <c r="O25" s="41">
        <f>COUNTIF(Vertices[Eigenvector Centrality],"&gt;= "&amp;N25)-COUNTIF(Vertices[Eigenvector Centrality],"&gt;="&amp;N26)</f>
        <v>0</v>
      </c>
      <c r="P25" s="40">
        <f t="shared" si="7"/>
        <v>5.349591911764707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1187</v>
      </c>
      <c r="B26" s="35" t="s">
        <v>1202</v>
      </c>
      <c r="D26" s="33">
        <f t="shared" si="1"/>
        <v>0</v>
      </c>
      <c r="E26" s="3">
        <f>COUNTIF(Vertices[Degree],"&gt;= "&amp;D26)-COUNTIF(Vertices[Degree],"&gt;="&amp;D27)</f>
        <v>0</v>
      </c>
      <c r="F26" s="38">
        <f t="shared" si="2"/>
        <v>24</v>
      </c>
      <c r="G26" s="39">
        <f>COUNTIF(Vertices[In-Degree],"&gt;= "&amp;F26)-COUNTIF(Vertices[In-Degree],"&gt;="&amp;F27)</f>
        <v>0</v>
      </c>
      <c r="H26" s="38">
        <f t="shared" si="3"/>
        <v>4.235294117647057</v>
      </c>
      <c r="I26" s="39">
        <f>COUNTIF(Vertices[Out-Degree],"&gt;= "&amp;H26)-COUNTIF(Vertices[Out-Degree],"&gt;="&amp;H27)</f>
        <v>0</v>
      </c>
      <c r="J26" s="38">
        <f t="shared" si="4"/>
        <v>811.5294120000001</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0.0654748235294118</v>
      </c>
      <c r="O26" s="39">
        <f>COUNTIF(Vertices[Eigenvector Centrality],"&gt;= "&amp;N26)-COUNTIF(Vertices[Eigenvector Centrality],"&gt;="&amp;N27)</f>
        <v>0</v>
      </c>
      <c r="P26" s="38">
        <f t="shared" si="7"/>
        <v>5.5673506470588245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4.4117647058823515</v>
      </c>
      <c r="I27" s="41">
        <f>COUNTIF(Vertices[Out-Degree],"&gt;= "&amp;H27)-COUNTIF(Vertices[Out-Degree],"&gt;="&amp;H28)</f>
        <v>0</v>
      </c>
      <c r="J27" s="40">
        <f t="shared" si="4"/>
        <v>845.3431375000001</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0.06820294117647062</v>
      </c>
      <c r="O27" s="41">
        <f>COUNTIF(Vertices[Eigenvector Centrality],"&gt;= "&amp;N27)-COUNTIF(Vertices[Eigenvector Centrality],"&gt;="&amp;N28)</f>
        <v>0</v>
      </c>
      <c r="P27" s="40">
        <f t="shared" si="7"/>
        <v>5.7851093823529425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1188</v>
      </c>
      <c r="B28" s="35" t="s">
        <v>1235</v>
      </c>
      <c r="D28" s="33">
        <f t="shared" si="1"/>
        <v>0</v>
      </c>
      <c r="E28" s="3">
        <f>COUNTIF(Vertices[Degree],"&gt;= "&amp;D28)-COUNTIF(Vertices[Degree],"&gt;="&amp;D29)</f>
        <v>0</v>
      </c>
      <c r="F28" s="38">
        <f t="shared" si="2"/>
        <v>26</v>
      </c>
      <c r="G28" s="39">
        <f>COUNTIF(Vertices[In-Degree],"&gt;= "&amp;F28)-COUNTIF(Vertices[In-Degree],"&gt;="&amp;F29)</f>
        <v>0</v>
      </c>
      <c r="H28" s="38">
        <f t="shared" si="3"/>
        <v>4.588235294117646</v>
      </c>
      <c r="I28" s="39">
        <f>COUNTIF(Vertices[Out-Degree],"&gt;= "&amp;H28)-COUNTIF(Vertices[Out-Degree],"&gt;="&amp;H29)</f>
        <v>0</v>
      </c>
      <c r="J28" s="38">
        <f t="shared" si="4"/>
        <v>879.1568630000002</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0.07093105882352944</v>
      </c>
      <c r="O28" s="39">
        <f>COUNTIF(Vertices[Eigenvector Centrality],"&gt;= "&amp;N28)-COUNTIF(Vertices[Eigenvector Centrality],"&gt;="&amp;N29)</f>
        <v>0</v>
      </c>
      <c r="P28" s="38">
        <f t="shared" si="7"/>
        <v>6.00286811764706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1189</v>
      </c>
      <c r="B29" s="35" t="s">
        <v>1236</v>
      </c>
      <c r="D29" s="33">
        <f t="shared" si="1"/>
        <v>0</v>
      </c>
      <c r="E29" s="3">
        <f>COUNTIF(Vertices[Degree],"&gt;= "&amp;D29)-COUNTIF(Vertices[Degree],"&gt;="&amp;D30)</f>
        <v>0</v>
      </c>
      <c r="F29" s="40">
        <f t="shared" si="2"/>
        <v>27</v>
      </c>
      <c r="G29" s="41">
        <f>COUNTIF(Vertices[In-Degree],"&gt;= "&amp;F29)-COUNTIF(Vertices[In-Degree],"&gt;="&amp;F30)</f>
        <v>0</v>
      </c>
      <c r="H29" s="40">
        <f t="shared" si="3"/>
        <v>4.76470588235294</v>
      </c>
      <c r="I29" s="41">
        <f>COUNTIF(Vertices[Out-Degree],"&gt;= "&amp;H29)-COUNTIF(Vertices[Out-Degree],"&gt;="&amp;H30)</f>
        <v>0</v>
      </c>
      <c r="J29" s="40">
        <f t="shared" si="4"/>
        <v>912.9705885000002</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0.07365917647058827</v>
      </c>
      <c r="O29" s="41">
        <f>COUNTIF(Vertices[Eigenvector Centrality],"&gt;= "&amp;N29)-COUNTIF(Vertices[Eigenvector Centrality],"&gt;="&amp;N30)</f>
        <v>0</v>
      </c>
      <c r="P29" s="40">
        <f t="shared" si="7"/>
        <v>6.220626852941178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4.941176470588235</v>
      </c>
      <c r="I30" s="39">
        <f>COUNTIF(Vertices[Out-Degree],"&gt;= "&amp;H30)-COUNTIF(Vertices[Out-Degree],"&gt;="&amp;H31)</f>
        <v>2</v>
      </c>
      <c r="J30" s="38">
        <f t="shared" si="4"/>
        <v>946.7843140000002</v>
      </c>
      <c r="K30" s="39">
        <f>COUNTIF(Vertices[Betweenness Centrality],"&gt;= "&amp;J30)-COUNTIF(Vertices[Betweenness Centrality],"&gt;="&amp;J31)</f>
        <v>1</v>
      </c>
      <c r="L30" s="38">
        <f t="shared" si="5"/>
        <v>0.411764705882353</v>
      </c>
      <c r="M30" s="39">
        <f>COUNTIF(Vertices[Closeness Centrality],"&gt;= "&amp;L30)-COUNTIF(Vertices[Closeness Centrality],"&gt;="&amp;L31)</f>
        <v>0</v>
      </c>
      <c r="N30" s="38">
        <f t="shared" si="6"/>
        <v>0.0763872941176471</v>
      </c>
      <c r="O30" s="39">
        <f>COUNTIF(Vertices[Eigenvector Centrality],"&gt;= "&amp;N30)-COUNTIF(Vertices[Eigenvector Centrality],"&gt;="&amp;N31)</f>
        <v>0</v>
      </c>
      <c r="P30" s="38">
        <f t="shared" si="7"/>
        <v>6.438385588235296</v>
      </c>
      <c r="Q30" s="39">
        <f>COUNTIF(Vertices[PageRank],"&gt;= "&amp;P30)-COUNTIF(Vertices[PageRank],"&gt;="&amp;P31)</f>
        <v>0</v>
      </c>
      <c r="R30" s="38">
        <f t="shared" si="8"/>
        <v>0.823529411764706</v>
      </c>
      <c r="S30" s="44">
        <f>COUNTIF(Vertices[Clustering Coefficient],"&gt;= "&amp;R30)-COUNTIF(Vertices[Clustering Coefficient],"&gt;="&amp;R31)</f>
        <v>6</v>
      </c>
      <c r="T30" s="38" t="e">
        <f ca="1" t="shared" si="9"/>
        <v>#REF!</v>
      </c>
      <c r="U30" s="39" t="e">
        <f ca="1" t="shared" si="10"/>
        <v>#REF!</v>
      </c>
    </row>
    <row r="31" spans="1:21" ht="15">
      <c r="A31" s="35" t="s">
        <v>1190</v>
      </c>
      <c r="B31" s="35" t="s">
        <v>1230</v>
      </c>
      <c r="D31" s="33">
        <f t="shared" si="1"/>
        <v>0</v>
      </c>
      <c r="E31" s="3">
        <f>COUNTIF(Vertices[Degree],"&gt;= "&amp;D31)-COUNTIF(Vertices[Degree],"&gt;="&amp;D32)</f>
        <v>0</v>
      </c>
      <c r="F31" s="40">
        <f t="shared" si="2"/>
        <v>29</v>
      </c>
      <c r="G31" s="41">
        <f>COUNTIF(Vertices[In-Degree],"&gt;= "&amp;F31)-COUNTIF(Vertices[In-Degree],"&gt;="&amp;F32)</f>
        <v>0</v>
      </c>
      <c r="H31" s="40">
        <f t="shared" si="3"/>
        <v>5.117647058823529</v>
      </c>
      <c r="I31" s="41">
        <f>COUNTIF(Vertices[Out-Degree],"&gt;= "&amp;H31)-COUNTIF(Vertices[Out-Degree],"&gt;="&amp;H32)</f>
        <v>0</v>
      </c>
      <c r="J31" s="40">
        <f t="shared" si="4"/>
        <v>980.5980395000003</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0.07911541176470592</v>
      </c>
      <c r="O31" s="41">
        <f>COUNTIF(Vertices[Eigenvector Centrality],"&gt;= "&amp;N31)-COUNTIF(Vertices[Eigenvector Centrality],"&gt;="&amp;N32)</f>
        <v>0</v>
      </c>
      <c r="P31" s="40">
        <f t="shared" si="7"/>
        <v>6.656144323529414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1191</v>
      </c>
      <c r="B32" s="35" t="s">
        <v>1231</v>
      </c>
      <c r="D32" s="33">
        <f t="shared" si="1"/>
        <v>0</v>
      </c>
      <c r="E32" s="3">
        <f>COUNTIF(Vertices[Degree],"&gt;= "&amp;D32)-COUNTIF(Vertices[Degree],"&gt;="&amp;D33)</f>
        <v>0</v>
      </c>
      <c r="F32" s="38">
        <f t="shared" si="2"/>
        <v>30</v>
      </c>
      <c r="G32" s="39">
        <f>COUNTIF(Vertices[In-Degree],"&gt;= "&amp;F32)-COUNTIF(Vertices[In-Degree],"&gt;="&amp;F33)</f>
        <v>0</v>
      </c>
      <c r="H32" s="38">
        <f t="shared" si="3"/>
        <v>5.294117647058823</v>
      </c>
      <c r="I32" s="39">
        <f>COUNTIF(Vertices[Out-Degree],"&gt;= "&amp;H32)-COUNTIF(Vertices[Out-Degree],"&gt;="&amp;H33)</f>
        <v>0</v>
      </c>
      <c r="J32" s="38">
        <f t="shared" si="4"/>
        <v>1014.4117650000003</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0.08184352941176475</v>
      </c>
      <c r="O32" s="39">
        <f>COUNTIF(Vertices[Eigenvector Centrality],"&gt;= "&amp;N32)-COUNTIF(Vertices[Eigenvector Centrality],"&gt;="&amp;N33)</f>
        <v>0</v>
      </c>
      <c r="P32" s="38">
        <f t="shared" si="7"/>
        <v>6.873903058823532</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409.5">
      <c r="A33" s="35" t="s">
        <v>1192</v>
      </c>
      <c r="B33" s="54" t="s">
        <v>1232</v>
      </c>
      <c r="D33" s="33">
        <f t="shared" si="1"/>
        <v>0</v>
      </c>
      <c r="E33" s="3">
        <f>COUNTIF(Vertices[Degree],"&gt;= "&amp;D33)-COUNTIF(Vertices[Degree],"&gt;="&amp;D34)</f>
        <v>0</v>
      </c>
      <c r="F33" s="40">
        <f t="shared" si="2"/>
        <v>31</v>
      </c>
      <c r="G33" s="41">
        <f>COUNTIF(Vertices[In-Degree],"&gt;= "&amp;F33)-COUNTIF(Vertices[In-Degree],"&gt;="&amp;F34)</f>
        <v>1</v>
      </c>
      <c r="H33" s="40">
        <f t="shared" si="3"/>
        <v>5.470588235294118</v>
      </c>
      <c r="I33" s="41">
        <f>COUNTIF(Vertices[Out-Degree],"&gt;= "&amp;H33)-COUNTIF(Vertices[Out-Degree],"&gt;="&amp;H34)</f>
        <v>0</v>
      </c>
      <c r="J33" s="40">
        <f t="shared" si="4"/>
        <v>1048.2254905000002</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0.08457164705882357</v>
      </c>
      <c r="O33" s="41">
        <f>COUNTIF(Vertices[Eigenvector Centrality],"&gt;= "&amp;N33)-COUNTIF(Vertices[Eigenvector Centrality],"&gt;="&amp;N34)</f>
        <v>0</v>
      </c>
      <c r="P33" s="40">
        <f t="shared" si="7"/>
        <v>7.09166179411765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1193</v>
      </c>
      <c r="B34" s="35" t="s">
        <v>1233</v>
      </c>
      <c r="D34" s="33">
        <f t="shared" si="1"/>
        <v>0</v>
      </c>
      <c r="E34" s="3">
        <f>COUNTIF(Vertices[Degree],"&gt;= "&amp;D34)-COUNTIF(Vertices[Degree],"&gt;="&amp;D35)</f>
        <v>0</v>
      </c>
      <c r="F34" s="38">
        <f t="shared" si="2"/>
        <v>32</v>
      </c>
      <c r="G34" s="39">
        <f>COUNTIF(Vertices[In-Degree],"&gt;= "&amp;F34)-COUNTIF(Vertices[In-Degree],"&gt;="&amp;F35)</f>
        <v>0</v>
      </c>
      <c r="H34" s="38">
        <f t="shared" si="3"/>
        <v>5.647058823529412</v>
      </c>
      <c r="I34" s="39">
        <f>COUNTIF(Vertices[Out-Degree],"&gt;= "&amp;H34)-COUNTIF(Vertices[Out-Degree],"&gt;="&amp;H35)</f>
        <v>0</v>
      </c>
      <c r="J34" s="38">
        <f t="shared" si="4"/>
        <v>1082.0392160000001</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0.0872997647058824</v>
      </c>
      <c r="O34" s="39">
        <f>COUNTIF(Vertices[Eigenvector Centrality],"&gt;= "&amp;N34)-COUNTIF(Vertices[Eigenvector Centrality],"&gt;="&amp;N35)</f>
        <v>1</v>
      </c>
      <c r="P34" s="38">
        <f t="shared" si="7"/>
        <v>7.309420529411768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1194</v>
      </c>
      <c r="B35" s="35" t="s">
        <v>1234</v>
      </c>
      <c r="D35" s="33">
        <f t="shared" si="1"/>
        <v>0</v>
      </c>
      <c r="E35" s="3">
        <f>COUNTIF(Vertices[Degree],"&gt;= "&amp;D35)-COUNTIF(Vertices[Degree],"&gt;="&amp;D36)</f>
        <v>0</v>
      </c>
      <c r="F35" s="40">
        <f t="shared" si="2"/>
        <v>33</v>
      </c>
      <c r="G35" s="41">
        <f>COUNTIF(Vertices[In-Degree],"&gt;= "&amp;F35)-COUNTIF(Vertices[In-Degree],"&gt;="&amp;F36)</f>
        <v>0</v>
      </c>
      <c r="H35" s="40">
        <f t="shared" si="3"/>
        <v>5.8235294117647065</v>
      </c>
      <c r="I35" s="41">
        <f>COUNTIF(Vertices[Out-Degree],"&gt;= "&amp;H35)-COUNTIF(Vertices[Out-Degree],"&gt;="&amp;H36)</f>
        <v>0</v>
      </c>
      <c r="J35" s="40">
        <f t="shared" si="4"/>
        <v>1115.8529415</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0.09002788235294122</v>
      </c>
      <c r="O35" s="41">
        <f>COUNTIF(Vertices[Eigenvector Centrality],"&gt;= "&amp;N35)-COUNTIF(Vertices[Eigenvector Centrality],"&gt;="&amp;N36)</f>
        <v>0</v>
      </c>
      <c r="P35" s="40">
        <f t="shared" si="7"/>
        <v>7.527179264705886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1195</v>
      </c>
      <c r="B36" s="35" t="s">
        <v>787</v>
      </c>
      <c r="D36" s="33">
        <f>MAX(Vertices[Degree])</f>
        <v>0</v>
      </c>
      <c r="E36" s="3">
        <f>COUNTIF(Vertices[Degree],"&gt;= "&amp;D36)-COUNTIF(Vertices[Degree],"&gt;="&amp;#REF!)</f>
        <v>0</v>
      </c>
      <c r="F36" s="42">
        <f>MAX(Vertices[In-Degree])</f>
        <v>34</v>
      </c>
      <c r="G36" s="43">
        <f>COUNTIF(Vertices[In-Degree],"&gt;= "&amp;F36)-COUNTIF(Vertices[In-Degree],"&gt;="&amp;#REF!)</f>
        <v>1</v>
      </c>
      <c r="H36" s="42">
        <f>MAX(Vertices[Out-Degree])</f>
        <v>6</v>
      </c>
      <c r="I36" s="43">
        <f>COUNTIF(Vertices[Out-Degree],"&gt;= "&amp;H36)-COUNTIF(Vertices[Out-Degree],"&gt;="&amp;#REF!)</f>
        <v>1</v>
      </c>
      <c r="J36" s="42">
        <f>MAX(Vertices[Betweenness Centrality])</f>
        <v>1149.666667</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0.092756</v>
      </c>
      <c r="O36" s="43">
        <f>COUNTIF(Vertices[Eigenvector Centrality],"&gt;= "&amp;N36)-COUNTIF(Vertices[Eigenvector Centrality],"&gt;="&amp;#REF!)</f>
        <v>1</v>
      </c>
      <c r="P36" s="42">
        <f>MAX(Vertices[PageRank])</f>
        <v>7.744938</v>
      </c>
      <c r="Q36" s="43">
        <f>COUNTIF(Vertices[PageRank],"&gt;= "&amp;P36)-COUNTIF(Vertices[PageRank],"&gt;="&amp;#REF!)</f>
        <v>1</v>
      </c>
      <c r="R36" s="42">
        <f>MAX(Vertices[Clustering Coefficient])</f>
        <v>1</v>
      </c>
      <c r="S36" s="46">
        <f>COUNTIF(Vertices[Clustering Coefficient],"&gt;= "&amp;R36)-COUNTIF(Vertices[Clustering Coefficient],"&gt;="&amp;#REF!)</f>
        <v>21</v>
      </c>
      <c r="T36" s="42" t="e">
        <f ca="1">MAX(INDIRECT(DynamicFilterSourceColumnRange))</f>
        <v>#REF!</v>
      </c>
      <c r="U36" s="43" t="e">
        <f ca="1">COUNTIF(INDIRECT(DynamicFilterSourceColumnRange),"&gt;= "&amp;T36)-COUNTIF(INDIRECT(DynamicFilterSourceColumnRange),"&gt;="&amp;#REF!)</f>
        <v>#REF!</v>
      </c>
    </row>
    <row r="37" spans="1:2" ht="15">
      <c r="A37" s="35" t="s">
        <v>1196</v>
      </c>
      <c r="B37" s="35" t="s">
        <v>787</v>
      </c>
    </row>
    <row r="38" spans="1:2" ht="15">
      <c r="A38" s="35" t="s">
        <v>1197</v>
      </c>
      <c r="B38" s="35" t="s">
        <v>787</v>
      </c>
    </row>
    <row r="39" spans="1:2" ht="15">
      <c r="A39" s="35" t="s">
        <v>1198</v>
      </c>
      <c r="B39" s="35" t="s">
        <v>479</v>
      </c>
    </row>
    <row r="40" spans="1:2" ht="15">
      <c r="A40" s="35" t="s">
        <v>21</v>
      </c>
      <c r="B40" s="35"/>
    </row>
    <row r="41" spans="1:2" ht="15">
      <c r="A41" s="35" t="s">
        <v>1199</v>
      </c>
      <c r="B41" s="35" t="s">
        <v>479</v>
      </c>
    </row>
    <row r="42" spans="1:2" ht="15">
      <c r="A42" s="35" t="s">
        <v>1200</v>
      </c>
      <c r="B42" s="35"/>
    </row>
    <row r="43" spans="1:2" ht="15">
      <c r="A43" s="35" t="s">
        <v>1201</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1.8571428571428572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1.8571428571428572</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1149.666667</v>
      </c>
    </row>
    <row r="111" spans="1:2" ht="15">
      <c r="A111" s="34" t="s">
        <v>102</v>
      </c>
      <c r="B111" s="48">
        <f>_xlfn.IFERROR(AVERAGE(Vertices[Betweenness Centrality]),NoMetricMessage)</f>
        <v>41.14285715873016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0.037429698412698414</v>
      </c>
    </row>
    <row r="126" spans="1:2" ht="15">
      <c r="A126" s="34" t="s">
        <v>109</v>
      </c>
      <c r="B126" s="48">
        <f>_xlfn.IFERROR(MEDIAN(Vertices[Closeness Centrality]),NoMetricMessage)</f>
        <v>0.010526</v>
      </c>
    </row>
    <row r="137" spans="1:2" ht="15">
      <c r="A137" s="34" t="s">
        <v>112</v>
      </c>
      <c r="B137" s="48">
        <f>IF(COUNT(Vertices[Eigenvector Centrality])&gt;0,N2,NoMetricMessage)</f>
        <v>0</v>
      </c>
    </row>
    <row r="138" spans="1:2" ht="15">
      <c r="A138" s="34" t="s">
        <v>113</v>
      </c>
      <c r="B138" s="48">
        <f>IF(COUNT(Vertices[Eigenvector Centrality])&gt;0,N36,NoMetricMessage)</f>
        <v>0.092756</v>
      </c>
    </row>
    <row r="139" spans="1:2" ht="15">
      <c r="A139" s="34" t="s">
        <v>114</v>
      </c>
      <c r="B139" s="48">
        <f>_xlfn.IFERROR(AVERAGE(Vertices[Eigenvector Centrality]),NoMetricMessage)</f>
        <v>0.015872968253968257</v>
      </c>
    </row>
    <row r="140" spans="1:2" ht="15">
      <c r="A140" s="34" t="s">
        <v>115</v>
      </c>
      <c r="B140" s="48">
        <f>_xlfn.IFERROR(MEDIAN(Vertices[Eigenvector Centrality]),NoMetricMessage)</f>
        <v>0.013515</v>
      </c>
    </row>
    <row r="151" spans="1:2" ht="15">
      <c r="A151" s="34" t="s">
        <v>140</v>
      </c>
      <c r="B151" s="48">
        <f>IF(COUNT(Vertices[PageRank])&gt;0,P2,NoMetricMessage)</f>
        <v>0.341141</v>
      </c>
    </row>
    <row r="152" spans="1:2" ht="15">
      <c r="A152" s="34" t="s">
        <v>141</v>
      </c>
      <c r="B152" s="48">
        <f>IF(COUNT(Vertices[PageRank])&gt;0,P36,NoMetricMessage)</f>
        <v>7.744938</v>
      </c>
    </row>
    <row r="153" spans="1:2" ht="15">
      <c r="A153" s="34" t="s">
        <v>142</v>
      </c>
      <c r="B153" s="48">
        <f>_xlfn.IFERROR(AVERAGE(Vertices[PageRank]),NoMetricMessage)</f>
        <v>0.9999919206349205</v>
      </c>
    </row>
    <row r="154" spans="1:2" ht="15">
      <c r="A154" s="34" t="s">
        <v>143</v>
      </c>
      <c r="B154" s="48">
        <f>_xlfn.IFERROR(MEDIAN(Vertices[PageRank]),NoMetricMessage)</f>
        <v>0.617112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0.5066624760037607</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1229</v>
      </c>
    </row>
    <row r="22" spans="4:11" ht="409.5">
      <c r="D22">
        <v>10</v>
      </c>
      <c r="J22" t="s">
        <v>189</v>
      </c>
      <c r="K22" s="13" t="s">
        <v>190</v>
      </c>
    </row>
    <row r="23" spans="4:11" ht="15">
      <c r="D23">
        <v>11</v>
      </c>
      <c r="J23" t="s">
        <v>191</v>
      </c>
      <c r="K23">
        <v>18</v>
      </c>
    </row>
    <row r="24" spans="10:11" ht="15">
      <c r="J24" t="s">
        <v>209</v>
      </c>
      <c r="K24" t="s">
        <v>1226</v>
      </c>
    </row>
    <row r="25" spans="10:11" ht="409.5">
      <c r="J25" t="s">
        <v>210</v>
      </c>
      <c r="K25" s="13" t="s">
        <v>1228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04093-BC09-4F1E-B5D2-1DC16A93DBAA}">
  <dimension ref="A1:R77"/>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 min="15" max="15" width="29.57421875" style="0" customWidth="1"/>
    <col min="16" max="16" width="10.00390625" style="0" bestFit="1" customWidth="1"/>
    <col min="17" max="17" width="29.57421875" style="0" customWidth="1"/>
    <col min="18" max="18" width="10.00390625" style="0" bestFit="1" customWidth="1"/>
  </cols>
  <sheetData>
    <row r="1" spans="1:18" ht="15" customHeight="1">
      <c r="A1" s="13" t="s">
        <v>808</v>
      </c>
      <c r="B1" s="13" t="s">
        <v>813</v>
      </c>
      <c r="C1" s="13" t="s">
        <v>814</v>
      </c>
      <c r="D1" s="13" t="s">
        <v>816</v>
      </c>
      <c r="E1" s="13" t="s">
        <v>815</v>
      </c>
      <c r="F1" s="13" t="s">
        <v>818</v>
      </c>
      <c r="G1" s="13" t="s">
        <v>817</v>
      </c>
      <c r="H1" s="13" t="s">
        <v>820</v>
      </c>
      <c r="I1" s="13" t="s">
        <v>819</v>
      </c>
      <c r="J1" s="13" t="s">
        <v>822</v>
      </c>
      <c r="K1" s="13" t="s">
        <v>821</v>
      </c>
      <c r="L1" s="13" t="s">
        <v>824</v>
      </c>
      <c r="M1" s="13" t="s">
        <v>823</v>
      </c>
      <c r="N1" s="13" t="s">
        <v>826</v>
      </c>
      <c r="O1" s="13" t="s">
        <v>825</v>
      </c>
      <c r="P1" s="13" t="s">
        <v>828</v>
      </c>
      <c r="Q1" s="13" t="s">
        <v>827</v>
      </c>
      <c r="R1" s="13" t="s">
        <v>829</v>
      </c>
    </row>
    <row r="2" spans="1:18" ht="15">
      <c r="A2" s="85" t="s">
        <v>809</v>
      </c>
      <c r="B2" s="80">
        <v>41</v>
      </c>
      <c r="C2" s="85" t="s">
        <v>810</v>
      </c>
      <c r="D2" s="80">
        <v>10</v>
      </c>
      <c r="E2" s="85" t="s">
        <v>809</v>
      </c>
      <c r="F2" s="80">
        <v>10</v>
      </c>
      <c r="G2" s="85" t="s">
        <v>809</v>
      </c>
      <c r="H2" s="80">
        <v>1</v>
      </c>
      <c r="I2" s="85" t="s">
        <v>809</v>
      </c>
      <c r="J2" s="80">
        <v>5</v>
      </c>
      <c r="K2" s="85" t="s">
        <v>811</v>
      </c>
      <c r="L2" s="80">
        <v>4</v>
      </c>
      <c r="M2" s="85" t="s">
        <v>809</v>
      </c>
      <c r="N2" s="80">
        <v>4</v>
      </c>
      <c r="O2" s="85" t="s">
        <v>809</v>
      </c>
      <c r="P2" s="80">
        <v>1</v>
      </c>
      <c r="Q2" s="85" t="s">
        <v>809</v>
      </c>
      <c r="R2" s="80">
        <v>7</v>
      </c>
    </row>
    <row r="3" spans="1:18" ht="15">
      <c r="A3" s="84" t="s">
        <v>810</v>
      </c>
      <c r="B3" s="80">
        <v>17</v>
      </c>
      <c r="C3" s="85" t="s">
        <v>809</v>
      </c>
      <c r="D3" s="80">
        <v>9</v>
      </c>
      <c r="E3" s="85" t="s">
        <v>810</v>
      </c>
      <c r="F3" s="80">
        <v>7</v>
      </c>
      <c r="G3" s="80"/>
      <c r="H3" s="80"/>
      <c r="I3" s="85" t="s">
        <v>812</v>
      </c>
      <c r="J3" s="80">
        <v>1</v>
      </c>
      <c r="K3" s="85" t="s">
        <v>809</v>
      </c>
      <c r="L3" s="80">
        <v>4</v>
      </c>
      <c r="M3" s="80"/>
      <c r="N3" s="80"/>
      <c r="O3" s="80"/>
      <c r="P3" s="80"/>
      <c r="Q3" s="80"/>
      <c r="R3" s="80"/>
    </row>
    <row r="4" spans="1:18" ht="15">
      <c r="A4" s="84" t="s">
        <v>811</v>
      </c>
      <c r="B4" s="80">
        <v>4</v>
      </c>
      <c r="C4" s="80"/>
      <c r="D4" s="80"/>
      <c r="E4" s="80"/>
      <c r="F4" s="80"/>
      <c r="G4" s="80"/>
      <c r="H4" s="80"/>
      <c r="I4" s="80"/>
      <c r="J4" s="80"/>
      <c r="K4" s="80"/>
      <c r="L4" s="80"/>
      <c r="M4" s="80"/>
      <c r="N4" s="80"/>
      <c r="O4" s="80"/>
      <c r="P4" s="80"/>
      <c r="Q4" s="80"/>
      <c r="R4" s="80"/>
    </row>
    <row r="5" spans="1:18" ht="15">
      <c r="A5" s="84" t="s">
        <v>812</v>
      </c>
      <c r="B5" s="80">
        <v>1</v>
      </c>
      <c r="C5" s="80"/>
      <c r="D5" s="80"/>
      <c r="E5" s="80"/>
      <c r="F5" s="80"/>
      <c r="G5" s="80"/>
      <c r="H5" s="80"/>
      <c r="I5" s="80"/>
      <c r="J5" s="80"/>
      <c r="K5" s="80"/>
      <c r="L5" s="80"/>
      <c r="M5" s="80"/>
      <c r="N5" s="80"/>
      <c r="O5" s="80"/>
      <c r="P5" s="80"/>
      <c r="Q5" s="80"/>
      <c r="R5" s="80"/>
    </row>
    <row r="8" spans="1:18" ht="15" customHeight="1">
      <c r="A8" s="13" t="s">
        <v>834</v>
      </c>
      <c r="B8" s="13" t="s">
        <v>813</v>
      </c>
      <c r="C8" s="13" t="s">
        <v>835</v>
      </c>
      <c r="D8" s="13" t="s">
        <v>816</v>
      </c>
      <c r="E8" s="13" t="s">
        <v>836</v>
      </c>
      <c r="F8" s="13" t="s">
        <v>818</v>
      </c>
      <c r="G8" s="13" t="s">
        <v>837</v>
      </c>
      <c r="H8" s="13" t="s">
        <v>820</v>
      </c>
      <c r="I8" s="13" t="s">
        <v>838</v>
      </c>
      <c r="J8" s="13" t="s">
        <v>822</v>
      </c>
      <c r="K8" s="13" t="s">
        <v>839</v>
      </c>
      <c r="L8" s="13" t="s">
        <v>824</v>
      </c>
      <c r="M8" s="13" t="s">
        <v>840</v>
      </c>
      <c r="N8" s="13" t="s">
        <v>826</v>
      </c>
      <c r="O8" s="13" t="s">
        <v>841</v>
      </c>
      <c r="P8" s="13" t="s">
        <v>828</v>
      </c>
      <c r="Q8" s="13" t="s">
        <v>842</v>
      </c>
      <c r="R8" s="13" t="s">
        <v>829</v>
      </c>
    </row>
    <row r="9" spans="1:18" ht="15">
      <c r="A9" s="80" t="s">
        <v>337</v>
      </c>
      <c r="B9" s="80">
        <v>63</v>
      </c>
      <c r="C9" s="80" t="s">
        <v>337</v>
      </c>
      <c r="D9" s="80">
        <v>19</v>
      </c>
      <c r="E9" s="80" t="s">
        <v>337</v>
      </c>
      <c r="F9" s="80">
        <v>17</v>
      </c>
      <c r="G9" s="80" t="s">
        <v>337</v>
      </c>
      <c r="H9" s="80">
        <v>1</v>
      </c>
      <c r="I9" s="80" t="s">
        <v>337</v>
      </c>
      <c r="J9" s="80">
        <v>6</v>
      </c>
      <c r="K9" s="80" t="s">
        <v>337</v>
      </c>
      <c r="L9" s="80">
        <v>8</v>
      </c>
      <c r="M9" s="80" t="s">
        <v>337</v>
      </c>
      <c r="N9" s="80">
        <v>4</v>
      </c>
      <c r="O9" s="80" t="s">
        <v>337</v>
      </c>
      <c r="P9" s="80">
        <v>1</v>
      </c>
      <c r="Q9" s="80" t="s">
        <v>337</v>
      </c>
      <c r="R9" s="80">
        <v>7</v>
      </c>
    </row>
    <row r="12" spans="1:18" ht="15" customHeight="1">
      <c r="A12" s="13" t="s">
        <v>844</v>
      </c>
      <c r="B12" s="13" t="s">
        <v>813</v>
      </c>
      <c r="C12" s="13" t="s">
        <v>849</v>
      </c>
      <c r="D12" s="13" t="s">
        <v>816</v>
      </c>
      <c r="E12" s="13" t="s">
        <v>850</v>
      </c>
      <c r="F12" s="13" t="s">
        <v>818</v>
      </c>
      <c r="G12" s="80" t="s">
        <v>851</v>
      </c>
      <c r="H12" s="80" t="s">
        <v>820</v>
      </c>
      <c r="I12" s="80" t="s">
        <v>852</v>
      </c>
      <c r="J12" s="80" t="s">
        <v>822</v>
      </c>
      <c r="K12" s="80" t="s">
        <v>853</v>
      </c>
      <c r="L12" s="80" t="s">
        <v>824</v>
      </c>
      <c r="M12" s="80" t="s">
        <v>854</v>
      </c>
      <c r="N12" s="80" t="s">
        <v>826</v>
      </c>
      <c r="O12" s="80" t="s">
        <v>855</v>
      </c>
      <c r="P12" s="80" t="s">
        <v>828</v>
      </c>
      <c r="Q12" s="13" t="s">
        <v>856</v>
      </c>
      <c r="R12" s="13" t="s">
        <v>829</v>
      </c>
    </row>
    <row r="13" spans="1:18" ht="15">
      <c r="A13" s="80" t="s">
        <v>339</v>
      </c>
      <c r="B13" s="80">
        <v>8</v>
      </c>
      <c r="C13" s="80" t="s">
        <v>339</v>
      </c>
      <c r="D13" s="80">
        <v>8</v>
      </c>
      <c r="E13" s="80" t="s">
        <v>340</v>
      </c>
      <c r="F13" s="80">
        <v>1</v>
      </c>
      <c r="G13" s="80"/>
      <c r="H13" s="80"/>
      <c r="I13" s="80"/>
      <c r="J13" s="80"/>
      <c r="K13" s="80"/>
      <c r="L13" s="80"/>
      <c r="M13" s="80"/>
      <c r="N13" s="80"/>
      <c r="O13" s="80"/>
      <c r="P13" s="80"/>
      <c r="Q13" s="80" t="s">
        <v>845</v>
      </c>
      <c r="R13" s="80">
        <v>7</v>
      </c>
    </row>
    <row r="14" spans="1:18" ht="15">
      <c r="A14" s="81" t="s">
        <v>845</v>
      </c>
      <c r="B14" s="80">
        <v>7</v>
      </c>
      <c r="C14" s="80"/>
      <c r="D14" s="80"/>
      <c r="E14" s="80"/>
      <c r="F14" s="80"/>
      <c r="G14" s="80"/>
      <c r="H14" s="80"/>
      <c r="I14" s="80"/>
      <c r="J14" s="80"/>
      <c r="K14" s="80"/>
      <c r="L14" s="80"/>
      <c r="M14" s="80"/>
      <c r="N14" s="80"/>
      <c r="O14" s="80"/>
      <c r="P14" s="80"/>
      <c r="Q14" s="80" t="s">
        <v>846</v>
      </c>
      <c r="R14" s="80">
        <v>7</v>
      </c>
    </row>
    <row r="15" spans="1:18" ht="15">
      <c r="A15" s="81" t="s">
        <v>846</v>
      </c>
      <c r="B15" s="80">
        <v>7</v>
      </c>
      <c r="C15" s="80"/>
      <c r="D15" s="80"/>
      <c r="E15" s="80"/>
      <c r="F15" s="80"/>
      <c r="G15" s="80"/>
      <c r="H15" s="80"/>
      <c r="I15" s="80"/>
      <c r="J15" s="80"/>
      <c r="K15" s="80"/>
      <c r="L15" s="80"/>
      <c r="M15" s="80"/>
      <c r="N15" s="80"/>
      <c r="O15" s="80"/>
      <c r="P15" s="80"/>
      <c r="Q15" s="80" t="s">
        <v>847</v>
      </c>
      <c r="R15" s="80">
        <v>7</v>
      </c>
    </row>
    <row r="16" spans="1:18" ht="15">
      <c r="A16" s="81" t="s">
        <v>847</v>
      </c>
      <c r="B16" s="80">
        <v>7</v>
      </c>
      <c r="C16" s="80"/>
      <c r="D16" s="80"/>
      <c r="E16" s="80"/>
      <c r="F16" s="80"/>
      <c r="G16" s="80"/>
      <c r="H16" s="80"/>
      <c r="I16" s="80"/>
      <c r="J16" s="80"/>
      <c r="K16" s="80"/>
      <c r="L16" s="80"/>
      <c r="M16" s="80"/>
      <c r="N16" s="80"/>
      <c r="O16" s="80"/>
      <c r="P16" s="80"/>
      <c r="Q16" s="80" t="s">
        <v>848</v>
      </c>
      <c r="R16" s="80">
        <v>7</v>
      </c>
    </row>
    <row r="17" spans="1:18" ht="15">
      <c r="A17" s="81" t="s">
        <v>848</v>
      </c>
      <c r="B17" s="80">
        <v>7</v>
      </c>
      <c r="C17" s="80"/>
      <c r="D17" s="80"/>
      <c r="E17" s="80"/>
      <c r="F17" s="80"/>
      <c r="G17" s="80"/>
      <c r="H17" s="80"/>
      <c r="I17" s="80"/>
      <c r="J17" s="80"/>
      <c r="K17" s="80"/>
      <c r="L17" s="80"/>
      <c r="M17" s="80"/>
      <c r="N17" s="80"/>
      <c r="O17" s="80"/>
      <c r="P17" s="80"/>
      <c r="Q17" s="80"/>
      <c r="R17" s="80"/>
    </row>
    <row r="18" spans="1:18" ht="15">
      <c r="A18" s="81" t="s">
        <v>340</v>
      </c>
      <c r="B18" s="80">
        <v>1</v>
      </c>
      <c r="C18" s="80"/>
      <c r="D18" s="80"/>
      <c r="E18" s="80"/>
      <c r="F18" s="80"/>
      <c r="G18" s="80"/>
      <c r="H18" s="80"/>
      <c r="I18" s="80"/>
      <c r="J18" s="80"/>
      <c r="K18" s="80"/>
      <c r="L18" s="80"/>
      <c r="M18" s="80"/>
      <c r="N18" s="80"/>
      <c r="O18" s="80"/>
      <c r="P18" s="80"/>
      <c r="Q18" s="80"/>
      <c r="R18" s="80"/>
    </row>
    <row r="21" spans="1:18" ht="15" customHeight="1">
      <c r="A21" s="13" t="s">
        <v>858</v>
      </c>
      <c r="B21" s="13" t="s">
        <v>813</v>
      </c>
      <c r="C21" s="13" t="s">
        <v>867</v>
      </c>
      <c r="D21" s="13" t="s">
        <v>816</v>
      </c>
      <c r="E21" s="13" t="s">
        <v>872</v>
      </c>
      <c r="F21" s="13" t="s">
        <v>818</v>
      </c>
      <c r="G21" s="80" t="s">
        <v>875</v>
      </c>
      <c r="H21" s="80" t="s">
        <v>820</v>
      </c>
      <c r="I21" s="13" t="s">
        <v>876</v>
      </c>
      <c r="J21" s="13" t="s">
        <v>822</v>
      </c>
      <c r="K21" s="13" t="s">
        <v>879</v>
      </c>
      <c r="L21" s="13" t="s">
        <v>824</v>
      </c>
      <c r="M21" s="13" t="s">
        <v>889</v>
      </c>
      <c r="N21" s="13" t="s">
        <v>826</v>
      </c>
      <c r="O21" s="13" t="s">
        <v>897</v>
      </c>
      <c r="P21" s="13" t="s">
        <v>828</v>
      </c>
      <c r="Q21" s="13" t="s">
        <v>898</v>
      </c>
      <c r="R21" s="13" t="s">
        <v>829</v>
      </c>
    </row>
    <row r="22" spans="1:18" ht="15">
      <c r="A22" s="89" t="s">
        <v>289</v>
      </c>
      <c r="B22" s="89">
        <v>39</v>
      </c>
      <c r="C22" s="89" t="s">
        <v>859</v>
      </c>
      <c r="D22" s="89">
        <v>19</v>
      </c>
      <c r="E22" s="89" t="s">
        <v>861</v>
      </c>
      <c r="F22" s="89">
        <v>14</v>
      </c>
      <c r="G22" s="89"/>
      <c r="H22" s="89"/>
      <c r="I22" s="89" t="s">
        <v>863</v>
      </c>
      <c r="J22" s="89">
        <v>3</v>
      </c>
      <c r="K22" s="89" t="s">
        <v>880</v>
      </c>
      <c r="L22" s="89">
        <v>4</v>
      </c>
      <c r="M22" s="89" t="s">
        <v>307</v>
      </c>
      <c r="N22" s="89">
        <v>4</v>
      </c>
      <c r="O22" s="89" t="s">
        <v>289</v>
      </c>
      <c r="P22" s="89">
        <v>2</v>
      </c>
      <c r="Q22" s="89" t="s">
        <v>863</v>
      </c>
      <c r="R22" s="89">
        <v>7</v>
      </c>
    </row>
    <row r="23" spans="1:18" ht="15">
      <c r="A23" s="86" t="s">
        <v>859</v>
      </c>
      <c r="B23" s="89">
        <v>32</v>
      </c>
      <c r="C23" s="89" t="s">
        <v>289</v>
      </c>
      <c r="D23" s="89">
        <v>19</v>
      </c>
      <c r="E23" s="89" t="s">
        <v>862</v>
      </c>
      <c r="F23" s="89">
        <v>14</v>
      </c>
      <c r="G23" s="89"/>
      <c r="H23" s="89"/>
      <c r="I23" s="89" t="s">
        <v>864</v>
      </c>
      <c r="J23" s="89">
        <v>3</v>
      </c>
      <c r="K23" s="89" t="s">
        <v>881</v>
      </c>
      <c r="L23" s="89">
        <v>4</v>
      </c>
      <c r="M23" s="89" t="s">
        <v>289</v>
      </c>
      <c r="N23" s="89">
        <v>4</v>
      </c>
      <c r="O23" s="89"/>
      <c r="P23" s="89"/>
      <c r="Q23" s="89" t="s">
        <v>864</v>
      </c>
      <c r="R23" s="89">
        <v>7</v>
      </c>
    </row>
    <row r="24" spans="1:18" ht="15">
      <c r="A24" s="86" t="s">
        <v>860</v>
      </c>
      <c r="B24" s="89">
        <v>29</v>
      </c>
      <c r="C24" s="89" t="s">
        <v>860</v>
      </c>
      <c r="D24" s="89">
        <v>18</v>
      </c>
      <c r="E24" s="89" t="s">
        <v>289</v>
      </c>
      <c r="F24" s="89">
        <v>14</v>
      </c>
      <c r="G24" s="89"/>
      <c r="H24" s="89"/>
      <c r="I24" s="89" t="s">
        <v>865</v>
      </c>
      <c r="J24" s="89">
        <v>3</v>
      </c>
      <c r="K24" s="89" t="s">
        <v>882</v>
      </c>
      <c r="L24" s="89">
        <v>4</v>
      </c>
      <c r="M24" s="89" t="s">
        <v>292</v>
      </c>
      <c r="N24" s="89">
        <v>2</v>
      </c>
      <c r="O24" s="89"/>
      <c r="P24" s="89"/>
      <c r="Q24" s="89" t="s">
        <v>865</v>
      </c>
      <c r="R24" s="89">
        <v>7</v>
      </c>
    </row>
    <row r="25" spans="1:18" ht="15">
      <c r="A25" s="86" t="s">
        <v>861</v>
      </c>
      <c r="B25" s="89">
        <v>25</v>
      </c>
      <c r="C25" s="89" t="s">
        <v>861</v>
      </c>
      <c r="D25" s="89">
        <v>11</v>
      </c>
      <c r="E25" s="89" t="s">
        <v>859</v>
      </c>
      <c r="F25" s="89">
        <v>13</v>
      </c>
      <c r="G25" s="89"/>
      <c r="H25" s="89"/>
      <c r="I25" s="89" t="s">
        <v>846</v>
      </c>
      <c r="J25" s="89">
        <v>3</v>
      </c>
      <c r="K25" s="89" t="s">
        <v>306</v>
      </c>
      <c r="L25" s="89">
        <v>4</v>
      </c>
      <c r="M25" s="89" t="s">
        <v>890</v>
      </c>
      <c r="N25" s="89">
        <v>2</v>
      </c>
      <c r="O25" s="89"/>
      <c r="P25" s="89"/>
      <c r="Q25" s="89" t="s">
        <v>846</v>
      </c>
      <c r="R25" s="89">
        <v>7</v>
      </c>
    </row>
    <row r="26" spans="1:18" ht="15">
      <c r="A26" s="86" t="s">
        <v>862</v>
      </c>
      <c r="B26" s="89">
        <v>25</v>
      </c>
      <c r="C26" s="89" t="s">
        <v>862</v>
      </c>
      <c r="D26" s="89">
        <v>11</v>
      </c>
      <c r="E26" s="89" t="s">
        <v>860</v>
      </c>
      <c r="F26" s="89">
        <v>11</v>
      </c>
      <c r="G26" s="89"/>
      <c r="H26" s="89"/>
      <c r="I26" s="89" t="s">
        <v>877</v>
      </c>
      <c r="J26" s="89">
        <v>3</v>
      </c>
      <c r="K26" s="89" t="s">
        <v>883</v>
      </c>
      <c r="L26" s="89">
        <v>4</v>
      </c>
      <c r="M26" s="89" t="s">
        <v>891</v>
      </c>
      <c r="N26" s="89">
        <v>2</v>
      </c>
      <c r="O26" s="89"/>
      <c r="P26" s="89"/>
      <c r="Q26" s="89" t="s">
        <v>877</v>
      </c>
      <c r="R26" s="89">
        <v>7</v>
      </c>
    </row>
    <row r="27" spans="1:18" ht="15">
      <c r="A27" s="86" t="s">
        <v>863</v>
      </c>
      <c r="B27" s="89">
        <v>18</v>
      </c>
      <c r="C27" s="89" t="s">
        <v>868</v>
      </c>
      <c r="D27" s="89">
        <v>9</v>
      </c>
      <c r="E27" s="89" t="s">
        <v>300</v>
      </c>
      <c r="F27" s="89">
        <v>10</v>
      </c>
      <c r="G27" s="89"/>
      <c r="H27" s="89"/>
      <c r="I27" s="89" t="s">
        <v>878</v>
      </c>
      <c r="J27" s="89">
        <v>2</v>
      </c>
      <c r="K27" s="89" t="s">
        <v>884</v>
      </c>
      <c r="L27" s="89">
        <v>4</v>
      </c>
      <c r="M27" s="89" t="s">
        <v>892</v>
      </c>
      <c r="N27" s="89">
        <v>2</v>
      </c>
      <c r="O27" s="89"/>
      <c r="P27" s="89"/>
      <c r="Q27" s="89" t="s">
        <v>899</v>
      </c>
      <c r="R27" s="89">
        <v>7</v>
      </c>
    </row>
    <row r="28" spans="1:18" ht="15">
      <c r="A28" s="86" t="s">
        <v>864</v>
      </c>
      <c r="B28" s="89">
        <v>18</v>
      </c>
      <c r="C28" s="89" t="s">
        <v>869</v>
      </c>
      <c r="D28" s="89">
        <v>9</v>
      </c>
      <c r="E28" s="89" t="s">
        <v>873</v>
      </c>
      <c r="F28" s="89">
        <v>7</v>
      </c>
      <c r="G28" s="89"/>
      <c r="H28" s="89"/>
      <c r="I28" s="89"/>
      <c r="J28" s="89"/>
      <c r="K28" s="89" t="s">
        <v>885</v>
      </c>
      <c r="L28" s="89">
        <v>4</v>
      </c>
      <c r="M28" s="89" t="s">
        <v>893</v>
      </c>
      <c r="N28" s="89">
        <v>2</v>
      </c>
      <c r="O28" s="89"/>
      <c r="P28" s="89"/>
      <c r="Q28" s="89" t="s">
        <v>900</v>
      </c>
      <c r="R28" s="89">
        <v>7</v>
      </c>
    </row>
    <row r="29" spans="1:18" ht="15">
      <c r="A29" s="86" t="s">
        <v>865</v>
      </c>
      <c r="B29" s="89">
        <v>18</v>
      </c>
      <c r="C29" s="89" t="s">
        <v>870</v>
      </c>
      <c r="D29" s="89">
        <v>9</v>
      </c>
      <c r="E29" s="89" t="s">
        <v>868</v>
      </c>
      <c r="F29" s="89">
        <v>7</v>
      </c>
      <c r="G29" s="89"/>
      <c r="H29" s="89"/>
      <c r="I29" s="89"/>
      <c r="J29" s="89"/>
      <c r="K29" s="89" t="s">
        <v>886</v>
      </c>
      <c r="L29" s="89">
        <v>4</v>
      </c>
      <c r="M29" s="89" t="s">
        <v>894</v>
      </c>
      <c r="N29" s="89">
        <v>2</v>
      </c>
      <c r="O29" s="89"/>
      <c r="P29" s="89"/>
      <c r="Q29" s="89" t="s">
        <v>901</v>
      </c>
      <c r="R29" s="89">
        <v>7</v>
      </c>
    </row>
    <row r="30" spans="1:18" ht="15">
      <c r="A30" s="86" t="s">
        <v>866</v>
      </c>
      <c r="B30" s="89">
        <v>17</v>
      </c>
      <c r="C30" s="89" t="s">
        <v>871</v>
      </c>
      <c r="D30" s="89">
        <v>9</v>
      </c>
      <c r="E30" s="89" t="s">
        <v>874</v>
      </c>
      <c r="F30" s="89">
        <v>7</v>
      </c>
      <c r="G30" s="89"/>
      <c r="H30" s="89"/>
      <c r="I30" s="89"/>
      <c r="J30" s="89"/>
      <c r="K30" s="89" t="s">
        <v>887</v>
      </c>
      <c r="L30" s="89">
        <v>4</v>
      </c>
      <c r="M30" s="89" t="s">
        <v>895</v>
      </c>
      <c r="N30" s="89">
        <v>2</v>
      </c>
      <c r="O30" s="89"/>
      <c r="P30" s="89"/>
      <c r="Q30" s="89" t="s">
        <v>902</v>
      </c>
      <c r="R30" s="89">
        <v>7</v>
      </c>
    </row>
    <row r="31" spans="1:18" ht="15">
      <c r="A31" s="86" t="s">
        <v>300</v>
      </c>
      <c r="B31" s="89">
        <v>16</v>
      </c>
      <c r="C31" s="89" t="s">
        <v>866</v>
      </c>
      <c r="D31" s="89">
        <v>9</v>
      </c>
      <c r="E31" s="89" t="s">
        <v>869</v>
      </c>
      <c r="F31" s="89">
        <v>7</v>
      </c>
      <c r="G31" s="89"/>
      <c r="H31" s="89"/>
      <c r="I31" s="89"/>
      <c r="J31" s="89"/>
      <c r="K31" s="89" t="s">
        <v>888</v>
      </c>
      <c r="L31" s="89">
        <v>4</v>
      </c>
      <c r="M31" s="89" t="s">
        <v>896</v>
      </c>
      <c r="N31" s="89">
        <v>2</v>
      </c>
      <c r="O31" s="89"/>
      <c r="P31" s="89"/>
      <c r="Q31" s="89"/>
      <c r="R31" s="89"/>
    </row>
    <row r="34" spans="1:18" ht="15" customHeight="1">
      <c r="A34" s="13" t="s">
        <v>910</v>
      </c>
      <c r="B34" s="13" t="s">
        <v>813</v>
      </c>
      <c r="C34" s="13" t="s">
        <v>921</v>
      </c>
      <c r="D34" s="13" t="s">
        <v>816</v>
      </c>
      <c r="E34" s="13" t="s">
        <v>924</v>
      </c>
      <c r="F34" s="13" t="s">
        <v>818</v>
      </c>
      <c r="G34" s="80" t="s">
        <v>931</v>
      </c>
      <c r="H34" s="80" t="s">
        <v>820</v>
      </c>
      <c r="I34" s="13" t="s">
        <v>932</v>
      </c>
      <c r="J34" s="13" t="s">
        <v>822</v>
      </c>
      <c r="K34" s="13" t="s">
        <v>936</v>
      </c>
      <c r="L34" s="13" t="s">
        <v>824</v>
      </c>
      <c r="M34" s="13" t="s">
        <v>947</v>
      </c>
      <c r="N34" s="13" t="s">
        <v>826</v>
      </c>
      <c r="O34" s="80" t="s">
        <v>958</v>
      </c>
      <c r="P34" s="80" t="s">
        <v>828</v>
      </c>
      <c r="Q34" s="13" t="s">
        <v>959</v>
      </c>
      <c r="R34" s="13" t="s">
        <v>829</v>
      </c>
    </row>
    <row r="35" spans="1:18" ht="15">
      <c r="A35" s="89" t="s">
        <v>911</v>
      </c>
      <c r="B35" s="89">
        <v>29</v>
      </c>
      <c r="C35" s="89" t="s">
        <v>911</v>
      </c>
      <c r="D35" s="89">
        <v>18</v>
      </c>
      <c r="E35" s="89" t="s">
        <v>912</v>
      </c>
      <c r="F35" s="89">
        <v>14</v>
      </c>
      <c r="G35" s="89"/>
      <c r="H35" s="89"/>
      <c r="I35" s="89" t="s">
        <v>914</v>
      </c>
      <c r="J35" s="89">
        <v>3</v>
      </c>
      <c r="K35" s="89" t="s">
        <v>937</v>
      </c>
      <c r="L35" s="89">
        <v>4</v>
      </c>
      <c r="M35" s="89" t="s">
        <v>948</v>
      </c>
      <c r="N35" s="89">
        <v>2</v>
      </c>
      <c r="O35" s="89"/>
      <c r="P35" s="89"/>
      <c r="Q35" s="89" t="s">
        <v>914</v>
      </c>
      <c r="R35" s="89">
        <v>7</v>
      </c>
    </row>
    <row r="36" spans="1:18" ht="15">
      <c r="A36" s="86" t="s">
        <v>912</v>
      </c>
      <c r="B36" s="89">
        <v>25</v>
      </c>
      <c r="C36" s="89" t="s">
        <v>912</v>
      </c>
      <c r="D36" s="89">
        <v>11</v>
      </c>
      <c r="E36" s="89" t="s">
        <v>913</v>
      </c>
      <c r="F36" s="89">
        <v>14</v>
      </c>
      <c r="G36" s="89"/>
      <c r="H36" s="89"/>
      <c r="I36" s="89" t="s">
        <v>915</v>
      </c>
      <c r="J36" s="89">
        <v>3</v>
      </c>
      <c r="K36" s="89" t="s">
        <v>938</v>
      </c>
      <c r="L36" s="89">
        <v>4</v>
      </c>
      <c r="M36" s="89" t="s">
        <v>949</v>
      </c>
      <c r="N36" s="89">
        <v>2</v>
      </c>
      <c r="O36" s="89"/>
      <c r="P36" s="89"/>
      <c r="Q36" s="89" t="s">
        <v>915</v>
      </c>
      <c r="R36" s="89">
        <v>7</v>
      </c>
    </row>
    <row r="37" spans="1:18" ht="15">
      <c r="A37" s="86" t="s">
        <v>913</v>
      </c>
      <c r="B37" s="89">
        <v>25</v>
      </c>
      <c r="C37" s="89" t="s">
        <v>913</v>
      </c>
      <c r="D37" s="89">
        <v>11</v>
      </c>
      <c r="E37" s="89" t="s">
        <v>911</v>
      </c>
      <c r="F37" s="89">
        <v>11</v>
      </c>
      <c r="G37" s="89"/>
      <c r="H37" s="89"/>
      <c r="I37" s="89" t="s">
        <v>933</v>
      </c>
      <c r="J37" s="89">
        <v>3</v>
      </c>
      <c r="K37" s="89" t="s">
        <v>939</v>
      </c>
      <c r="L37" s="89">
        <v>4</v>
      </c>
      <c r="M37" s="89" t="s">
        <v>950</v>
      </c>
      <c r="N37" s="89">
        <v>2</v>
      </c>
      <c r="O37" s="89"/>
      <c r="P37" s="89"/>
      <c r="Q37" s="89" t="s">
        <v>933</v>
      </c>
      <c r="R37" s="89">
        <v>7</v>
      </c>
    </row>
    <row r="38" spans="1:18" ht="15">
      <c r="A38" s="86" t="s">
        <v>914</v>
      </c>
      <c r="B38" s="89">
        <v>18</v>
      </c>
      <c r="C38" s="89" t="s">
        <v>916</v>
      </c>
      <c r="D38" s="89">
        <v>9</v>
      </c>
      <c r="E38" s="89" t="s">
        <v>925</v>
      </c>
      <c r="F38" s="89">
        <v>7</v>
      </c>
      <c r="G38" s="89"/>
      <c r="H38" s="89"/>
      <c r="I38" s="89" t="s">
        <v>934</v>
      </c>
      <c r="J38" s="89">
        <v>3</v>
      </c>
      <c r="K38" s="89" t="s">
        <v>940</v>
      </c>
      <c r="L38" s="89">
        <v>4</v>
      </c>
      <c r="M38" s="89" t="s">
        <v>951</v>
      </c>
      <c r="N38" s="89">
        <v>2</v>
      </c>
      <c r="O38" s="89"/>
      <c r="P38" s="89"/>
      <c r="Q38" s="89" t="s">
        <v>934</v>
      </c>
      <c r="R38" s="89">
        <v>7</v>
      </c>
    </row>
    <row r="39" spans="1:18" ht="15">
      <c r="A39" s="86" t="s">
        <v>915</v>
      </c>
      <c r="B39" s="89">
        <v>18</v>
      </c>
      <c r="C39" s="89" t="s">
        <v>917</v>
      </c>
      <c r="D39" s="89">
        <v>9</v>
      </c>
      <c r="E39" s="89" t="s">
        <v>926</v>
      </c>
      <c r="F39" s="89">
        <v>7</v>
      </c>
      <c r="G39" s="89"/>
      <c r="H39" s="89"/>
      <c r="I39" s="89" t="s">
        <v>935</v>
      </c>
      <c r="J39" s="89">
        <v>2</v>
      </c>
      <c r="K39" s="89" t="s">
        <v>941</v>
      </c>
      <c r="L39" s="89">
        <v>4</v>
      </c>
      <c r="M39" s="89" t="s">
        <v>952</v>
      </c>
      <c r="N39" s="89">
        <v>2</v>
      </c>
      <c r="O39" s="89"/>
      <c r="P39" s="89"/>
      <c r="Q39" s="89" t="s">
        <v>960</v>
      </c>
      <c r="R39" s="89">
        <v>7</v>
      </c>
    </row>
    <row r="40" spans="1:18" ht="15">
      <c r="A40" s="86" t="s">
        <v>916</v>
      </c>
      <c r="B40" s="89">
        <v>16</v>
      </c>
      <c r="C40" s="89" t="s">
        <v>918</v>
      </c>
      <c r="D40" s="89">
        <v>9</v>
      </c>
      <c r="E40" s="89" t="s">
        <v>927</v>
      </c>
      <c r="F40" s="89">
        <v>7</v>
      </c>
      <c r="G40" s="89"/>
      <c r="H40" s="89"/>
      <c r="I40" s="89"/>
      <c r="J40" s="89"/>
      <c r="K40" s="89" t="s">
        <v>942</v>
      </c>
      <c r="L40" s="89">
        <v>4</v>
      </c>
      <c r="M40" s="89" t="s">
        <v>953</v>
      </c>
      <c r="N40" s="89">
        <v>2</v>
      </c>
      <c r="O40" s="89"/>
      <c r="P40" s="89"/>
      <c r="Q40" s="89" t="s">
        <v>961</v>
      </c>
      <c r="R40" s="89">
        <v>7</v>
      </c>
    </row>
    <row r="41" spans="1:18" ht="15">
      <c r="A41" s="86" t="s">
        <v>917</v>
      </c>
      <c r="B41" s="89">
        <v>14</v>
      </c>
      <c r="C41" s="89" t="s">
        <v>919</v>
      </c>
      <c r="D41" s="89">
        <v>9</v>
      </c>
      <c r="E41" s="89" t="s">
        <v>916</v>
      </c>
      <c r="F41" s="89">
        <v>7</v>
      </c>
      <c r="G41" s="89"/>
      <c r="H41" s="89"/>
      <c r="I41" s="89"/>
      <c r="J41" s="89"/>
      <c r="K41" s="89" t="s">
        <v>943</v>
      </c>
      <c r="L41" s="89">
        <v>4</v>
      </c>
      <c r="M41" s="89" t="s">
        <v>954</v>
      </c>
      <c r="N41" s="89">
        <v>2</v>
      </c>
      <c r="O41" s="89"/>
      <c r="P41" s="89"/>
      <c r="Q41" s="89" t="s">
        <v>962</v>
      </c>
      <c r="R41" s="89">
        <v>7</v>
      </c>
    </row>
    <row r="42" spans="1:18" ht="15">
      <c r="A42" s="86" t="s">
        <v>918</v>
      </c>
      <c r="B42" s="89">
        <v>14</v>
      </c>
      <c r="C42" s="89" t="s">
        <v>920</v>
      </c>
      <c r="D42" s="89">
        <v>9</v>
      </c>
      <c r="E42" s="89" t="s">
        <v>928</v>
      </c>
      <c r="F42" s="89">
        <v>7</v>
      </c>
      <c r="G42" s="89"/>
      <c r="H42" s="89"/>
      <c r="I42" s="89"/>
      <c r="J42" s="89"/>
      <c r="K42" s="89" t="s">
        <v>944</v>
      </c>
      <c r="L42" s="89">
        <v>4</v>
      </c>
      <c r="M42" s="89" t="s">
        <v>955</v>
      </c>
      <c r="N42" s="89">
        <v>2</v>
      </c>
      <c r="O42" s="89"/>
      <c r="P42" s="89"/>
      <c r="Q42" s="89" t="s">
        <v>963</v>
      </c>
      <c r="R42" s="89">
        <v>7</v>
      </c>
    </row>
    <row r="43" spans="1:18" ht="15">
      <c r="A43" s="86" t="s">
        <v>919</v>
      </c>
      <c r="B43" s="89">
        <v>14</v>
      </c>
      <c r="C43" s="89" t="s">
        <v>922</v>
      </c>
      <c r="D43" s="89">
        <v>9</v>
      </c>
      <c r="E43" s="89" t="s">
        <v>929</v>
      </c>
      <c r="F43" s="89">
        <v>7</v>
      </c>
      <c r="G43" s="89"/>
      <c r="H43" s="89"/>
      <c r="I43" s="89"/>
      <c r="J43" s="89"/>
      <c r="K43" s="89" t="s">
        <v>945</v>
      </c>
      <c r="L43" s="89">
        <v>4</v>
      </c>
      <c r="M43" s="89" t="s">
        <v>956</v>
      </c>
      <c r="N43" s="89">
        <v>2</v>
      </c>
      <c r="O43" s="89"/>
      <c r="P43" s="89"/>
      <c r="Q43" s="89"/>
      <c r="R43" s="89"/>
    </row>
    <row r="44" spans="1:18" ht="15">
      <c r="A44" s="86" t="s">
        <v>920</v>
      </c>
      <c r="B44" s="89">
        <v>14</v>
      </c>
      <c r="C44" s="89" t="s">
        <v>923</v>
      </c>
      <c r="D44" s="89">
        <v>9</v>
      </c>
      <c r="E44" s="89" t="s">
        <v>930</v>
      </c>
      <c r="F44" s="89">
        <v>7</v>
      </c>
      <c r="G44" s="89"/>
      <c r="H44" s="89"/>
      <c r="I44" s="89"/>
      <c r="J44" s="89"/>
      <c r="K44" s="89" t="s">
        <v>946</v>
      </c>
      <c r="L44" s="89">
        <v>4</v>
      </c>
      <c r="M44" s="89" t="s">
        <v>957</v>
      </c>
      <c r="N44" s="89">
        <v>2</v>
      </c>
      <c r="O44" s="89"/>
      <c r="P44" s="89"/>
      <c r="Q44" s="89"/>
      <c r="R44" s="89"/>
    </row>
    <row r="47" spans="1:18" ht="15" customHeight="1">
      <c r="A47" s="13" t="s">
        <v>971</v>
      </c>
      <c r="B47" s="13" t="s">
        <v>813</v>
      </c>
      <c r="C47" s="80" t="s">
        <v>973</v>
      </c>
      <c r="D47" s="80" t="s">
        <v>816</v>
      </c>
      <c r="E47" s="80" t="s">
        <v>974</v>
      </c>
      <c r="F47" s="80" t="s">
        <v>818</v>
      </c>
      <c r="G47" s="13" t="s">
        <v>977</v>
      </c>
      <c r="H47" s="13" t="s">
        <v>820</v>
      </c>
      <c r="I47" s="80" t="s">
        <v>979</v>
      </c>
      <c r="J47" s="80" t="s">
        <v>822</v>
      </c>
      <c r="K47" s="80" t="s">
        <v>981</v>
      </c>
      <c r="L47" s="80" t="s">
        <v>824</v>
      </c>
      <c r="M47" s="13" t="s">
        <v>983</v>
      </c>
      <c r="N47" s="13" t="s">
        <v>826</v>
      </c>
      <c r="O47" s="13" t="s">
        <v>985</v>
      </c>
      <c r="P47" s="13" t="s">
        <v>828</v>
      </c>
      <c r="Q47" s="80" t="s">
        <v>987</v>
      </c>
      <c r="R47" s="80" t="s">
        <v>829</v>
      </c>
    </row>
    <row r="48" spans="1:18" ht="15">
      <c r="A48" s="80" t="s">
        <v>292</v>
      </c>
      <c r="B48" s="80">
        <v>2</v>
      </c>
      <c r="C48" s="80"/>
      <c r="D48" s="80"/>
      <c r="E48" s="80"/>
      <c r="F48" s="80"/>
      <c r="G48" s="80" t="s">
        <v>313</v>
      </c>
      <c r="H48" s="80">
        <v>1</v>
      </c>
      <c r="I48" s="80"/>
      <c r="J48" s="80"/>
      <c r="K48" s="80"/>
      <c r="L48" s="80"/>
      <c r="M48" s="80" t="s">
        <v>292</v>
      </c>
      <c r="N48" s="80">
        <v>2</v>
      </c>
      <c r="O48" s="80" t="s">
        <v>305</v>
      </c>
      <c r="P48" s="80">
        <v>1</v>
      </c>
      <c r="Q48" s="80"/>
      <c r="R48" s="80"/>
    </row>
    <row r="49" spans="1:18" ht="15">
      <c r="A49" s="81" t="s">
        <v>307</v>
      </c>
      <c r="B49" s="80">
        <v>2</v>
      </c>
      <c r="C49" s="80"/>
      <c r="D49" s="80"/>
      <c r="E49" s="80"/>
      <c r="F49" s="80"/>
      <c r="G49" s="80"/>
      <c r="H49" s="80"/>
      <c r="I49" s="80"/>
      <c r="J49" s="80"/>
      <c r="K49" s="80"/>
      <c r="L49" s="80"/>
      <c r="M49" s="80" t="s">
        <v>307</v>
      </c>
      <c r="N49" s="80">
        <v>2</v>
      </c>
      <c r="O49" s="80"/>
      <c r="P49" s="80"/>
      <c r="Q49" s="80"/>
      <c r="R49" s="80"/>
    </row>
    <row r="50" spans="1:18" ht="15">
      <c r="A50" s="81" t="s">
        <v>313</v>
      </c>
      <c r="B50" s="80">
        <v>1</v>
      </c>
      <c r="C50" s="80"/>
      <c r="D50" s="80"/>
      <c r="E50" s="80"/>
      <c r="F50" s="80"/>
      <c r="G50" s="80"/>
      <c r="H50" s="80"/>
      <c r="I50" s="80"/>
      <c r="J50" s="80"/>
      <c r="K50" s="80"/>
      <c r="L50" s="80"/>
      <c r="M50" s="80"/>
      <c r="N50" s="80"/>
      <c r="O50" s="80"/>
      <c r="P50" s="80"/>
      <c r="Q50" s="80"/>
      <c r="R50" s="80"/>
    </row>
    <row r="51" spans="1:18" ht="15">
      <c r="A51" s="81" t="s">
        <v>305</v>
      </c>
      <c r="B51" s="80">
        <v>1</v>
      </c>
      <c r="C51" s="80"/>
      <c r="D51" s="80"/>
      <c r="E51" s="80"/>
      <c r="F51" s="80"/>
      <c r="G51" s="80"/>
      <c r="H51" s="80"/>
      <c r="I51" s="80"/>
      <c r="J51" s="80"/>
      <c r="K51" s="80"/>
      <c r="L51" s="80"/>
      <c r="M51" s="80"/>
      <c r="N51" s="80"/>
      <c r="O51" s="80"/>
      <c r="P51" s="80"/>
      <c r="Q51" s="80"/>
      <c r="R51" s="80"/>
    </row>
    <row r="54" spans="1:18" ht="15" customHeight="1">
      <c r="A54" s="13" t="s">
        <v>972</v>
      </c>
      <c r="B54" s="13" t="s">
        <v>813</v>
      </c>
      <c r="C54" s="13" t="s">
        <v>975</v>
      </c>
      <c r="D54" s="13" t="s">
        <v>816</v>
      </c>
      <c r="E54" s="13" t="s">
        <v>976</v>
      </c>
      <c r="F54" s="13" t="s">
        <v>818</v>
      </c>
      <c r="G54" s="13" t="s">
        <v>978</v>
      </c>
      <c r="H54" s="13" t="s">
        <v>820</v>
      </c>
      <c r="I54" s="80" t="s">
        <v>980</v>
      </c>
      <c r="J54" s="80" t="s">
        <v>822</v>
      </c>
      <c r="K54" s="13" t="s">
        <v>982</v>
      </c>
      <c r="L54" s="13" t="s">
        <v>824</v>
      </c>
      <c r="M54" s="13" t="s">
        <v>984</v>
      </c>
      <c r="N54" s="13" t="s">
        <v>826</v>
      </c>
      <c r="O54" s="13" t="s">
        <v>986</v>
      </c>
      <c r="P54" s="13" t="s">
        <v>828</v>
      </c>
      <c r="Q54" s="80" t="s">
        <v>988</v>
      </c>
      <c r="R54" s="80" t="s">
        <v>829</v>
      </c>
    </row>
    <row r="55" spans="1:18" ht="15">
      <c r="A55" s="80" t="s">
        <v>289</v>
      </c>
      <c r="B55" s="80">
        <v>38</v>
      </c>
      <c r="C55" s="80" t="s">
        <v>289</v>
      </c>
      <c r="D55" s="80">
        <v>19</v>
      </c>
      <c r="E55" s="80" t="s">
        <v>289</v>
      </c>
      <c r="F55" s="80">
        <v>14</v>
      </c>
      <c r="G55" s="80" t="s">
        <v>312</v>
      </c>
      <c r="H55" s="80">
        <v>1</v>
      </c>
      <c r="I55" s="80"/>
      <c r="J55" s="80"/>
      <c r="K55" s="80" t="s">
        <v>306</v>
      </c>
      <c r="L55" s="80">
        <v>4</v>
      </c>
      <c r="M55" s="80" t="s">
        <v>289</v>
      </c>
      <c r="N55" s="80">
        <v>4</v>
      </c>
      <c r="O55" s="80" t="s">
        <v>289</v>
      </c>
      <c r="P55" s="80">
        <v>1</v>
      </c>
      <c r="Q55" s="80"/>
      <c r="R55" s="80"/>
    </row>
    <row r="56" spans="1:18" ht="15">
      <c r="A56" s="81" t="s">
        <v>300</v>
      </c>
      <c r="B56" s="80">
        <v>16</v>
      </c>
      <c r="C56" s="80" t="s">
        <v>300</v>
      </c>
      <c r="D56" s="80">
        <v>1</v>
      </c>
      <c r="E56" s="80" t="s">
        <v>300</v>
      </c>
      <c r="F56" s="80">
        <v>10</v>
      </c>
      <c r="G56" s="80" t="s">
        <v>311</v>
      </c>
      <c r="H56" s="80">
        <v>1</v>
      </c>
      <c r="I56" s="80"/>
      <c r="J56" s="80"/>
      <c r="K56" s="80" t="s">
        <v>295</v>
      </c>
      <c r="L56" s="80">
        <v>4</v>
      </c>
      <c r="M56" s="80" t="s">
        <v>307</v>
      </c>
      <c r="N56" s="80">
        <v>2</v>
      </c>
      <c r="O56" s="80" t="s">
        <v>300</v>
      </c>
      <c r="P56" s="80">
        <v>1</v>
      </c>
      <c r="Q56" s="80"/>
      <c r="R56" s="80"/>
    </row>
    <row r="57" spans="1:18" ht="15">
      <c r="A57" s="81" t="s">
        <v>306</v>
      </c>
      <c r="B57" s="80">
        <v>4</v>
      </c>
      <c r="C57" s="80"/>
      <c r="D57" s="80"/>
      <c r="E57" s="80"/>
      <c r="F57" s="80"/>
      <c r="G57" s="80" t="s">
        <v>310</v>
      </c>
      <c r="H57" s="80">
        <v>1</v>
      </c>
      <c r="I57" s="80"/>
      <c r="J57" s="80"/>
      <c r="K57" s="80" t="s">
        <v>297</v>
      </c>
      <c r="L57" s="80">
        <v>4</v>
      </c>
      <c r="M57" s="80"/>
      <c r="N57" s="80"/>
      <c r="O57" s="80" t="s">
        <v>304</v>
      </c>
      <c r="P57" s="80">
        <v>1</v>
      </c>
      <c r="Q57" s="80"/>
      <c r="R57" s="80"/>
    </row>
    <row r="58" spans="1:18" ht="15">
      <c r="A58" s="81" t="s">
        <v>295</v>
      </c>
      <c r="B58" s="80">
        <v>4</v>
      </c>
      <c r="C58" s="80"/>
      <c r="D58" s="80"/>
      <c r="E58" s="80"/>
      <c r="F58" s="80"/>
      <c r="G58" s="80" t="s">
        <v>309</v>
      </c>
      <c r="H58" s="80">
        <v>1</v>
      </c>
      <c r="I58" s="80"/>
      <c r="J58" s="80"/>
      <c r="K58" s="80" t="s">
        <v>300</v>
      </c>
      <c r="L58" s="80">
        <v>4</v>
      </c>
      <c r="M58" s="80"/>
      <c r="N58" s="80"/>
      <c r="O58" s="80" t="s">
        <v>303</v>
      </c>
      <c r="P58" s="80">
        <v>1</v>
      </c>
      <c r="Q58" s="80"/>
      <c r="R58" s="80"/>
    </row>
    <row r="59" spans="1:18" ht="15">
      <c r="A59" s="81" t="s">
        <v>297</v>
      </c>
      <c r="B59" s="80">
        <v>4</v>
      </c>
      <c r="C59" s="80"/>
      <c r="D59" s="80"/>
      <c r="E59" s="80"/>
      <c r="F59" s="80"/>
      <c r="G59" s="80" t="s">
        <v>308</v>
      </c>
      <c r="H59" s="80">
        <v>1</v>
      </c>
      <c r="I59" s="80"/>
      <c r="J59" s="80"/>
      <c r="K59" s="80"/>
      <c r="L59" s="80"/>
      <c r="M59" s="80"/>
      <c r="N59" s="80"/>
      <c r="O59" s="80"/>
      <c r="P59" s="80"/>
      <c r="Q59" s="80"/>
      <c r="R59" s="80"/>
    </row>
    <row r="60" spans="1:18" ht="15">
      <c r="A60" s="81" t="s">
        <v>307</v>
      </c>
      <c r="B60" s="80">
        <v>2</v>
      </c>
      <c r="C60" s="80"/>
      <c r="D60" s="80"/>
      <c r="E60" s="80"/>
      <c r="F60" s="80"/>
      <c r="G60" s="80"/>
      <c r="H60" s="80"/>
      <c r="I60" s="80"/>
      <c r="J60" s="80"/>
      <c r="K60" s="80"/>
      <c r="L60" s="80"/>
      <c r="M60" s="80"/>
      <c r="N60" s="80"/>
      <c r="O60" s="80"/>
      <c r="P60" s="80"/>
      <c r="Q60" s="80"/>
      <c r="R60" s="80"/>
    </row>
    <row r="61" spans="1:18" ht="15">
      <c r="A61" s="81" t="s">
        <v>312</v>
      </c>
      <c r="B61" s="80">
        <v>1</v>
      </c>
      <c r="C61" s="80"/>
      <c r="D61" s="80"/>
      <c r="E61" s="80"/>
      <c r="F61" s="80"/>
      <c r="G61" s="80"/>
      <c r="H61" s="80"/>
      <c r="I61" s="80"/>
      <c r="J61" s="80"/>
      <c r="K61" s="80"/>
      <c r="L61" s="80"/>
      <c r="M61" s="80"/>
      <c r="N61" s="80"/>
      <c r="O61" s="80"/>
      <c r="P61" s="80"/>
      <c r="Q61" s="80"/>
      <c r="R61" s="80"/>
    </row>
    <row r="62" spans="1:18" ht="15">
      <c r="A62" s="81" t="s">
        <v>311</v>
      </c>
      <c r="B62" s="80">
        <v>1</v>
      </c>
      <c r="C62" s="80"/>
      <c r="D62" s="80"/>
      <c r="E62" s="80"/>
      <c r="F62" s="80"/>
      <c r="G62" s="80"/>
      <c r="H62" s="80"/>
      <c r="I62" s="80"/>
      <c r="J62" s="80"/>
      <c r="K62" s="80"/>
      <c r="L62" s="80"/>
      <c r="M62" s="80"/>
      <c r="N62" s="80"/>
      <c r="O62" s="80"/>
      <c r="P62" s="80"/>
      <c r="Q62" s="80"/>
      <c r="R62" s="80"/>
    </row>
    <row r="63" spans="1:18" ht="15">
      <c r="A63" s="81" t="s">
        <v>310</v>
      </c>
      <c r="B63" s="80">
        <v>1</v>
      </c>
      <c r="C63" s="80"/>
      <c r="D63" s="80"/>
      <c r="E63" s="80"/>
      <c r="F63" s="80"/>
      <c r="G63" s="80"/>
      <c r="H63" s="80"/>
      <c r="I63" s="80"/>
      <c r="J63" s="80"/>
      <c r="K63" s="80"/>
      <c r="L63" s="80"/>
      <c r="M63" s="80"/>
      <c r="N63" s="80"/>
      <c r="O63" s="80"/>
      <c r="P63" s="80"/>
      <c r="Q63" s="80"/>
      <c r="R63" s="80"/>
    </row>
    <row r="64" spans="1:18" ht="15">
      <c r="A64" s="81" t="s">
        <v>309</v>
      </c>
      <c r="B64" s="80">
        <v>1</v>
      </c>
      <c r="C64" s="80"/>
      <c r="D64" s="80"/>
      <c r="E64" s="80"/>
      <c r="F64" s="80"/>
      <c r="G64" s="80"/>
      <c r="H64" s="80"/>
      <c r="I64" s="80"/>
      <c r="J64" s="80"/>
      <c r="K64" s="80"/>
      <c r="L64" s="80"/>
      <c r="M64" s="80"/>
      <c r="N64" s="80"/>
      <c r="O64" s="80"/>
      <c r="P64" s="80"/>
      <c r="Q64" s="80"/>
      <c r="R64" s="80"/>
    </row>
    <row r="67" spans="1:18" ht="15" customHeight="1">
      <c r="A67" s="13" t="s">
        <v>997</v>
      </c>
      <c r="B67" s="13" t="s">
        <v>813</v>
      </c>
      <c r="C67" s="13" t="s">
        <v>998</v>
      </c>
      <c r="D67" s="13" t="s">
        <v>816</v>
      </c>
      <c r="E67" s="13" t="s">
        <v>999</v>
      </c>
      <c r="F67" s="13" t="s">
        <v>818</v>
      </c>
      <c r="G67" s="13" t="s">
        <v>1000</v>
      </c>
      <c r="H67" s="13" t="s">
        <v>820</v>
      </c>
      <c r="I67" s="13" t="s">
        <v>1001</v>
      </c>
      <c r="J67" s="13" t="s">
        <v>822</v>
      </c>
      <c r="K67" s="13" t="s">
        <v>1002</v>
      </c>
      <c r="L67" s="13" t="s">
        <v>824</v>
      </c>
      <c r="M67" s="13" t="s">
        <v>1003</v>
      </c>
      <c r="N67" s="13" t="s">
        <v>826</v>
      </c>
      <c r="O67" s="13" t="s">
        <v>1004</v>
      </c>
      <c r="P67" s="13" t="s">
        <v>828</v>
      </c>
      <c r="Q67" s="13" t="s">
        <v>1005</v>
      </c>
      <c r="R67" s="13" t="s">
        <v>829</v>
      </c>
    </row>
    <row r="68" spans="1:18" ht="15">
      <c r="A68" s="106" t="s">
        <v>252</v>
      </c>
      <c r="B68" s="80">
        <v>224376</v>
      </c>
      <c r="C68" s="106" t="s">
        <v>254</v>
      </c>
      <c r="D68" s="80">
        <v>67996</v>
      </c>
      <c r="E68" s="106" t="s">
        <v>252</v>
      </c>
      <c r="F68" s="80">
        <v>224376</v>
      </c>
      <c r="G68" s="106" t="s">
        <v>312</v>
      </c>
      <c r="H68" s="80">
        <v>74392</v>
      </c>
      <c r="I68" s="106" t="s">
        <v>302</v>
      </c>
      <c r="J68" s="80">
        <v>105895</v>
      </c>
      <c r="K68" s="106" t="s">
        <v>306</v>
      </c>
      <c r="L68" s="80">
        <v>36700</v>
      </c>
      <c r="M68" s="106" t="s">
        <v>307</v>
      </c>
      <c r="N68" s="80">
        <v>130560</v>
      </c>
      <c r="O68" s="106" t="s">
        <v>303</v>
      </c>
      <c r="P68" s="80">
        <v>16092</v>
      </c>
      <c r="Q68" s="106" t="s">
        <v>299</v>
      </c>
      <c r="R68" s="80">
        <v>122917</v>
      </c>
    </row>
    <row r="69" spans="1:18" ht="15">
      <c r="A69" s="107" t="s">
        <v>272</v>
      </c>
      <c r="B69" s="80">
        <v>173089</v>
      </c>
      <c r="C69" s="106" t="s">
        <v>288</v>
      </c>
      <c r="D69" s="80">
        <v>67910</v>
      </c>
      <c r="E69" s="106" t="s">
        <v>272</v>
      </c>
      <c r="F69" s="80">
        <v>173089</v>
      </c>
      <c r="G69" s="106" t="s">
        <v>311</v>
      </c>
      <c r="H69" s="80">
        <v>59106</v>
      </c>
      <c r="I69" s="106" t="s">
        <v>284</v>
      </c>
      <c r="J69" s="80">
        <v>40683</v>
      </c>
      <c r="K69" s="106" t="s">
        <v>296</v>
      </c>
      <c r="L69" s="80">
        <v>19343</v>
      </c>
      <c r="M69" s="106" t="s">
        <v>273</v>
      </c>
      <c r="N69" s="80">
        <v>51252</v>
      </c>
      <c r="O69" s="106" t="s">
        <v>305</v>
      </c>
      <c r="P69" s="80">
        <v>11580</v>
      </c>
      <c r="Q69" s="106" t="s">
        <v>287</v>
      </c>
      <c r="R69" s="80">
        <v>28408</v>
      </c>
    </row>
    <row r="70" spans="1:18" ht="15">
      <c r="A70" s="107" t="s">
        <v>307</v>
      </c>
      <c r="B70" s="80">
        <v>130560</v>
      </c>
      <c r="C70" s="106" t="s">
        <v>275</v>
      </c>
      <c r="D70" s="80">
        <v>44698</v>
      </c>
      <c r="E70" s="106" t="s">
        <v>282</v>
      </c>
      <c r="F70" s="80">
        <v>78881</v>
      </c>
      <c r="G70" s="106" t="s">
        <v>308</v>
      </c>
      <c r="H70" s="80">
        <v>21989</v>
      </c>
      <c r="I70" s="106" t="s">
        <v>271</v>
      </c>
      <c r="J70" s="80">
        <v>24511</v>
      </c>
      <c r="K70" s="106" t="s">
        <v>297</v>
      </c>
      <c r="L70" s="80">
        <v>7839</v>
      </c>
      <c r="M70" s="106" t="s">
        <v>292</v>
      </c>
      <c r="N70" s="80">
        <v>13212</v>
      </c>
      <c r="O70" s="106" t="s">
        <v>304</v>
      </c>
      <c r="P70" s="80">
        <v>1309</v>
      </c>
      <c r="Q70" s="106" t="s">
        <v>298</v>
      </c>
      <c r="R70" s="80">
        <v>11689</v>
      </c>
    </row>
    <row r="71" spans="1:18" ht="15">
      <c r="A71" s="107" t="s">
        <v>299</v>
      </c>
      <c r="B71" s="80">
        <v>122917</v>
      </c>
      <c r="C71" s="106" t="s">
        <v>255</v>
      </c>
      <c r="D71" s="80">
        <v>20202</v>
      </c>
      <c r="E71" s="106" t="s">
        <v>300</v>
      </c>
      <c r="F71" s="80">
        <v>69466</v>
      </c>
      <c r="G71" s="106" t="s">
        <v>309</v>
      </c>
      <c r="H71" s="80">
        <v>13764</v>
      </c>
      <c r="I71" s="106" t="s">
        <v>256</v>
      </c>
      <c r="J71" s="80">
        <v>16601</v>
      </c>
      <c r="K71" s="106" t="s">
        <v>295</v>
      </c>
      <c r="L71" s="80">
        <v>1480</v>
      </c>
      <c r="M71" s="106" t="s">
        <v>291</v>
      </c>
      <c r="N71" s="80">
        <v>8420</v>
      </c>
      <c r="O71" s="106" t="s">
        <v>257</v>
      </c>
      <c r="P71" s="80">
        <v>656</v>
      </c>
      <c r="Q71" s="106"/>
      <c r="R71" s="80"/>
    </row>
    <row r="72" spans="1:18" ht="15">
      <c r="A72" s="107" t="s">
        <v>302</v>
      </c>
      <c r="B72" s="80">
        <v>105895</v>
      </c>
      <c r="C72" s="106" t="s">
        <v>264</v>
      </c>
      <c r="D72" s="80">
        <v>19819</v>
      </c>
      <c r="E72" s="106" t="s">
        <v>290</v>
      </c>
      <c r="F72" s="80">
        <v>39435</v>
      </c>
      <c r="G72" s="106" t="s">
        <v>310</v>
      </c>
      <c r="H72" s="80">
        <v>7511</v>
      </c>
      <c r="I72" s="106" t="s">
        <v>280</v>
      </c>
      <c r="J72" s="80">
        <v>4685</v>
      </c>
      <c r="K72" s="106" t="s">
        <v>262</v>
      </c>
      <c r="L72" s="80">
        <v>394</v>
      </c>
      <c r="M72" s="106"/>
      <c r="N72" s="80"/>
      <c r="O72" s="106"/>
      <c r="P72" s="80"/>
      <c r="Q72" s="106"/>
      <c r="R72" s="80"/>
    </row>
    <row r="73" spans="1:18" ht="15">
      <c r="A73" s="107" t="s">
        <v>282</v>
      </c>
      <c r="B73" s="80">
        <v>78881</v>
      </c>
      <c r="C73" s="106" t="s">
        <v>274</v>
      </c>
      <c r="D73" s="80">
        <v>16466</v>
      </c>
      <c r="E73" s="106" t="s">
        <v>258</v>
      </c>
      <c r="F73" s="80">
        <v>36616</v>
      </c>
      <c r="G73" s="106" t="s">
        <v>313</v>
      </c>
      <c r="H73" s="80">
        <v>2094</v>
      </c>
      <c r="I73" s="106" t="s">
        <v>266</v>
      </c>
      <c r="J73" s="80">
        <v>2282</v>
      </c>
      <c r="K73" s="106"/>
      <c r="L73" s="80"/>
      <c r="M73" s="106"/>
      <c r="N73" s="80"/>
      <c r="O73" s="106"/>
      <c r="P73" s="80"/>
      <c r="Q73" s="106"/>
      <c r="R73" s="80"/>
    </row>
    <row r="74" spans="1:18" ht="15">
      <c r="A74" s="107" t="s">
        <v>312</v>
      </c>
      <c r="B74" s="80">
        <v>74392</v>
      </c>
      <c r="C74" s="106" t="s">
        <v>278</v>
      </c>
      <c r="D74" s="80">
        <v>12862</v>
      </c>
      <c r="E74" s="106" t="s">
        <v>294</v>
      </c>
      <c r="F74" s="80">
        <v>15406</v>
      </c>
      <c r="G74" s="106" t="s">
        <v>283</v>
      </c>
      <c r="H74" s="80">
        <v>200</v>
      </c>
      <c r="I74" s="106"/>
      <c r="J74" s="80"/>
      <c r="K74" s="106"/>
      <c r="L74" s="80"/>
      <c r="M74" s="106"/>
      <c r="N74" s="80"/>
      <c r="O74" s="106"/>
      <c r="P74" s="80"/>
      <c r="Q74" s="106"/>
      <c r="R74" s="80"/>
    </row>
    <row r="75" spans="1:18" ht="15">
      <c r="A75" s="107" t="s">
        <v>300</v>
      </c>
      <c r="B75" s="80">
        <v>69466</v>
      </c>
      <c r="C75" s="106" t="s">
        <v>289</v>
      </c>
      <c r="D75" s="80">
        <v>12861</v>
      </c>
      <c r="E75" s="106" t="s">
        <v>293</v>
      </c>
      <c r="F75" s="80">
        <v>13656</v>
      </c>
      <c r="G75" s="106"/>
      <c r="H75" s="80"/>
      <c r="I75" s="106"/>
      <c r="J75" s="80"/>
      <c r="K75" s="106"/>
      <c r="L75" s="80"/>
      <c r="M75" s="106"/>
      <c r="N75" s="80"/>
      <c r="O75" s="106"/>
      <c r="P75" s="80"/>
      <c r="Q75" s="106"/>
      <c r="R75" s="80"/>
    </row>
    <row r="76" spans="1:18" ht="15">
      <c r="A76" s="107" t="s">
        <v>254</v>
      </c>
      <c r="B76" s="80">
        <v>67996</v>
      </c>
      <c r="C76" s="106" t="s">
        <v>286</v>
      </c>
      <c r="D76" s="80">
        <v>10510</v>
      </c>
      <c r="E76" s="106" t="s">
        <v>270</v>
      </c>
      <c r="F76" s="80">
        <v>8158</v>
      </c>
      <c r="G76" s="106"/>
      <c r="H76" s="80"/>
      <c r="I76" s="106"/>
      <c r="J76" s="80"/>
      <c r="K76" s="106"/>
      <c r="L76" s="80"/>
      <c r="M76" s="106"/>
      <c r="N76" s="80"/>
      <c r="O76" s="106"/>
      <c r="P76" s="80"/>
      <c r="Q76" s="106"/>
      <c r="R76" s="80"/>
    </row>
    <row r="77" spans="1:18" ht="15">
      <c r="A77" s="107" t="s">
        <v>288</v>
      </c>
      <c r="B77" s="80">
        <v>67910</v>
      </c>
      <c r="C77" s="106" t="s">
        <v>269</v>
      </c>
      <c r="D77" s="80">
        <v>10344</v>
      </c>
      <c r="E77" s="106" t="s">
        <v>268</v>
      </c>
      <c r="F77" s="80">
        <v>7710</v>
      </c>
      <c r="G77" s="106"/>
      <c r="H77" s="80"/>
      <c r="I77" s="106"/>
      <c r="J77" s="80"/>
      <c r="K77" s="106"/>
      <c r="L77" s="80"/>
      <c r="M77" s="106"/>
      <c r="N77" s="80"/>
      <c r="O77" s="106"/>
      <c r="P77" s="80"/>
      <c r="Q77" s="106"/>
      <c r="R77" s="80"/>
    </row>
  </sheetData>
  <hyperlinks>
    <hyperlink ref="A2" r:id="rId1" display="https://www.bmj.com/content/372/bmj.n742"/>
    <hyperlink ref="A3" r:id="rId2" display="https://www.bmj.com/content/372/bmj.n742?utm_source=twitter&amp;utm_medium=social&amp;utm_term=hootsuite&amp;utm_content=sme&amp;utm_campaign=usage"/>
    <hyperlink ref="A4" r:id="rId3" display="https://blogs.bmj.com/bmj/2021/03/22/an-open-plea-for-dignity-and-respect-in-science/"/>
    <hyperlink ref="A5" r:id="rId4" display="https://www.bmj.com/lookup/doi/10.1136/bmj.n742"/>
    <hyperlink ref="C2" r:id="rId5" display="https://www.bmj.com/content/372/bmj.n742?utm_source=twitter&amp;utm_medium=social&amp;utm_term=hootsuite&amp;utm_content=sme&amp;utm_campaign=usage"/>
    <hyperlink ref="C3" r:id="rId6" display="https://www.bmj.com/content/372/bmj.n742"/>
    <hyperlink ref="E2" r:id="rId7" display="https://www.bmj.com/content/372/bmj.n742"/>
    <hyperlink ref="E3" r:id="rId8" display="https://www.bmj.com/content/372/bmj.n742?utm_source=twitter&amp;utm_medium=social&amp;utm_term=hootsuite&amp;utm_content=sme&amp;utm_campaign=usage"/>
    <hyperlink ref="G2" r:id="rId9" display="https://www.bmj.com/content/372/bmj.n742"/>
    <hyperlink ref="I2" r:id="rId10" display="https://www.bmj.com/content/372/bmj.n742"/>
    <hyperlink ref="I3" r:id="rId11" display="https://www.bmj.com/lookup/doi/10.1136/bmj.n742"/>
    <hyperlink ref="K2" r:id="rId12" display="https://blogs.bmj.com/bmj/2021/03/22/an-open-plea-for-dignity-and-respect-in-science/"/>
    <hyperlink ref="K3" r:id="rId13" display="https://www.bmj.com/content/372/bmj.n742"/>
    <hyperlink ref="M2" r:id="rId14" display="https://www.bmj.com/content/372/bmj.n742"/>
    <hyperlink ref="O2" r:id="rId15" display="https://www.bmj.com/content/372/bmj.n742"/>
    <hyperlink ref="Q2" r:id="rId16" display="https://www.bmj.com/content/372/bmj.n742"/>
  </hyperlinks>
  <printOptions/>
  <pageMargins left="0.7" right="0.7" top="0.75" bottom="0.75" header="0.3" footer="0.3"/>
  <pageSetup orientation="portrait" paperSize="9"/>
  <tableParts>
    <tablePart r:id="rId20"/>
    <tablePart r:id="rId22"/>
    <tablePart r:id="rId19"/>
    <tablePart r:id="rId17"/>
    <tablePart r:id="rId18"/>
    <tablePart r:id="rId21"/>
    <tablePart r:id="rId24"/>
    <tablePart r:id="rId2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A1DDD-7745-4233-9446-EB0D7242AFD7}">
  <dimension ref="A1:G308"/>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7" width="27.57421875" style="0" bestFit="1" customWidth="1"/>
  </cols>
  <sheetData>
    <row r="1" spans="1:7" ht="15" customHeight="1">
      <c r="A1" s="13" t="s">
        <v>1058</v>
      </c>
      <c r="B1" s="13" t="s">
        <v>1153</v>
      </c>
      <c r="C1" s="13" t="s">
        <v>1157</v>
      </c>
      <c r="D1" s="13" t="s">
        <v>144</v>
      </c>
      <c r="E1" s="13" t="s">
        <v>1159</v>
      </c>
      <c r="F1" s="13" t="s">
        <v>1160</v>
      </c>
      <c r="G1" s="13" t="s">
        <v>1161</v>
      </c>
    </row>
    <row r="2" spans="1:7" ht="15">
      <c r="A2" s="80" t="s">
        <v>1059</v>
      </c>
      <c r="B2" s="80" t="s">
        <v>1154</v>
      </c>
      <c r="C2" s="110"/>
      <c r="D2" s="80"/>
      <c r="E2" s="80"/>
      <c r="F2" s="80"/>
      <c r="G2" s="80"/>
    </row>
    <row r="3" spans="1:7" ht="15">
      <c r="A3" s="81" t="s">
        <v>1060</v>
      </c>
      <c r="B3" s="80" t="s">
        <v>1155</v>
      </c>
      <c r="C3" s="110"/>
      <c r="D3" s="80"/>
      <c r="E3" s="80"/>
      <c r="F3" s="80"/>
      <c r="G3" s="80"/>
    </row>
    <row r="4" spans="1:7" ht="15">
      <c r="A4" s="81" t="s">
        <v>1061</v>
      </c>
      <c r="B4" s="80" t="s">
        <v>1156</v>
      </c>
      <c r="C4" s="110"/>
      <c r="D4" s="80"/>
      <c r="E4" s="80"/>
      <c r="F4" s="80"/>
      <c r="G4" s="80"/>
    </row>
    <row r="5" spans="1:7" ht="15">
      <c r="A5" s="81" t="s">
        <v>1062</v>
      </c>
      <c r="B5" s="80">
        <v>60</v>
      </c>
      <c r="C5" s="110">
        <v>0.03715170278637771</v>
      </c>
      <c r="D5" s="80"/>
      <c r="E5" s="80"/>
      <c r="F5" s="80"/>
      <c r="G5" s="80"/>
    </row>
    <row r="6" spans="1:7" ht="15">
      <c r="A6" s="81" t="s">
        <v>1063</v>
      </c>
      <c r="B6" s="80">
        <v>38</v>
      </c>
      <c r="C6" s="110">
        <v>0.023529411764705882</v>
      </c>
      <c r="D6" s="80"/>
      <c r="E6" s="80"/>
      <c r="F6" s="80"/>
      <c r="G6" s="80"/>
    </row>
    <row r="7" spans="1:7" ht="15">
      <c r="A7" s="81" t="s">
        <v>1064</v>
      </c>
      <c r="B7" s="80">
        <v>0</v>
      </c>
      <c r="C7" s="110">
        <v>0</v>
      </c>
      <c r="D7" s="80"/>
      <c r="E7" s="80"/>
      <c r="F7" s="80"/>
      <c r="G7" s="80"/>
    </row>
    <row r="8" spans="1:7" ht="15">
      <c r="A8" s="81" t="s">
        <v>1065</v>
      </c>
      <c r="B8" s="80">
        <v>1517</v>
      </c>
      <c r="C8" s="110">
        <v>0.9393188854489164</v>
      </c>
      <c r="D8" s="80"/>
      <c r="E8" s="80"/>
      <c r="F8" s="80"/>
      <c r="G8" s="80"/>
    </row>
    <row r="9" spans="1:7" ht="15">
      <c r="A9" s="81" t="s">
        <v>1066</v>
      </c>
      <c r="B9" s="80">
        <v>1615</v>
      </c>
      <c r="C9" s="110">
        <v>1</v>
      </c>
      <c r="D9" s="80"/>
      <c r="E9" s="80"/>
      <c r="F9" s="80"/>
      <c r="G9" s="80"/>
    </row>
    <row r="10" spans="1:7" ht="15">
      <c r="A10" s="86" t="s">
        <v>289</v>
      </c>
      <c r="B10" s="89">
        <v>39</v>
      </c>
      <c r="C10" s="111">
        <v>0.006931784359058628</v>
      </c>
      <c r="D10" s="89" t="s">
        <v>1158</v>
      </c>
      <c r="E10" s="89" t="b">
        <v>0</v>
      </c>
      <c r="F10" s="89" t="b">
        <v>0</v>
      </c>
      <c r="G10" s="89" t="b">
        <v>0</v>
      </c>
    </row>
    <row r="11" spans="1:7" ht="15">
      <c r="A11" s="86" t="s">
        <v>859</v>
      </c>
      <c r="B11" s="89">
        <v>32</v>
      </c>
      <c r="C11" s="111">
        <v>0.015347482985342158</v>
      </c>
      <c r="D11" s="89" t="s">
        <v>1158</v>
      </c>
      <c r="E11" s="89" t="b">
        <v>0</v>
      </c>
      <c r="F11" s="89" t="b">
        <v>0</v>
      </c>
      <c r="G11" s="89" t="b">
        <v>0</v>
      </c>
    </row>
    <row r="12" spans="1:7" ht="15">
      <c r="A12" s="86" t="s">
        <v>860</v>
      </c>
      <c r="B12" s="89">
        <v>29</v>
      </c>
      <c r="C12" s="111">
        <v>0.01604470867442551</v>
      </c>
      <c r="D12" s="89" t="s">
        <v>1158</v>
      </c>
      <c r="E12" s="89" t="b">
        <v>0</v>
      </c>
      <c r="F12" s="89" t="b">
        <v>0</v>
      </c>
      <c r="G12" s="89" t="b">
        <v>0</v>
      </c>
    </row>
    <row r="13" spans="1:7" ht="15">
      <c r="A13" s="86" t="s">
        <v>861</v>
      </c>
      <c r="B13" s="89">
        <v>25</v>
      </c>
      <c r="C13" s="111">
        <v>0.008672372162095501</v>
      </c>
      <c r="D13" s="89" t="s">
        <v>1158</v>
      </c>
      <c r="E13" s="89" t="b">
        <v>0</v>
      </c>
      <c r="F13" s="89" t="b">
        <v>0</v>
      </c>
      <c r="G13" s="89" t="b">
        <v>0</v>
      </c>
    </row>
    <row r="14" spans="1:7" ht="15">
      <c r="A14" s="86" t="s">
        <v>862</v>
      </c>
      <c r="B14" s="89">
        <v>25</v>
      </c>
      <c r="C14" s="111">
        <v>0.008672372162095501</v>
      </c>
      <c r="D14" s="89" t="s">
        <v>1158</v>
      </c>
      <c r="E14" s="89" t="b">
        <v>0</v>
      </c>
      <c r="F14" s="89" t="b">
        <v>0</v>
      </c>
      <c r="G14" s="89" t="b">
        <v>0</v>
      </c>
    </row>
    <row r="15" spans="1:7" ht="15">
      <c r="A15" s="86" t="s">
        <v>863</v>
      </c>
      <c r="B15" s="89">
        <v>18</v>
      </c>
      <c r="C15" s="111">
        <v>0.008632959179254964</v>
      </c>
      <c r="D15" s="89" t="s">
        <v>1158</v>
      </c>
      <c r="E15" s="89" t="b">
        <v>0</v>
      </c>
      <c r="F15" s="89" t="b">
        <v>0</v>
      </c>
      <c r="G15" s="89" t="b">
        <v>0</v>
      </c>
    </row>
    <row r="16" spans="1:7" ht="15">
      <c r="A16" s="86" t="s">
        <v>864</v>
      </c>
      <c r="B16" s="89">
        <v>18</v>
      </c>
      <c r="C16" s="111">
        <v>0.008632959179254964</v>
      </c>
      <c r="D16" s="89" t="s">
        <v>1158</v>
      </c>
      <c r="E16" s="89" t="b">
        <v>0</v>
      </c>
      <c r="F16" s="89" t="b">
        <v>0</v>
      </c>
      <c r="G16" s="89" t="b">
        <v>0</v>
      </c>
    </row>
    <row r="17" spans="1:7" ht="15">
      <c r="A17" s="86" t="s">
        <v>865</v>
      </c>
      <c r="B17" s="89">
        <v>18</v>
      </c>
      <c r="C17" s="111">
        <v>0.008632959179254964</v>
      </c>
      <c r="D17" s="89" t="s">
        <v>1158</v>
      </c>
      <c r="E17" s="89" t="b">
        <v>0</v>
      </c>
      <c r="F17" s="89" t="b">
        <v>1</v>
      </c>
      <c r="G17" s="89" t="b">
        <v>0</v>
      </c>
    </row>
    <row r="18" spans="1:7" ht="15">
      <c r="A18" s="86" t="s">
        <v>866</v>
      </c>
      <c r="B18" s="89">
        <v>17</v>
      </c>
      <c r="C18" s="111">
        <v>0.00854590933440539</v>
      </c>
      <c r="D18" s="89" t="s">
        <v>1158</v>
      </c>
      <c r="E18" s="89" t="b">
        <v>0</v>
      </c>
      <c r="F18" s="89" t="b">
        <v>0</v>
      </c>
      <c r="G18" s="89" t="b">
        <v>0</v>
      </c>
    </row>
    <row r="19" spans="1:7" ht="15">
      <c r="A19" s="86" t="s">
        <v>300</v>
      </c>
      <c r="B19" s="89">
        <v>16</v>
      </c>
      <c r="C19" s="111">
        <v>0.008435081361655359</v>
      </c>
      <c r="D19" s="89" t="s">
        <v>1158</v>
      </c>
      <c r="E19" s="89" t="b">
        <v>0</v>
      </c>
      <c r="F19" s="89" t="b">
        <v>0</v>
      </c>
      <c r="G19" s="89" t="b">
        <v>0</v>
      </c>
    </row>
    <row r="20" spans="1:7" ht="15">
      <c r="A20" s="86" t="s">
        <v>868</v>
      </c>
      <c r="B20" s="89">
        <v>16</v>
      </c>
      <c r="C20" s="111">
        <v>0.008435081361655359</v>
      </c>
      <c r="D20" s="89" t="s">
        <v>1158</v>
      </c>
      <c r="E20" s="89" t="b">
        <v>0</v>
      </c>
      <c r="F20" s="89" t="b">
        <v>0</v>
      </c>
      <c r="G20" s="89" t="b">
        <v>0</v>
      </c>
    </row>
    <row r="21" spans="1:7" ht="15">
      <c r="A21" s="86" t="s">
        <v>869</v>
      </c>
      <c r="B21" s="89">
        <v>16</v>
      </c>
      <c r="C21" s="111">
        <v>0.008435081361655359</v>
      </c>
      <c r="D21" s="89" t="s">
        <v>1158</v>
      </c>
      <c r="E21" s="89" t="b">
        <v>0</v>
      </c>
      <c r="F21" s="89" t="b">
        <v>0</v>
      </c>
      <c r="G21" s="89" t="b">
        <v>0</v>
      </c>
    </row>
    <row r="22" spans="1:7" ht="15">
      <c r="A22" s="86" t="s">
        <v>870</v>
      </c>
      <c r="B22" s="89">
        <v>16</v>
      </c>
      <c r="C22" s="111">
        <v>0.008435081361655359</v>
      </c>
      <c r="D22" s="89" t="s">
        <v>1158</v>
      </c>
      <c r="E22" s="89" t="b">
        <v>0</v>
      </c>
      <c r="F22" s="89" t="b">
        <v>0</v>
      </c>
      <c r="G22" s="89" t="b">
        <v>0</v>
      </c>
    </row>
    <row r="23" spans="1:7" ht="15">
      <c r="A23" s="86" t="s">
        <v>871</v>
      </c>
      <c r="B23" s="89">
        <v>16</v>
      </c>
      <c r="C23" s="111">
        <v>0.008435081361655359</v>
      </c>
      <c r="D23" s="89" t="s">
        <v>1158</v>
      </c>
      <c r="E23" s="89" t="b">
        <v>0</v>
      </c>
      <c r="F23" s="89" t="b">
        <v>0</v>
      </c>
      <c r="G23" s="89" t="b">
        <v>0</v>
      </c>
    </row>
    <row r="24" spans="1:7" ht="15">
      <c r="A24" s="86" t="s">
        <v>1067</v>
      </c>
      <c r="B24" s="89">
        <v>15</v>
      </c>
      <c r="C24" s="111">
        <v>0.008298987245392506</v>
      </c>
      <c r="D24" s="89" t="s">
        <v>1158</v>
      </c>
      <c r="E24" s="89" t="b">
        <v>0</v>
      </c>
      <c r="F24" s="89" t="b">
        <v>0</v>
      </c>
      <c r="G24" s="89" t="b">
        <v>0</v>
      </c>
    </row>
    <row r="25" spans="1:7" ht="15">
      <c r="A25" s="86" t="s">
        <v>1068</v>
      </c>
      <c r="B25" s="89">
        <v>15</v>
      </c>
      <c r="C25" s="111">
        <v>0.008298987245392506</v>
      </c>
      <c r="D25" s="89" t="s">
        <v>1158</v>
      </c>
      <c r="E25" s="89" t="b">
        <v>0</v>
      </c>
      <c r="F25" s="89" t="b">
        <v>0</v>
      </c>
      <c r="G25" s="89" t="b">
        <v>0</v>
      </c>
    </row>
    <row r="26" spans="1:7" ht="15">
      <c r="A26" s="86" t="s">
        <v>1069</v>
      </c>
      <c r="B26" s="89">
        <v>14</v>
      </c>
      <c r="C26" s="111">
        <v>0.008135940152088081</v>
      </c>
      <c r="D26" s="89" t="s">
        <v>1158</v>
      </c>
      <c r="E26" s="89" t="b">
        <v>0</v>
      </c>
      <c r="F26" s="89" t="b">
        <v>0</v>
      </c>
      <c r="G26" s="89" t="b">
        <v>0</v>
      </c>
    </row>
    <row r="27" spans="1:7" ht="15">
      <c r="A27" s="86" t="s">
        <v>1070</v>
      </c>
      <c r="B27" s="89">
        <v>14</v>
      </c>
      <c r="C27" s="111">
        <v>0.008135940152088081</v>
      </c>
      <c r="D27" s="89" t="s">
        <v>1158</v>
      </c>
      <c r="E27" s="89" t="b">
        <v>0</v>
      </c>
      <c r="F27" s="89" t="b">
        <v>0</v>
      </c>
      <c r="G27" s="89" t="b">
        <v>0</v>
      </c>
    </row>
    <row r="28" spans="1:7" ht="15">
      <c r="A28" s="86" t="s">
        <v>1071</v>
      </c>
      <c r="B28" s="89">
        <v>14</v>
      </c>
      <c r="C28" s="111">
        <v>0.008135940152088081</v>
      </c>
      <c r="D28" s="89" t="s">
        <v>1158</v>
      </c>
      <c r="E28" s="89" t="b">
        <v>1</v>
      </c>
      <c r="F28" s="89" t="b">
        <v>0</v>
      </c>
      <c r="G28" s="89" t="b">
        <v>0</v>
      </c>
    </row>
    <row r="29" spans="1:7" ht="15">
      <c r="A29" s="86" t="s">
        <v>1072</v>
      </c>
      <c r="B29" s="89">
        <v>14</v>
      </c>
      <c r="C29" s="111">
        <v>0.008135940152088081</v>
      </c>
      <c r="D29" s="89" t="s">
        <v>1158</v>
      </c>
      <c r="E29" s="89" t="b">
        <v>0</v>
      </c>
      <c r="F29" s="89" t="b">
        <v>0</v>
      </c>
      <c r="G29" s="89" t="b">
        <v>0</v>
      </c>
    </row>
    <row r="30" spans="1:7" ht="15">
      <c r="A30" s="86" t="s">
        <v>1073</v>
      </c>
      <c r="B30" s="89">
        <v>14</v>
      </c>
      <c r="C30" s="111">
        <v>0.008135940152088081</v>
      </c>
      <c r="D30" s="89" t="s">
        <v>1158</v>
      </c>
      <c r="E30" s="89" t="b">
        <v>0</v>
      </c>
      <c r="F30" s="89" t="b">
        <v>0</v>
      </c>
      <c r="G30" s="89" t="b">
        <v>0</v>
      </c>
    </row>
    <row r="31" spans="1:7" ht="15">
      <c r="A31" s="86" t="s">
        <v>1074</v>
      </c>
      <c r="B31" s="89">
        <v>14</v>
      </c>
      <c r="C31" s="111">
        <v>0.008135940152088081</v>
      </c>
      <c r="D31" s="89" t="s">
        <v>1158</v>
      </c>
      <c r="E31" s="89" t="b">
        <v>0</v>
      </c>
      <c r="F31" s="89" t="b">
        <v>0</v>
      </c>
      <c r="G31" s="89" t="b">
        <v>0</v>
      </c>
    </row>
    <row r="32" spans="1:7" ht="15">
      <c r="A32" s="86" t="s">
        <v>1075</v>
      </c>
      <c r="B32" s="89">
        <v>14</v>
      </c>
      <c r="C32" s="111">
        <v>0.008135940152088081</v>
      </c>
      <c r="D32" s="89" t="s">
        <v>1158</v>
      </c>
      <c r="E32" s="89" t="b">
        <v>0</v>
      </c>
      <c r="F32" s="89" t="b">
        <v>0</v>
      </c>
      <c r="G32" s="89" t="b">
        <v>0</v>
      </c>
    </row>
    <row r="33" spans="1:7" ht="15">
      <c r="A33" s="86" t="s">
        <v>1076</v>
      </c>
      <c r="B33" s="89">
        <v>14</v>
      </c>
      <c r="C33" s="111">
        <v>0.008135940152088081</v>
      </c>
      <c r="D33" s="89" t="s">
        <v>1158</v>
      </c>
      <c r="E33" s="89" t="b">
        <v>0</v>
      </c>
      <c r="F33" s="89" t="b">
        <v>0</v>
      </c>
      <c r="G33" s="89" t="b">
        <v>0</v>
      </c>
    </row>
    <row r="34" spans="1:7" ht="15">
      <c r="A34" s="86" t="s">
        <v>1077</v>
      </c>
      <c r="B34" s="89">
        <v>14</v>
      </c>
      <c r="C34" s="111">
        <v>0.008135940152088081</v>
      </c>
      <c r="D34" s="89" t="s">
        <v>1158</v>
      </c>
      <c r="E34" s="89" t="b">
        <v>0</v>
      </c>
      <c r="F34" s="89" t="b">
        <v>1</v>
      </c>
      <c r="G34" s="89" t="b">
        <v>0</v>
      </c>
    </row>
    <row r="35" spans="1:7" ht="15">
      <c r="A35" s="86" t="s">
        <v>1078</v>
      </c>
      <c r="B35" s="89">
        <v>14</v>
      </c>
      <c r="C35" s="111">
        <v>0.008135940152088081</v>
      </c>
      <c r="D35" s="89" t="s">
        <v>1158</v>
      </c>
      <c r="E35" s="89" t="b">
        <v>0</v>
      </c>
      <c r="F35" s="89" t="b">
        <v>0</v>
      </c>
      <c r="G35" s="89" t="b">
        <v>0</v>
      </c>
    </row>
    <row r="36" spans="1:7" ht="15">
      <c r="A36" s="86" t="s">
        <v>1079</v>
      </c>
      <c r="B36" s="89">
        <v>14</v>
      </c>
      <c r="C36" s="111">
        <v>0.008135940152088081</v>
      </c>
      <c r="D36" s="89" t="s">
        <v>1158</v>
      </c>
      <c r="E36" s="89" t="b">
        <v>0</v>
      </c>
      <c r="F36" s="89" t="b">
        <v>0</v>
      </c>
      <c r="G36" s="89" t="b">
        <v>0</v>
      </c>
    </row>
    <row r="37" spans="1:7" ht="15">
      <c r="A37" s="86" t="s">
        <v>1080</v>
      </c>
      <c r="B37" s="89">
        <v>14</v>
      </c>
      <c r="C37" s="111">
        <v>0.008135940152088081</v>
      </c>
      <c r="D37" s="89" t="s">
        <v>1158</v>
      </c>
      <c r="E37" s="89" t="b">
        <v>0</v>
      </c>
      <c r="F37" s="89" t="b">
        <v>0</v>
      </c>
      <c r="G37" s="89" t="b">
        <v>0</v>
      </c>
    </row>
    <row r="38" spans="1:7" ht="15">
      <c r="A38" s="86" t="s">
        <v>1081</v>
      </c>
      <c r="B38" s="89">
        <v>14</v>
      </c>
      <c r="C38" s="111">
        <v>0.008135940152088081</v>
      </c>
      <c r="D38" s="89" t="s">
        <v>1158</v>
      </c>
      <c r="E38" s="89" t="b">
        <v>0</v>
      </c>
      <c r="F38" s="89" t="b">
        <v>0</v>
      </c>
      <c r="G38" s="89" t="b">
        <v>0</v>
      </c>
    </row>
    <row r="39" spans="1:7" ht="15">
      <c r="A39" s="86" t="s">
        <v>1082</v>
      </c>
      <c r="B39" s="89">
        <v>14</v>
      </c>
      <c r="C39" s="111">
        <v>0.008135940152088081</v>
      </c>
      <c r="D39" s="89" t="s">
        <v>1158</v>
      </c>
      <c r="E39" s="89" t="b">
        <v>0</v>
      </c>
      <c r="F39" s="89" t="b">
        <v>0</v>
      </c>
      <c r="G39" s="89" t="b">
        <v>0</v>
      </c>
    </row>
    <row r="40" spans="1:7" ht="15">
      <c r="A40" s="86" t="s">
        <v>846</v>
      </c>
      <c r="B40" s="89">
        <v>10</v>
      </c>
      <c r="C40" s="111">
        <v>0.0071707163873687835</v>
      </c>
      <c r="D40" s="89" t="s">
        <v>1158</v>
      </c>
      <c r="E40" s="89" t="b">
        <v>0</v>
      </c>
      <c r="F40" s="89" t="b">
        <v>0</v>
      </c>
      <c r="G40" s="89" t="b">
        <v>0</v>
      </c>
    </row>
    <row r="41" spans="1:7" ht="15">
      <c r="A41" s="86" t="s">
        <v>877</v>
      </c>
      <c r="B41" s="89">
        <v>10</v>
      </c>
      <c r="C41" s="111">
        <v>0.0071707163873687835</v>
      </c>
      <c r="D41" s="89" t="s">
        <v>1158</v>
      </c>
      <c r="E41" s="89" t="b">
        <v>0</v>
      </c>
      <c r="F41" s="89" t="b">
        <v>0</v>
      </c>
      <c r="G41" s="89" t="b">
        <v>0</v>
      </c>
    </row>
    <row r="42" spans="1:7" ht="15">
      <c r="A42" s="86" t="s">
        <v>1083</v>
      </c>
      <c r="B42" s="89">
        <v>10</v>
      </c>
      <c r="C42" s="111">
        <v>0.0071707163873687835</v>
      </c>
      <c r="D42" s="89" t="s">
        <v>1158</v>
      </c>
      <c r="E42" s="89" t="b">
        <v>0</v>
      </c>
      <c r="F42" s="89" t="b">
        <v>0</v>
      </c>
      <c r="G42" s="89" t="b">
        <v>0</v>
      </c>
    </row>
    <row r="43" spans="1:7" ht="15">
      <c r="A43" s="86" t="s">
        <v>1084</v>
      </c>
      <c r="B43" s="89">
        <v>9</v>
      </c>
      <c r="C43" s="111">
        <v>0.006836730716116627</v>
      </c>
      <c r="D43" s="89" t="s">
        <v>1158</v>
      </c>
      <c r="E43" s="89" t="b">
        <v>0</v>
      </c>
      <c r="F43" s="89" t="b">
        <v>0</v>
      </c>
      <c r="G43" s="89" t="b">
        <v>0</v>
      </c>
    </row>
    <row r="44" spans="1:7" ht="15">
      <c r="A44" s="86" t="s">
        <v>1085</v>
      </c>
      <c r="B44" s="89">
        <v>9</v>
      </c>
      <c r="C44" s="111">
        <v>0.006836730716116627</v>
      </c>
      <c r="D44" s="89" t="s">
        <v>1158</v>
      </c>
      <c r="E44" s="89" t="b">
        <v>0</v>
      </c>
      <c r="F44" s="89" t="b">
        <v>0</v>
      </c>
      <c r="G44" s="89" t="b">
        <v>0</v>
      </c>
    </row>
    <row r="45" spans="1:7" ht="15">
      <c r="A45" s="86" t="s">
        <v>1086</v>
      </c>
      <c r="B45" s="89">
        <v>9</v>
      </c>
      <c r="C45" s="111">
        <v>0.006836730716116627</v>
      </c>
      <c r="D45" s="89" t="s">
        <v>1158</v>
      </c>
      <c r="E45" s="89" t="b">
        <v>0</v>
      </c>
      <c r="F45" s="89" t="b">
        <v>0</v>
      </c>
      <c r="G45" s="89" t="b">
        <v>0</v>
      </c>
    </row>
    <row r="46" spans="1:7" ht="15">
      <c r="A46" s="86" t="s">
        <v>873</v>
      </c>
      <c r="B46" s="89">
        <v>8</v>
      </c>
      <c r="C46" s="111">
        <v>0.0064577639043735865</v>
      </c>
      <c r="D46" s="89" t="s">
        <v>1158</v>
      </c>
      <c r="E46" s="89" t="b">
        <v>0</v>
      </c>
      <c r="F46" s="89" t="b">
        <v>0</v>
      </c>
      <c r="G46" s="89" t="b">
        <v>0</v>
      </c>
    </row>
    <row r="47" spans="1:7" ht="15">
      <c r="A47" s="86" t="s">
        <v>874</v>
      </c>
      <c r="B47" s="89">
        <v>8</v>
      </c>
      <c r="C47" s="111">
        <v>0.0064577639043735865</v>
      </c>
      <c r="D47" s="89" t="s">
        <v>1158</v>
      </c>
      <c r="E47" s="89" t="b">
        <v>0</v>
      </c>
      <c r="F47" s="89" t="b">
        <v>0</v>
      </c>
      <c r="G47" s="89" t="b">
        <v>0</v>
      </c>
    </row>
    <row r="48" spans="1:7" ht="15">
      <c r="A48" s="86" t="s">
        <v>1087</v>
      </c>
      <c r="B48" s="89">
        <v>8</v>
      </c>
      <c r="C48" s="111">
        <v>0.0064577639043735865</v>
      </c>
      <c r="D48" s="89" t="s">
        <v>1158</v>
      </c>
      <c r="E48" s="89" t="b">
        <v>0</v>
      </c>
      <c r="F48" s="89" t="b">
        <v>0</v>
      </c>
      <c r="G48" s="89" t="b">
        <v>0</v>
      </c>
    </row>
    <row r="49" spans="1:7" ht="15">
      <c r="A49" s="86" t="s">
        <v>1088</v>
      </c>
      <c r="B49" s="89">
        <v>8</v>
      </c>
      <c r="C49" s="111">
        <v>0.0064577639043735865</v>
      </c>
      <c r="D49" s="89" t="s">
        <v>1158</v>
      </c>
      <c r="E49" s="89" t="b">
        <v>0</v>
      </c>
      <c r="F49" s="89" t="b">
        <v>0</v>
      </c>
      <c r="G49" s="89" t="b">
        <v>0</v>
      </c>
    </row>
    <row r="50" spans="1:7" ht="15">
      <c r="A50" s="86" t="s">
        <v>1089</v>
      </c>
      <c r="B50" s="89">
        <v>8</v>
      </c>
      <c r="C50" s="111">
        <v>0.0064577639043735865</v>
      </c>
      <c r="D50" s="89" t="s">
        <v>1158</v>
      </c>
      <c r="E50" s="89" t="b">
        <v>0</v>
      </c>
      <c r="F50" s="89" t="b">
        <v>0</v>
      </c>
      <c r="G50" s="89" t="b">
        <v>0</v>
      </c>
    </row>
    <row r="51" spans="1:7" ht="15">
      <c r="A51" s="86" t="s">
        <v>1090</v>
      </c>
      <c r="B51" s="89">
        <v>8</v>
      </c>
      <c r="C51" s="111">
        <v>0.0064577639043735865</v>
      </c>
      <c r="D51" s="89" t="s">
        <v>1158</v>
      </c>
      <c r="E51" s="89" t="b">
        <v>1</v>
      </c>
      <c r="F51" s="89" t="b">
        <v>0</v>
      </c>
      <c r="G51" s="89" t="b">
        <v>0</v>
      </c>
    </row>
    <row r="52" spans="1:7" ht="15">
      <c r="A52" s="86" t="s">
        <v>1091</v>
      </c>
      <c r="B52" s="89">
        <v>8</v>
      </c>
      <c r="C52" s="111">
        <v>0.0064577639043735865</v>
      </c>
      <c r="D52" s="89" t="s">
        <v>1158</v>
      </c>
      <c r="E52" s="89" t="b">
        <v>0</v>
      </c>
      <c r="F52" s="89" t="b">
        <v>0</v>
      </c>
      <c r="G52" s="89" t="b">
        <v>0</v>
      </c>
    </row>
    <row r="53" spans="1:7" ht="15">
      <c r="A53" s="86" t="s">
        <v>1092</v>
      </c>
      <c r="B53" s="89">
        <v>8</v>
      </c>
      <c r="C53" s="111">
        <v>0.0064577639043735865</v>
      </c>
      <c r="D53" s="89" t="s">
        <v>1158</v>
      </c>
      <c r="E53" s="89" t="b">
        <v>0</v>
      </c>
      <c r="F53" s="89" t="b">
        <v>0</v>
      </c>
      <c r="G53" s="89" t="b">
        <v>0</v>
      </c>
    </row>
    <row r="54" spans="1:7" ht="15">
      <c r="A54" s="86" t="s">
        <v>1093</v>
      </c>
      <c r="B54" s="89">
        <v>8</v>
      </c>
      <c r="C54" s="111">
        <v>0.0064577639043735865</v>
      </c>
      <c r="D54" s="89" t="s">
        <v>1158</v>
      </c>
      <c r="E54" s="89" t="b">
        <v>0</v>
      </c>
      <c r="F54" s="89" t="b">
        <v>0</v>
      </c>
      <c r="G54" s="89" t="b">
        <v>0</v>
      </c>
    </row>
    <row r="55" spans="1:7" ht="15">
      <c r="A55" s="86" t="s">
        <v>1094</v>
      </c>
      <c r="B55" s="89">
        <v>8</v>
      </c>
      <c r="C55" s="111">
        <v>0.0064577639043735865</v>
      </c>
      <c r="D55" s="89" t="s">
        <v>1158</v>
      </c>
      <c r="E55" s="89" t="b">
        <v>0</v>
      </c>
      <c r="F55" s="89" t="b">
        <v>0</v>
      </c>
      <c r="G55" s="89" t="b">
        <v>0</v>
      </c>
    </row>
    <row r="56" spans="1:7" ht="15">
      <c r="A56" s="86" t="s">
        <v>1095</v>
      </c>
      <c r="B56" s="89">
        <v>8</v>
      </c>
      <c r="C56" s="111">
        <v>0.0064577639043735865</v>
      </c>
      <c r="D56" s="89" t="s">
        <v>1158</v>
      </c>
      <c r="E56" s="89" t="b">
        <v>0</v>
      </c>
      <c r="F56" s="89" t="b">
        <v>0</v>
      </c>
      <c r="G56" s="89" t="b">
        <v>0</v>
      </c>
    </row>
    <row r="57" spans="1:7" ht="15">
      <c r="A57" s="86" t="s">
        <v>1096</v>
      </c>
      <c r="B57" s="89">
        <v>8</v>
      </c>
      <c r="C57" s="111">
        <v>0.0064577639043735865</v>
      </c>
      <c r="D57" s="89" t="s">
        <v>1158</v>
      </c>
      <c r="E57" s="89" t="b">
        <v>0</v>
      </c>
      <c r="F57" s="89" t="b">
        <v>0</v>
      </c>
      <c r="G57" s="89" t="b">
        <v>0</v>
      </c>
    </row>
    <row r="58" spans="1:7" ht="15">
      <c r="A58" s="86" t="s">
        <v>1097</v>
      </c>
      <c r="B58" s="89">
        <v>8</v>
      </c>
      <c r="C58" s="111">
        <v>0.0064577639043735865</v>
      </c>
      <c r="D58" s="89" t="s">
        <v>1158</v>
      </c>
      <c r="E58" s="89" t="b">
        <v>0</v>
      </c>
      <c r="F58" s="89" t="b">
        <v>0</v>
      </c>
      <c r="G58" s="89" t="b">
        <v>0</v>
      </c>
    </row>
    <row r="59" spans="1:7" ht="15">
      <c r="A59" s="86" t="s">
        <v>1098</v>
      </c>
      <c r="B59" s="89">
        <v>8</v>
      </c>
      <c r="C59" s="111">
        <v>0.0064577639043735865</v>
      </c>
      <c r="D59" s="89" t="s">
        <v>1158</v>
      </c>
      <c r="E59" s="89" t="b">
        <v>0</v>
      </c>
      <c r="F59" s="89" t="b">
        <v>0</v>
      </c>
      <c r="G59" s="89" t="b">
        <v>0</v>
      </c>
    </row>
    <row r="60" spans="1:7" ht="15">
      <c r="A60" s="86" t="s">
        <v>1099</v>
      </c>
      <c r="B60" s="89">
        <v>8</v>
      </c>
      <c r="C60" s="111">
        <v>0.0064577639043735865</v>
      </c>
      <c r="D60" s="89" t="s">
        <v>1158</v>
      </c>
      <c r="E60" s="89" t="b">
        <v>1</v>
      </c>
      <c r="F60" s="89" t="b">
        <v>0</v>
      </c>
      <c r="G60" s="89" t="b">
        <v>0</v>
      </c>
    </row>
    <row r="61" spans="1:7" ht="15">
      <c r="A61" s="86" t="s">
        <v>1100</v>
      </c>
      <c r="B61" s="89">
        <v>8</v>
      </c>
      <c r="C61" s="111">
        <v>0.0064577639043735865</v>
      </c>
      <c r="D61" s="89" t="s">
        <v>1158</v>
      </c>
      <c r="E61" s="89" t="b">
        <v>0</v>
      </c>
      <c r="F61" s="89" t="b">
        <v>0</v>
      </c>
      <c r="G61" s="89" t="b">
        <v>0</v>
      </c>
    </row>
    <row r="62" spans="1:7" ht="15">
      <c r="A62" s="86" t="s">
        <v>1101</v>
      </c>
      <c r="B62" s="89">
        <v>8</v>
      </c>
      <c r="C62" s="111">
        <v>0.0064577639043735865</v>
      </c>
      <c r="D62" s="89" t="s">
        <v>1158</v>
      </c>
      <c r="E62" s="89" t="b">
        <v>0</v>
      </c>
      <c r="F62" s="89" t="b">
        <v>0</v>
      </c>
      <c r="G62" s="89" t="b">
        <v>0</v>
      </c>
    </row>
    <row r="63" spans="1:7" ht="15">
      <c r="A63" s="86" t="s">
        <v>1102</v>
      </c>
      <c r="B63" s="89">
        <v>8</v>
      </c>
      <c r="C63" s="111">
        <v>0.0064577639043735865</v>
      </c>
      <c r="D63" s="89" t="s">
        <v>1158</v>
      </c>
      <c r="E63" s="89" t="b">
        <v>0</v>
      </c>
      <c r="F63" s="89" t="b">
        <v>0</v>
      </c>
      <c r="G63" s="89" t="b">
        <v>0</v>
      </c>
    </row>
    <row r="64" spans="1:7" ht="15">
      <c r="A64" s="86" t="s">
        <v>1103</v>
      </c>
      <c r="B64" s="89">
        <v>8</v>
      </c>
      <c r="C64" s="111">
        <v>0.0064577639043735865</v>
      </c>
      <c r="D64" s="89" t="s">
        <v>1158</v>
      </c>
      <c r="E64" s="89" t="b">
        <v>0</v>
      </c>
      <c r="F64" s="89" t="b">
        <v>0</v>
      </c>
      <c r="G64" s="89" t="b">
        <v>0</v>
      </c>
    </row>
    <row r="65" spans="1:7" ht="15">
      <c r="A65" s="86" t="s">
        <v>1104</v>
      </c>
      <c r="B65" s="89">
        <v>8</v>
      </c>
      <c r="C65" s="111">
        <v>0.0064577639043735865</v>
      </c>
      <c r="D65" s="89" t="s">
        <v>1158</v>
      </c>
      <c r="E65" s="89" t="b">
        <v>0</v>
      </c>
      <c r="F65" s="89" t="b">
        <v>0</v>
      </c>
      <c r="G65" s="89" t="b">
        <v>0</v>
      </c>
    </row>
    <row r="66" spans="1:7" ht="15">
      <c r="A66" s="86" t="s">
        <v>1105</v>
      </c>
      <c r="B66" s="89">
        <v>8</v>
      </c>
      <c r="C66" s="111">
        <v>0.0064577639043735865</v>
      </c>
      <c r="D66" s="89" t="s">
        <v>1158</v>
      </c>
      <c r="E66" s="89" t="b">
        <v>1</v>
      </c>
      <c r="F66" s="89" t="b">
        <v>0</v>
      </c>
      <c r="G66" s="89" t="b">
        <v>0</v>
      </c>
    </row>
    <row r="67" spans="1:7" ht="15">
      <c r="A67" s="86" t="s">
        <v>1106</v>
      </c>
      <c r="B67" s="89">
        <v>8</v>
      </c>
      <c r="C67" s="111">
        <v>0.0064577639043735865</v>
      </c>
      <c r="D67" s="89" t="s">
        <v>1158</v>
      </c>
      <c r="E67" s="89" t="b">
        <v>0</v>
      </c>
      <c r="F67" s="89" t="b">
        <v>0</v>
      </c>
      <c r="G67" s="89" t="b">
        <v>0</v>
      </c>
    </row>
    <row r="68" spans="1:7" ht="15">
      <c r="A68" s="86" t="s">
        <v>1107</v>
      </c>
      <c r="B68" s="89">
        <v>8</v>
      </c>
      <c r="C68" s="111">
        <v>0.0064577639043735865</v>
      </c>
      <c r="D68" s="89" t="s">
        <v>1158</v>
      </c>
      <c r="E68" s="89" t="b">
        <v>0</v>
      </c>
      <c r="F68" s="89" t="b">
        <v>0</v>
      </c>
      <c r="G68" s="89" t="b">
        <v>0</v>
      </c>
    </row>
    <row r="69" spans="1:7" ht="15">
      <c r="A69" s="86" t="s">
        <v>1108</v>
      </c>
      <c r="B69" s="89">
        <v>8</v>
      </c>
      <c r="C69" s="111">
        <v>0.0064577639043735865</v>
      </c>
      <c r="D69" s="89" t="s">
        <v>1158</v>
      </c>
      <c r="E69" s="89" t="b">
        <v>0</v>
      </c>
      <c r="F69" s="89" t="b">
        <v>0</v>
      </c>
      <c r="G69" s="89" t="b">
        <v>0</v>
      </c>
    </row>
    <row r="70" spans="1:7" ht="15">
      <c r="A70" s="86" t="s">
        <v>1109</v>
      </c>
      <c r="B70" s="89">
        <v>8</v>
      </c>
      <c r="C70" s="111">
        <v>0.0064577639043735865</v>
      </c>
      <c r="D70" s="89" t="s">
        <v>1158</v>
      </c>
      <c r="E70" s="89" t="b">
        <v>0</v>
      </c>
      <c r="F70" s="89" t="b">
        <v>0</v>
      </c>
      <c r="G70" s="89" t="b">
        <v>0</v>
      </c>
    </row>
    <row r="71" spans="1:7" ht="15">
      <c r="A71" s="86" t="s">
        <v>1110</v>
      </c>
      <c r="B71" s="89">
        <v>8</v>
      </c>
      <c r="C71" s="111">
        <v>0.0064577639043735865</v>
      </c>
      <c r="D71" s="89" t="s">
        <v>1158</v>
      </c>
      <c r="E71" s="89" t="b">
        <v>0</v>
      </c>
      <c r="F71" s="89" t="b">
        <v>0</v>
      </c>
      <c r="G71" s="89" t="b">
        <v>0</v>
      </c>
    </row>
    <row r="72" spans="1:7" ht="15">
      <c r="A72" s="86" t="s">
        <v>1111</v>
      </c>
      <c r="B72" s="89">
        <v>8</v>
      </c>
      <c r="C72" s="111">
        <v>0.0064577639043735865</v>
      </c>
      <c r="D72" s="89" t="s">
        <v>1158</v>
      </c>
      <c r="E72" s="89" t="b">
        <v>0</v>
      </c>
      <c r="F72" s="89" t="b">
        <v>0</v>
      </c>
      <c r="G72" s="89" t="b">
        <v>0</v>
      </c>
    </row>
    <row r="73" spans="1:7" ht="15">
      <c r="A73" s="86" t="s">
        <v>1112</v>
      </c>
      <c r="B73" s="89">
        <v>8</v>
      </c>
      <c r="C73" s="111">
        <v>0.0064577639043735865</v>
      </c>
      <c r="D73" s="89" t="s">
        <v>1158</v>
      </c>
      <c r="E73" s="89" t="b">
        <v>0</v>
      </c>
      <c r="F73" s="89" t="b">
        <v>0</v>
      </c>
      <c r="G73" s="89" t="b">
        <v>0</v>
      </c>
    </row>
    <row r="74" spans="1:7" ht="15">
      <c r="A74" s="86" t="s">
        <v>899</v>
      </c>
      <c r="B74" s="89">
        <v>7</v>
      </c>
      <c r="C74" s="111">
        <v>0.006028165396646709</v>
      </c>
      <c r="D74" s="89" t="s">
        <v>1158</v>
      </c>
      <c r="E74" s="89" t="b">
        <v>0</v>
      </c>
      <c r="F74" s="89" t="b">
        <v>0</v>
      </c>
      <c r="G74" s="89" t="b">
        <v>0</v>
      </c>
    </row>
    <row r="75" spans="1:7" ht="15">
      <c r="A75" s="86" t="s">
        <v>900</v>
      </c>
      <c r="B75" s="89">
        <v>7</v>
      </c>
      <c r="C75" s="111">
        <v>0.006028165396646709</v>
      </c>
      <c r="D75" s="89" t="s">
        <v>1158</v>
      </c>
      <c r="E75" s="89" t="b">
        <v>0</v>
      </c>
      <c r="F75" s="89" t="b">
        <v>0</v>
      </c>
      <c r="G75" s="89" t="b">
        <v>0</v>
      </c>
    </row>
    <row r="76" spans="1:7" ht="15">
      <c r="A76" s="86" t="s">
        <v>901</v>
      </c>
      <c r="B76" s="89">
        <v>7</v>
      </c>
      <c r="C76" s="111">
        <v>0.006028165396646709</v>
      </c>
      <c r="D76" s="89" t="s">
        <v>1158</v>
      </c>
      <c r="E76" s="89" t="b">
        <v>0</v>
      </c>
      <c r="F76" s="89" t="b">
        <v>0</v>
      </c>
      <c r="G76" s="89" t="b">
        <v>0</v>
      </c>
    </row>
    <row r="77" spans="1:7" ht="15">
      <c r="A77" s="86" t="s">
        <v>902</v>
      </c>
      <c r="B77" s="89">
        <v>7</v>
      </c>
      <c r="C77" s="111">
        <v>0.006028165396646709</v>
      </c>
      <c r="D77" s="89" t="s">
        <v>1158</v>
      </c>
      <c r="E77" s="89" t="b">
        <v>0</v>
      </c>
      <c r="F77" s="89" t="b">
        <v>0</v>
      </c>
      <c r="G77" s="89" t="b">
        <v>0</v>
      </c>
    </row>
    <row r="78" spans="1:7" ht="15">
      <c r="A78" s="86" t="s">
        <v>878</v>
      </c>
      <c r="B78" s="89">
        <v>5</v>
      </c>
      <c r="C78" s="111">
        <v>0.004985497708400583</v>
      </c>
      <c r="D78" s="89" t="s">
        <v>1158</v>
      </c>
      <c r="E78" s="89" t="b">
        <v>0</v>
      </c>
      <c r="F78" s="89" t="b">
        <v>0</v>
      </c>
      <c r="G78" s="89" t="b">
        <v>0</v>
      </c>
    </row>
    <row r="79" spans="1:7" ht="15">
      <c r="A79" s="86" t="s">
        <v>307</v>
      </c>
      <c r="B79" s="89">
        <v>4</v>
      </c>
      <c r="C79" s="111">
        <v>0.004348993563959746</v>
      </c>
      <c r="D79" s="89" t="s">
        <v>1158</v>
      </c>
      <c r="E79" s="89" t="b">
        <v>0</v>
      </c>
      <c r="F79" s="89" t="b">
        <v>0</v>
      </c>
      <c r="G79" s="89" t="b">
        <v>0</v>
      </c>
    </row>
    <row r="80" spans="1:7" ht="15">
      <c r="A80" s="86" t="s">
        <v>880</v>
      </c>
      <c r="B80" s="89">
        <v>4</v>
      </c>
      <c r="C80" s="111">
        <v>0.004348993563959746</v>
      </c>
      <c r="D80" s="89" t="s">
        <v>1158</v>
      </c>
      <c r="E80" s="89" t="b">
        <v>0</v>
      </c>
      <c r="F80" s="89" t="b">
        <v>0</v>
      </c>
      <c r="G80" s="89" t="b">
        <v>0</v>
      </c>
    </row>
    <row r="81" spans="1:7" ht="15">
      <c r="A81" s="86" t="s">
        <v>881</v>
      </c>
      <c r="B81" s="89">
        <v>4</v>
      </c>
      <c r="C81" s="111">
        <v>0.004348993563959746</v>
      </c>
      <c r="D81" s="89" t="s">
        <v>1158</v>
      </c>
      <c r="E81" s="89" t="b">
        <v>0</v>
      </c>
      <c r="F81" s="89" t="b">
        <v>0</v>
      </c>
      <c r="G81" s="89" t="b">
        <v>0</v>
      </c>
    </row>
    <row r="82" spans="1:7" ht="15">
      <c r="A82" s="86" t="s">
        <v>882</v>
      </c>
      <c r="B82" s="89">
        <v>4</v>
      </c>
      <c r="C82" s="111">
        <v>0.004348993563959746</v>
      </c>
      <c r="D82" s="89" t="s">
        <v>1158</v>
      </c>
      <c r="E82" s="89" t="b">
        <v>0</v>
      </c>
      <c r="F82" s="89" t="b">
        <v>0</v>
      </c>
      <c r="G82" s="89" t="b">
        <v>0</v>
      </c>
    </row>
    <row r="83" spans="1:7" ht="15">
      <c r="A83" s="86" t="s">
        <v>306</v>
      </c>
      <c r="B83" s="89">
        <v>4</v>
      </c>
      <c r="C83" s="111">
        <v>0.004348993563959746</v>
      </c>
      <c r="D83" s="89" t="s">
        <v>1158</v>
      </c>
      <c r="E83" s="89" t="b">
        <v>0</v>
      </c>
      <c r="F83" s="89" t="b">
        <v>0</v>
      </c>
      <c r="G83" s="89" t="b">
        <v>0</v>
      </c>
    </row>
    <row r="84" spans="1:7" ht="15">
      <c r="A84" s="86" t="s">
        <v>883</v>
      </c>
      <c r="B84" s="89">
        <v>4</v>
      </c>
      <c r="C84" s="111">
        <v>0.004348993563959746</v>
      </c>
      <c r="D84" s="89" t="s">
        <v>1158</v>
      </c>
      <c r="E84" s="89" t="b">
        <v>0</v>
      </c>
      <c r="F84" s="89" t="b">
        <v>0</v>
      </c>
      <c r="G84" s="89" t="b">
        <v>0</v>
      </c>
    </row>
    <row r="85" spans="1:7" ht="15">
      <c r="A85" s="86" t="s">
        <v>884</v>
      </c>
      <c r="B85" s="89">
        <v>4</v>
      </c>
      <c r="C85" s="111">
        <v>0.004348993563959746</v>
      </c>
      <c r="D85" s="89" t="s">
        <v>1158</v>
      </c>
      <c r="E85" s="89" t="b">
        <v>0</v>
      </c>
      <c r="F85" s="89" t="b">
        <v>0</v>
      </c>
      <c r="G85" s="89" t="b">
        <v>0</v>
      </c>
    </row>
    <row r="86" spans="1:7" ht="15">
      <c r="A86" s="86" t="s">
        <v>885</v>
      </c>
      <c r="B86" s="89">
        <v>4</v>
      </c>
      <c r="C86" s="111">
        <v>0.004348993563959746</v>
      </c>
      <c r="D86" s="89" t="s">
        <v>1158</v>
      </c>
      <c r="E86" s="89" t="b">
        <v>0</v>
      </c>
      <c r="F86" s="89" t="b">
        <v>0</v>
      </c>
      <c r="G86" s="89" t="b">
        <v>0</v>
      </c>
    </row>
    <row r="87" spans="1:7" ht="15">
      <c r="A87" s="86" t="s">
        <v>886</v>
      </c>
      <c r="B87" s="89">
        <v>4</v>
      </c>
      <c r="C87" s="111">
        <v>0.004348993563959746</v>
      </c>
      <c r="D87" s="89" t="s">
        <v>1158</v>
      </c>
      <c r="E87" s="89" t="b">
        <v>0</v>
      </c>
      <c r="F87" s="89" t="b">
        <v>0</v>
      </c>
      <c r="G87" s="89" t="b">
        <v>0</v>
      </c>
    </row>
    <row r="88" spans="1:7" ht="15">
      <c r="A88" s="86" t="s">
        <v>887</v>
      </c>
      <c r="B88" s="89">
        <v>4</v>
      </c>
      <c r="C88" s="111">
        <v>0.004348993563959746</v>
      </c>
      <c r="D88" s="89" t="s">
        <v>1158</v>
      </c>
      <c r="E88" s="89" t="b">
        <v>0</v>
      </c>
      <c r="F88" s="89" t="b">
        <v>0</v>
      </c>
      <c r="G88" s="89" t="b">
        <v>0</v>
      </c>
    </row>
    <row r="89" spans="1:7" ht="15">
      <c r="A89" s="86" t="s">
        <v>888</v>
      </c>
      <c r="B89" s="89">
        <v>4</v>
      </c>
      <c r="C89" s="111">
        <v>0.004348993563959746</v>
      </c>
      <c r="D89" s="89" t="s">
        <v>1158</v>
      </c>
      <c r="E89" s="89" t="b">
        <v>0</v>
      </c>
      <c r="F89" s="89" t="b">
        <v>0</v>
      </c>
      <c r="G89" s="89" t="b">
        <v>0</v>
      </c>
    </row>
    <row r="90" spans="1:7" ht="15">
      <c r="A90" s="86" t="s">
        <v>1113</v>
      </c>
      <c r="B90" s="89">
        <v>4</v>
      </c>
      <c r="C90" s="111">
        <v>0.004348993563959746</v>
      </c>
      <c r="D90" s="89" t="s">
        <v>1158</v>
      </c>
      <c r="E90" s="89" t="b">
        <v>0</v>
      </c>
      <c r="F90" s="89" t="b">
        <v>0</v>
      </c>
      <c r="G90" s="89" t="b">
        <v>0</v>
      </c>
    </row>
    <row r="91" spans="1:7" ht="15">
      <c r="A91" s="86" t="s">
        <v>1114</v>
      </c>
      <c r="B91" s="89">
        <v>4</v>
      </c>
      <c r="C91" s="111">
        <v>0.004348993563959746</v>
      </c>
      <c r="D91" s="89" t="s">
        <v>1158</v>
      </c>
      <c r="E91" s="89" t="b">
        <v>0</v>
      </c>
      <c r="F91" s="89" t="b">
        <v>0</v>
      </c>
      <c r="G91" s="89" t="b">
        <v>0</v>
      </c>
    </row>
    <row r="92" spans="1:7" ht="15">
      <c r="A92" s="86" t="s">
        <v>1115</v>
      </c>
      <c r="B92" s="89">
        <v>4</v>
      </c>
      <c r="C92" s="111">
        <v>0.004348993563959746</v>
      </c>
      <c r="D92" s="89" t="s">
        <v>1158</v>
      </c>
      <c r="E92" s="89" t="b">
        <v>0</v>
      </c>
      <c r="F92" s="89" t="b">
        <v>0</v>
      </c>
      <c r="G92" s="89" t="b">
        <v>0</v>
      </c>
    </row>
    <row r="93" spans="1:7" ht="15">
      <c r="A93" s="86" t="s">
        <v>1116</v>
      </c>
      <c r="B93" s="89">
        <v>4</v>
      </c>
      <c r="C93" s="111">
        <v>0.004348993563959746</v>
      </c>
      <c r="D93" s="89" t="s">
        <v>1158</v>
      </c>
      <c r="E93" s="89" t="b">
        <v>0</v>
      </c>
      <c r="F93" s="89" t="b">
        <v>0</v>
      </c>
      <c r="G93" s="89" t="b">
        <v>0</v>
      </c>
    </row>
    <row r="94" spans="1:7" ht="15">
      <c r="A94" s="86" t="s">
        <v>295</v>
      </c>
      <c r="B94" s="89">
        <v>4</v>
      </c>
      <c r="C94" s="111">
        <v>0.004348993563959746</v>
      </c>
      <c r="D94" s="89" t="s">
        <v>1158</v>
      </c>
      <c r="E94" s="89" t="b">
        <v>0</v>
      </c>
      <c r="F94" s="89" t="b">
        <v>0</v>
      </c>
      <c r="G94" s="89" t="b">
        <v>0</v>
      </c>
    </row>
    <row r="95" spans="1:7" ht="15">
      <c r="A95" s="86" t="s">
        <v>297</v>
      </c>
      <c r="B95" s="89">
        <v>4</v>
      </c>
      <c r="C95" s="111">
        <v>0.004348993563959746</v>
      </c>
      <c r="D95" s="89" t="s">
        <v>1158</v>
      </c>
      <c r="E95" s="89" t="b">
        <v>0</v>
      </c>
      <c r="F95" s="89" t="b">
        <v>0</v>
      </c>
      <c r="G95" s="89" t="b">
        <v>0</v>
      </c>
    </row>
    <row r="96" spans="1:7" ht="15">
      <c r="A96" s="86" t="s">
        <v>1117</v>
      </c>
      <c r="B96" s="89">
        <v>4</v>
      </c>
      <c r="C96" s="111">
        <v>0.004348993563959746</v>
      </c>
      <c r="D96" s="89" t="s">
        <v>1158</v>
      </c>
      <c r="E96" s="89" t="b">
        <v>0</v>
      </c>
      <c r="F96" s="89" t="b">
        <v>0</v>
      </c>
      <c r="G96" s="89" t="b">
        <v>0</v>
      </c>
    </row>
    <row r="97" spans="1:7" ht="15">
      <c r="A97" s="86" t="s">
        <v>1118</v>
      </c>
      <c r="B97" s="89">
        <v>4</v>
      </c>
      <c r="C97" s="111">
        <v>0.004348993563959746</v>
      </c>
      <c r="D97" s="89" t="s">
        <v>1158</v>
      </c>
      <c r="E97" s="89" t="b">
        <v>0</v>
      </c>
      <c r="F97" s="89" t="b">
        <v>0</v>
      </c>
      <c r="G97" s="89" t="b">
        <v>0</v>
      </c>
    </row>
    <row r="98" spans="1:7" ht="15">
      <c r="A98" s="86" t="s">
        <v>1119</v>
      </c>
      <c r="B98" s="89">
        <v>4</v>
      </c>
      <c r="C98" s="111">
        <v>0.004348993563959746</v>
      </c>
      <c r="D98" s="89" t="s">
        <v>1158</v>
      </c>
      <c r="E98" s="89" t="b">
        <v>0</v>
      </c>
      <c r="F98" s="89" t="b">
        <v>0</v>
      </c>
      <c r="G98" s="89" t="b">
        <v>0</v>
      </c>
    </row>
    <row r="99" spans="1:7" ht="15">
      <c r="A99" s="86" t="s">
        <v>1120</v>
      </c>
      <c r="B99" s="89">
        <v>3</v>
      </c>
      <c r="C99" s="111">
        <v>0.003610411414667391</v>
      </c>
      <c r="D99" s="89" t="s">
        <v>1158</v>
      </c>
      <c r="E99" s="89" t="b">
        <v>0</v>
      </c>
      <c r="F99" s="89" t="b">
        <v>0</v>
      </c>
      <c r="G99" s="89" t="b">
        <v>0</v>
      </c>
    </row>
    <row r="100" spans="1:7" ht="15">
      <c r="A100" s="86" t="s">
        <v>1121</v>
      </c>
      <c r="B100" s="89">
        <v>3</v>
      </c>
      <c r="C100" s="111">
        <v>0.003610411414667391</v>
      </c>
      <c r="D100" s="89" t="s">
        <v>1158</v>
      </c>
      <c r="E100" s="89" t="b">
        <v>0</v>
      </c>
      <c r="F100" s="89" t="b">
        <v>0</v>
      </c>
      <c r="G100" s="89" t="b">
        <v>0</v>
      </c>
    </row>
    <row r="101" spans="1:7" ht="15">
      <c r="A101" s="86" t="s">
        <v>1122</v>
      </c>
      <c r="B101" s="89">
        <v>3</v>
      </c>
      <c r="C101" s="111">
        <v>0.003610411414667391</v>
      </c>
      <c r="D101" s="89" t="s">
        <v>1158</v>
      </c>
      <c r="E101" s="89" t="b">
        <v>0</v>
      </c>
      <c r="F101" s="89" t="b">
        <v>0</v>
      </c>
      <c r="G101" s="89" t="b">
        <v>0</v>
      </c>
    </row>
    <row r="102" spans="1:7" ht="15">
      <c r="A102" s="86" t="s">
        <v>1123</v>
      </c>
      <c r="B102" s="89">
        <v>3</v>
      </c>
      <c r="C102" s="111">
        <v>0.003610411414667391</v>
      </c>
      <c r="D102" s="89" t="s">
        <v>1158</v>
      </c>
      <c r="E102" s="89" t="b">
        <v>0</v>
      </c>
      <c r="F102" s="89" t="b">
        <v>0</v>
      </c>
      <c r="G102" s="89" t="b">
        <v>0</v>
      </c>
    </row>
    <row r="103" spans="1:7" ht="15">
      <c r="A103" s="86" t="s">
        <v>1124</v>
      </c>
      <c r="B103" s="89">
        <v>3</v>
      </c>
      <c r="C103" s="111">
        <v>0.003610411414667391</v>
      </c>
      <c r="D103" s="89" t="s">
        <v>1158</v>
      </c>
      <c r="E103" s="89" t="b">
        <v>0</v>
      </c>
      <c r="F103" s="89" t="b">
        <v>0</v>
      </c>
      <c r="G103" s="89" t="b">
        <v>0</v>
      </c>
    </row>
    <row r="104" spans="1:7" ht="15">
      <c r="A104" s="86" t="s">
        <v>1125</v>
      </c>
      <c r="B104" s="89">
        <v>3</v>
      </c>
      <c r="C104" s="111">
        <v>0.003610411414667391</v>
      </c>
      <c r="D104" s="89" t="s">
        <v>1158</v>
      </c>
      <c r="E104" s="89" t="b">
        <v>0</v>
      </c>
      <c r="F104" s="89" t="b">
        <v>0</v>
      </c>
      <c r="G104" s="89" t="b">
        <v>0</v>
      </c>
    </row>
    <row r="105" spans="1:7" ht="15">
      <c r="A105" s="86" t="s">
        <v>1126</v>
      </c>
      <c r="B105" s="89">
        <v>3</v>
      </c>
      <c r="C105" s="111">
        <v>0.003610411414667391</v>
      </c>
      <c r="D105" s="89" t="s">
        <v>1158</v>
      </c>
      <c r="E105" s="89" t="b">
        <v>0</v>
      </c>
      <c r="F105" s="89" t="b">
        <v>0</v>
      </c>
      <c r="G105" s="89" t="b">
        <v>0</v>
      </c>
    </row>
    <row r="106" spans="1:7" ht="15">
      <c r="A106" s="86" t="s">
        <v>1127</v>
      </c>
      <c r="B106" s="89">
        <v>3</v>
      </c>
      <c r="C106" s="111">
        <v>0.003610411414667391</v>
      </c>
      <c r="D106" s="89" t="s">
        <v>1158</v>
      </c>
      <c r="E106" s="89" t="b">
        <v>1</v>
      </c>
      <c r="F106" s="89" t="b">
        <v>0</v>
      </c>
      <c r="G106" s="89" t="b">
        <v>0</v>
      </c>
    </row>
    <row r="107" spans="1:7" ht="15">
      <c r="A107" s="86" t="s">
        <v>1128</v>
      </c>
      <c r="B107" s="89">
        <v>3</v>
      </c>
      <c r="C107" s="111">
        <v>0.003610411414667391</v>
      </c>
      <c r="D107" s="89" t="s">
        <v>1158</v>
      </c>
      <c r="E107" s="89" t="b">
        <v>0</v>
      </c>
      <c r="F107" s="89" t="b">
        <v>0</v>
      </c>
      <c r="G107" s="89" t="b">
        <v>0</v>
      </c>
    </row>
    <row r="108" spans="1:7" ht="15">
      <c r="A108" s="86" t="s">
        <v>1129</v>
      </c>
      <c r="B108" s="89">
        <v>3</v>
      </c>
      <c r="C108" s="111">
        <v>0.003610411414667391</v>
      </c>
      <c r="D108" s="89" t="s">
        <v>1158</v>
      </c>
      <c r="E108" s="89" t="b">
        <v>1</v>
      </c>
      <c r="F108" s="89" t="b">
        <v>0</v>
      </c>
      <c r="G108" s="89" t="b">
        <v>0</v>
      </c>
    </row>
    <row r="109" spans="1:7" ht="15">
      <c r="A109" s="86" t="s">
        <v>1130</v>
      </c>
      <c r="B109" s="89">
        <v>3</v>
      </c>
      <c r="C109" s="111">
        <v>0.003610411414667391</v>
      </c>
      <c r="D109" s="89" t="s">
        <v>1158</v>
      </c>
      <c r="E109" s="89" t="b">
        <v>0</v>
      </c>
      <c r="F109" s="89" t="b">
        <v>0</v>
      </c>
      <c r="G109" s="89" t="b">
        <v>0</v>
      </c>
    </row>
    <row r="110" spans="1:7" ht="15">
      <c r="A110" s="86" t="s">
        <v>1131</v>
      </c>
      <c r="B110" s="89">
        <v>3</v>
      </c>
      <c r="C110" s="111">
        <v>0.003610411414667391</v>
      </c>
      <c r="D110" s="89" t="s">
        <v>1158</v>
      </c>
      <c r="E110" s="89" t="b">
        <v>0</v>
      </c>
      <c r="F110" s="89" t="b">
        <v>0</v>
      </c>
      <c r="G110" s="89" t="b">
        <v>0</v>
      </c>
    </row>
    <row r="111" spans="1:7" ht="15">
      <c r="A111" s="86" t="s">
        <v>1132</v>
      </c>
      <c r="B111" s="89">
        <v>3</v>
      </c>
      <c r="C111" s="111">
        <v>0.003610411414667391</v>
      </c>
      <c r="D111" s="89" t="s">
        <v>1158</v>
      </c>
      <c r="E111" s="89" t="b">
        <v>0</v>
      </c>
      <c r="F111" s="89" t="b">
        <v>0</v>
      </c>
      <c r="G111" s="89" t="b">
        <v>0</v>
      </c>
    </row>
    <row r="112" spans="1:7" ht="15">
      <c r="A112" s="86" t="s">
        <v>1133</v>
      </c>
      <c r="B112" s="89">
        <v>3</v>
      </c>
      <c r="C112" s="111">
        <v>0.003610411414667391</v>
      </c>
      <c r="D112" s="89" t="s">
        <v>1158</v>
      </c>
      <c r="E112" s="89" t="b">
        <v>0</v>
      </c>
      <c r="F112" s="89" t="b">
        <v>0</v>
      </c>
      <c r="G112" s="89" t="b">
        <v>0</v>
      </c>
    </row>
    <row r="113" spans="1:7" ht="15">
      <c r="A113" s="86" t="s">
        <v>1134</v>
      </c>
      <c r="B113" s="89">
        <v>3</v>
      </c>
      <c r="C113" s="111">
        <v>0.003610411414667391</v>
      </c>
      <c r="D113" s="89" t="s">
        <v>1158</v>
      </c>
      <c r="E113" s="89" t="b">
        <v>0</v>
      </c>
      <c r="F113" s="89" t="b">
        <v>0</v>
      </c>
      <c r="G113" s="89" t="b">
        <v>0</v>
      </c>
    </row>
    <row r="114" spans="1:7" ht="15">
      <c r="A114" s="86" t="s">
        <v>1135</v>
      </c>
      <c r="B114" s="89">
        <v>3</v>
      </c>
      <c r="C114" s="111">
        <v>0.003610411414667391</v>
      </c>
      <c r="D114" s="89" t="s">
        <v>1158</v>
      </c>
      <c r="E114" s="89" t="b">
        <v>1</v>
      </c>
      <c r="F114" s="89" t="b">
        <v>0</v>
      </c>
      <c r="G114" s="89" t="b">
        <v>0</v>
      </c>
    </row>
    <row r="115" spans="1:7" ht="15">
      <c r="A115" s="86" t="s">
        <v>1136</v>
      </c>
      <c r="B115" s="89">
        <v>3</v>
      </c>
      <c r="C115" s="111">
        <v>0.003610411414667391</v>
      </c>
      <c r="D115" s="89" t="s">
        <v>1158</v>
      </c>
      <c r="E115" s="89" t="b">
        <v>0</v>
      </c>
      <c r="F115" s="89" t="b">
        <v>0</v>
      </c>
      <c r="G115" s="89" t="b">
        <v>0</v>
      </c>
    </row>
    <row r="116" spans="1:7" ht="15">
      <c r="A116" s="86" t="s">
        <v>1137</v>
      </c>
      <c r="B116" s="89">
        <v>3</v>
      </c>
      <c r="C116" s="111">
        <v>0.003610411414667391</v>
      </c>
      <c r="D116" s="89" t="s">
        <v>1158</v>
      </c>
      <c r="E116" s="89" t="b">
        <v>1</v>
      </c>
      <c r="F116" s="89" t="b">
        <v>0</v>
      </c>
      <c r="G116" s="89" t="b">
        <v>0</v>
      </c>
    </row>
    <row r="117" spans="1:7" ht="15">
      <c r="A117" s="86" t="s">
        <v>1138</v>
      </c>
      <c r="B117" s="89">
        <v>3</v>
      </c>
      <c r="C117" s="111">
        <v>0.003610411414667391</v>
      </c>
      <c r="D117" s="89" t="s">
        <v>1158</v>
      </c>
      <c r="E117" s="89" t="b">
        <v>0</v>
      </c>
      <c r="F117" s="89" t="b">
        <v>0</v>
      </c>
      <c r="G117" s="89" t="b">
        <v>0</v>
      </c>
    </row>
    <row r="118" spans="1:7" ht="15">
      <c r="A118" s="86" t="s">
        <v>1139</v>
      </c>
      <c r="B118" s="89">
        <v>2</v>
      </c>
      <c r="C118" s="111">
        <v>0.0027345525878663497</v>
      </c>
      <c r="D118" s="89" t="s">
        <v>1158</v>
      </c>
      <c r="E118" s="89" t="b">
        <v>0</v>
      </c>
      <c r="F118" s="89" t="b">
        <v>1</v>
      </c>
      <c r="G118" s="89" t="b">
        <v>0</v>
      </c>
    </row>
    <row r="119" spans="1:7" ht="15">
      <c r="A119" s="86" t="s">
        <v>1140</v>
      </c>
      <c r="B119" s="89">
        <v>2</v>
      </c>
      <c r="C119" s="111">
        <v>0.0027345525878663497</v>
      </c>
      <c r="D119" s="89" t="s">
        <v>1158</v>
      </c>
      <c r="E119" s="89" t="b">
        <v>1</v>
      </c>
      <c r="F119" s="89" t="b">
        <v>0</v>
      </c>
      <c r="G119" s="89" t="b">
        <v>0</v>
      </c>
    </row>
    <row r="120" spans="1:7" ht="15">
      <c r="A120" s="86" t="s">
        <v>1141</v>
      </c>
      <c r="B120" s="89">
        <v>2</v>
      </c>
      <c r="C120" s="111">
        <v>0.0027345525878663497</v>
      </c>
      <c r="D120" s="89" t="s">
        <v>1158</v>
      </c>
      <c r="E120" s="89" t="b">
        <v>1</v>
      </c>
      <c r="F120" s="89" t="b">
        <v>0</v>
      </c>
      <c r="G120" s="89" t="b">
        <v>0</v>
      </c>
    </row>
    <row r="121" spans="1:7" ht="15">
      <c r="A121" s="86" t="s">
        <v>1142</v>
      </c>
      <c r="B121" s="89">
        <v>2</v>
      </c>
      <c r="C121" s="111">
        <v>0.0027345525878663497</v>
      </c>
      <c r="D121" s="89" t="s">
        <v>1158</v>
      </c>
      <c r="E121" s="89" t="b">
        <v>0</v>
      </c>
      <c r="F121" s="89" t="b">
        <v>0</v>
      </c>
      <c r="G121" s="89" t="b">
        <v>0</v>
      </c>
    </row>
    <row r="122" spans="1:7" ht="15">
      <c r="A122" s="86" t="s">
        <v>1143</v>
      </c>
      <c r="B122" s="89">
        <v>2</v>
      </c>
      <c r="C122" s="111">
        <v>0.0027345525878663497</v>
      </c>
      <c r="D122" s="89" t="s">
        <v>1158</v>
      </c>
      <c r="E122" s="89" t="b">
        <v>0</v>
      </c>
      <c r="F122" s="89" t="b">
        <v>0</v>
      </c>
      <c r="G122" s="89" t="b">
        <v>0</v>
      </c>
    </row>
    <row r="123" spans="1:7" ht="15">
      <c r="A123" s="86" t="s">
        <v>292</v>
      </c>
      <c r="B123" s="89">
        <v>2</v>
      </c>
      <c r="C123" s="111">
        <v>0.0027345525878663497</v>
      </c>
      <c r="D123" s="89" t="s">
        <v>1158</v>
      </c>
      <c r="E123" s="89" t="b">
        <v>0</v>
      </c>
      <c r="F123" s="89" t="b">
        <v>0</v>
      </c>
      <c r="G123" s="89" t="b">
        <v>0</v>
      </c>
    </row>
    <row r="124" spans="1:7" ht="15">
      <c r="A124" s="86" t="s">
        <v>890</v>
      </c>
      <c r="B124" s="89">
        <v>2</v>
      </c>
      <c r="C124" s="111">
        <v>0.0027345525878663497</v>
      </c>
      <c r="D124" s="89" t="s">
        <v>1158</v>
      </c>
      <c r="E124" s="89" t="b">
        <v>0</v>
      </c>
      <c r="F124" s="89" t="b">
        <v>0</v>
      </c>
      <c r="G124" s="89" t="b">
        <v>0</v>
      </c>
    </row>
    <row r="125" spans="1:7" ht="15">
      <c r="A125" s="86" t="s">
        <v>891</v>
      </c>
      <c r="B125" s="89">
        <v>2</v>
      </c>
      <c r="C125" s="111">
        <v>0.0027345525878663497</v>
      </c>
      <c r="D125" s="89" t="s">
        <v>1158</v>
      </c>
      <c r="E125" s="89" t="b">
        <v>0</v>
      </c>
      <c r="F125" s="89" t="b">
        <v>0</v>
      </c>
      <c r="G125" s="89" t="b">
        <v>0</v>
      </c>
    </row>
    <row r="126" spans="1:7" ht="15">
      <c r="A126" s="86" t="s">
        <v>892</v>
      </c>
      <c r="B126" s="89">
        <v>2</v>
      </c>
      <c r="C126" s="111">
        <v>0.0027345525878663497</v>
      </c>
      <c r="D126" s="89" t="s">
        <v>1158</v>
      </c>
      <c r="E126" s="89" t="b">
        <v>0</v>
      </c>
      <c r="F126" s="89" t="b">
        <v>0</v>
      </c>
      <c r="G126" s="89" t="b">
        <v>0</v>
      </c>
    </row>
    <row r="127" spans="1:7" ht="15">
      <c r="A127" s="86" t="s">
        <v>893</v>
      </c>
      <c r="B127" s="89">
        <v>2</v>
      </c>
      <c r="C127" s="111">
        <v>0.0027345525878663497</v>
      </c>
      <c r="D127" s="89" t="s">
        <v>1158</v>
      </c>
      <c r="E127" s="89" t="b">
        <v>0</v>
      </c>
      <c r="F127" s="89" t="b">
        <v>0</v>
      </c>
      <c r="G127" s="89" t="b">
        <v>0</v>
      </c>
    </row>
    <row r="128" spans="1:7" ht="15">
      <c r="A128" s="86" t="s">
        <v>894</v>
      </c>
      <c r="B128" s="89">
        <v>2</v>
      </c>
      <c r="C128" s="111">
        <v>0.0027345525878663497</v>
      </c>
      <c r="D128" s="89" t="s">
        <v>1158</v>
      </c>
      <c r="E128" s="89" t="b">
        <v>0</v>
      </c>
      <c r="F128" s="89" t="b">
        <v>0</v>
      </c>
      <c r="G128" s="89" t="b">
        <v>0</v>
      </c>
    </row>
    <row r="129" spans="1:7" ht="15">
      <c r="A129" s="86" t="s">
        <v>895</v>
      </c>
      <c r="B129" s="89">
        <v>2</v>
      </c>
      <c r="C129" s="111">
        <v>0.0027345525878663497</v>
      </c>
      <c r="D129" s="89" t="s">
        <v>1158</v>
      </c>
      <c r="E129" s="89" t="b">
        <v>0</v>
      </c>
      <c r="F129" s="89" t="b">
        <v>0</v>
      </c>
      <c r="G129" s="89" t="b">
        <v>0</v>
      </c>
    </row>
    <row r="130" spans="1:7" ht="15">
      <c r="A130" s="86" t="s">
        <v>896</v>
      </c>
      <c r="B130" s="89">
        <v>2</v>
      </c>
      <c r="C130" s="111">
        <v>0.0027345525878663497</v>
      </c>
      <c r="D130" s="89" t="s">
        <v>1158</v>
      </c>
      <c r="E130" s="89" t="b">
        <v>0</v>
      </c>
      <c r="F130" s="89" t="b">
        <v>0</v>
      </c>
      <c r="G130" s="89" t="b">
        <v>0</v>
      </c>
    </row>
    <row r="131" spans="1:7" ht="15">
      <c r="A131" s="86" t="s">
        <v>1144</v>
      </c>
      <c r="B131" s="89">
        <v>2</v>
      </c>
      <c r="C131" s="111">
        <v>0.0027345525878663497</v>
      </c>
      <c r="D131" s="89" t="s">
        <v>1158</v>
      </c>
      <c r="E131" s="89" t="b">
        <v>0</v>
      </c>
      <c r="F131" s="89" t="b">
        <v>0</v>
      </c>
      <c r="G131" s="89" t="b">
        <v>0</v>
      </c>
    </row>
    <row r="132" spans="1:7" ht="15">
      <c r="A132" s="86" t="s">
        <v>1145</v>
      </c>
      <c r="B132" s="89">
        <v>2</v>
      </c>
      <c r="C132" s="111">
        <v>0.0027345525878663497</v>
      </c>
      <c r="D132" s="89" t="s">
        <v>1158</v>
      </c>
      <c r="E132" s="89" t="b">
        <v>0</v>
      </c>
      <c r="F132" s="89" t="b">
        <v>0</v>
      </c>
      <c r="G132" s="89" t="b">
        <v>0</v>
      </c>
    </row>
    <row r="133" spans="1:7" ht="15">
      <c r="A133" s="86" t="s">
        <v>1146</v>
      </c>
      <c r="B133" s="89">
        <v>2</v>
      </c>
      <c r="C133" s="111">
        <v>0.0027345525878663497</v>
      </c>
      <c r="D133" s="89" t="s">
        <v>1158</v>
      </c>
      <c r="E133" s="89" t="b">
        <v>0</v>
      </c>
      <c r="F133" s="89" t="b">
        <v>0</v>
      </c>
      <c r="G133" s="89" t="b">
        <v>0</v>
      </c>
    </row>
    <row r="134" spans="1:7" ht="15">
      <c r="A134" s="86" t="s">
        <v>1147</v>
      </c>
      <c r="B134" s="89">
        <v>2</v>
      </c>
      <c r="C134" s="111">
        <v>0.0027345525878663497</v>
      </c>
      <c r="D134" s="89" t="s">
        <v>1158</v>
      </c>
      <c r="E134" s="89" t="b">
        <v>0</v>
      </c>
      <c r="F134" s="89" t="b">
        <v>0</v>
      </c>
      <c r="G134" s="89" t="b">
        <v>0</v>
      </c>
    </row>
    <row r="135" spans="1:7" ht="15">
      <c r="A135" s="86" t="s">
        <v>1148</v>
      </c>
      <c r="B135" s="89">
        <v>2</v>
      </c>
      <c r="C135" s="111">
        <v>0.0027345525878663497</v>
      </c>
      <c r="D135" s="89" t="s">
        <v>1158</v>
      </c>
      <c r="E135" s="89" t="b">
        <v>0</v>
      </c>
      <c r="F135" s="89" t="b">
        <v>0</v>
      </c>
      <c r="G135" s="89" t="b">
        <v>0</v>
      </c>
    </row>
    <row r="136" spans="1:7" ht="15">
      <c r="A136" s="86" t="s">
        <v>1149</v>
      </c>
      <c r="B136" s="89">
        <v>2</v>
      </c>
      <c r="C136" s="111">
        <v>0.0027345525878663497</v>
      </c>
      <c r="D136" s="89" t="s">
        <v>1158</v>
      </c>
      <c r="E136" s="89" t="b">
        <v>0</v>
      </c>
      <c r="F136" s="89" t="b">
        <v>0</v>
      </c>
      <c r="G136" s="89" t="b">
        <v>0</v>
      </c>
    </row>
    <row r="137" spans="1:7" ht="15">
      <c r="A137" s="86" t="s">
        <v>1150</v>
      </c>
      <c r="B137" s="89">
        <v>2</v>
      </c>
      <c r="C137" s="111">
        <v>0.0027345525878663497</v>
      </c>
      <c r="D137" s="89" t="s">
        <v>1158</v>
      </c>
      <c r="E137" s="89" t="b">
        <v>0</v>
      </c>
      <c r="F137" s="89" t="b">
        <v>0</v>
      </c>
      <c r="G137" s="89" t="b">
        <v>0</v>
      </c>
    </row>
    <row r="138" spans="1:7" ht="15">
      <c r="A138" s="86" t="s">
        <v>1151</v>
      </c>
      <c r="B138" s="89">
        <v>2</v>
      </c>
      <c r="C138" s="111">
        <v>0.0027345525878663497</v>
      </c>
      <c r="D138" s="89" t="s">
        <v>1158</v>
      </c>
      <c r="E138" s="89" t="b">
        <v>0</v>
      </c>
      <c r="F138" s="89" t="b">
        <v>0</v>
      </c>
      <c r="G138" s="89" t="b">
        <v>0</v>
      </c>
    </row>
    <row r="139" spans="1:7" ht="15">
      <c r="A139" s="86" t="s">
        <v>1152</v>
      </c>
      <c r="B139" s="89">
        <v>2</v>
      </c>
      <c r="C139" s="111">
        <v>0.0027345525878663497</v>
      </c>
      <c r="D139" s="89" t="s">
        <v>1158</v>
      </c>
      <c r="E139" s="89" t="b">
        <v>0</v>
      </c>
      <c r="F139" s="89" t="b">
        <v>0</v>
      </c>
      <c r="G139" s="89" t="b">
        <v>0</v>
      </c>
    </row>
    <row r="140" spans="1:7" ht="15">
      <c r="A140" s="86" t="s">
        <v>859</v>
      </c>
      <c r="B140" s="89">
        <v>19</v>
      </c>
      <c r="C140" s="111">
        <v>0.012203498659225228</v>
      </c>
      <c r="D140" s="89" t="s">
        <v>788</v>
      </c>
      <c r="E140" s="89" t="b">
        <v>0</v>
      </c>
      <c r="F140" s="89" t="b">
        <v>0</v>
      </c>
      <c r="G140" s="89" t="b">
        <v>0</v>
      </c>
    </row>
    <row r="141" spans="1:7" ht="15">
      <c r="A141" s="86" t="s">
        <v>289</v>
      </c>
      <c r="B141" s="89">
        <v>19</v>
      </c>
      <c r="C141" s="111">
        <v>0</v>
      </c>
      <c r="D141" s="89" t="s">
        <v>788</v>
      </c>
      <c r="E141" s="89" t="b">
        <v>0</v>
      </c>
      <c r="F141" s="89" t="b">
        <v>0</v>
      </c>
      <c r="G141" s="89" t="b">
        <v>0</v>
      </c>
    </row>
    <row r="142" spans="1:7" ht="15">
      <c r="A142" s="86" t="s">
        <v>860</v>
      </c>
      <c r="B142" s="89">
        <v>18</v>
      </c>
      <c r="C142" s="111">
        <v>0.013458985362311231</v>
      </c>
      <c r="D142" s="89" t="s">
        <v>788</v>
      </c>
      <c r="E142" s="89" t="b">
        <v>0</v>
      </c>
      <c r="F142" s="89" t="b">
        <v>0</v>
      </c>
      <c r="G142" s="89" t="b">
        <v>0</v>
      </c>
    </row>
    <row r="143" spans="1:7" ht="15">
      <c r="A143" s="86" t="s">
        <v>861</v>
      </c>
      <c r="B143" s="89">
        <v>11</v>
      </c>
      <c r="C143" s="111">
        <v>0.006016060077743418</v>
      </c>
      <c r="D143" s="89" t="s">
        <v>788</v>
      </c>
      <c r="E143" s="89" t="b">
        <v>0</v>
      </c>
      <c r="F143" s="89" t="b">
        <v>0</v>
      </c>
      <c r="G143" s="89" t="b">
        <v>0</v>
      </c>
    </row>
    <row r="144" spans="1:7" ht="15">
      <c r="A144" s="86" t="s">
        <v>862</v>
      </c>
      <c r="B144" s="89">
        <v>11</v>
      </c>
      <c r="C144" s="111">
        <v>0.006016060077743418</v>
      </c>
      <c r="D144" s="89" t="s">
        <v>788</v>
      </c>
      <c r="E144" s="89" t="b">
        <v>0</v>
      </c>
      <c r="F144" s="89" t="b">
        <v>0</v>
      </c>
      <c r="G144" s="89" t="b">
        <v>0</v>
      </c>
    </row>
    <row r="145" spans="1:7" ht="15">
      <c r="A145" s="86" t="s">
        <v>868</v>
      </c>
      <c r="B145" s="89">
        <v>9</v>
      </c>
      <c r="C145" s="111">
        <v>0.0067294926811556155</v>
      </c>
      <c r="D145" s="89" t="s">
        <v>788</v>
      </c>
      <c r="E145" s="89" t="b">
        <v>0</v>
      </c>
      <c r="F145" s="89" t="b">
        <v>0</v>
      </c>
      <c r="G145" s="89" t="b">
        <v>0</v>
      </c>
    </row>
    <row r="146" spans="1:7" ht="15">
      <c r="A146" s="86" t="s">
        <v>869</v>
      </c>
      <c r="B146" s="89">
        <v>9</v>
      </c>
      <c r="C146" s="111">
        <v>0.0067294926811556155</v>
      </c>
      <c r="D146" s="89" t="s">
        <v>788</v>
      </c>
      <c r="E146" s="89" t="b">
        <v>0</v>
      </c>
      <c r="F146" s="89" t="b">
        <v>0</v>
      </c>
      <c r="G146" s="89" t="b">
        <v>0</v>
      </c>
    </row>
    <row r="147" spans="1:7" ht="15">
      <c r="A147" s="86" t="s">
        <v>870</v>
      </c>
      <c r="B147" s="89">
        <v>9</v>
      </c>
      <c r="C147" s="111">
        <v>0.0067294926811556155</v>
      </c>
      <c r="D147" s="89" t="s">
        <v>788</v>
      </c>
      <c r="E147" s="89" t="b">
        <v>0</v>
      </c>
      <c r="F147" s="89" t="b">
        <v>0</v>
      </c>
      <c r="G147" s="89" t="b">
        <v>0</v>
      </c>
    </row>
    <row r="148" spans="1:7" ht="15">
      <c r="A148" s="86" t="s">
        <v>871</v>
      </c>
      <c r="B148" s="89">
        <v>9</v>
      </c>
      <c r="C148" s="111">
        <v>0.0067294926811556155</v>
      </c>
      <c r="D148" s="89" t="s">
        <v>788</v>
      </c>
      <c r="E148" s="89" t="b">
        <v>0</v>
      </c>
      <c r="F148" s="89" t="b">
        <v>0</v>
      </c>
      <c r="G148" s="89" t="b">
        <v>0</v>
      </c>
    </row>
    <row r="149" spans="1:7" ht="15">
      <c r="A149" s="86" t="s">
        <v>866</v>
      </c>
      <c r="B149" s="89">
        <v>9</v>
      </c>
      <c r="C149" s="111">
        <v>0.0067294926811556155</v>
      </c>
      <c r="D149" s="89" t="s">
        <v>788</v>
      </c>
      <c r="E149" s="89" t="b">
        <v>0</v>
      </c>
      <c r="F149" s="89" t="b">
        <v>0</v>
      </c>
      <c r="G149" s="89" t="b">
        <v>0</v>
      </c>
    </row>
    <row r="150" spans="1:7" ht="15">
      <c r="A150" s="86" t="s">
        <v>1069</v>
      </c>
      <c r="B150" s="89">
        <v>9</v>
      </c>
      <c r="C150" s="111">
        <v>0.0067294926811556155</v>
      </c>
      <c r="D150" s="89" t="s">
        <v>788</v>
      </c>
      <c r="E150" s="89" t="b">
        <v>0</v>
      </c>
      <c r="F150" s="89" t="b">
        <v>0</v>
      </c>
      <c r="G150" s="89" t="b">
        <v>0</v>
      </c>
    </row>
    <row r="151" spans="1:7" ht="15">
      <c r="A151" s="86" t="s">
        <v>1070</v>
      </c>
      <c r="B151" s="89">
        <v>9</v>
      </c>
      <c r="C151" s="111">
        <v>0.0067294926811556155</v>
      </c>
      <c r="D151" s="89" t="s">
        <v>788</v>
      </c>
      <c r="E151" s="89" t="b">
        <v>0</v>
      </c>
      <c r="F151" s="89" t="b">
        <v>0</v>
      </c>
      <c r="G151" s="89" t="b">
        <v>0</v>
      </c>
    </row>
    <row r="152" spans="1:7" ht="15">
      <c r="A152" s="86" t="s">
        <v>1071</v>
      </c>
      <c r="B152" s="89">
        <v>9</v>
      </c>
      <c r="C152" s="111">
        <v>0.0067294926811556155</v>
      </c>
      <c r="D152" s="89" t="s">
        <v>788</v>
      </c>
      <c r="E152" s="89" t="b">
        <v>1</v>
      </c>
      <c r="F152" s="89" t="b">
        <v>0</v>
      </c>
      <c r="G152" s="89" t="b">
        <v>0</v>
      </c>
    </row>
    <row r="153" spans="1:7" ht="15">
      <c r="A153" s="86" t="s">
        <v>1072</v>
      </c>
      <c r="B153" s="89">
        <v>9</v>
      </c>
      <c r="C153" s="111">
        <v>0.0067294926811556155</v>
      </c>
      <c r="D153" s="89" t="s">
        <v>788</v>
      </c>
      <c r="E153" s="89" t="b">
        <v>0</v>
      </c>
      <c r="F153" s="89" t="b">
        <v>0</v>
      </c>
      <c r="G153" s="89" t="b">
        <v>0</v>
      </c>
    </row>
    <row r="154" spans="1:7" ht="15">
      <c r="A154" s="86" t="s">
        <v>1073</v>
      </c>
      <c r="B154" s="89">
        <v>9</v>
      </c>
      <c r="C154" s="111">
        <v>0.0067294926811556155</v>
      </c>
      <c r="D154" s="89" t="s">
        <v>788</v>
      </c>
      <c r="E154" s="89" t="b">
        <v>0</v>
      </c>
      <c r="F154" s="89" t="b">
        <v>0</v>
      </c>
      <c r="G154" s="89" t="b">
        <v>0</v>
      </c>
    </row>
    <row r="155" spans="1:7" ht="15">
      <c r="A155" s="86" t="s">
        <v>1074</v>
      </c>
      <c r="B155" s="89">
        <v>9</v>
      </c>
      <c r="C155" s="111">
        <v>0.0067294926811556155</v>
      </c>
      <c r="D155" s="89" t="s">
        <v>788</v>
      </c>
      <c r="E155" s="89" t="b">
        <v>0</v>
      </c>
      <c r="F155" s="89" t="b">
        <v>0</v>
      </c>
      <c r="G155" s="89" t="b">
        <v>0</v>
      </c>
    </row>
    <row r="156" spans="1:7" ht="15">
      <c r="A156" s="86" t="s">
        <v>1075</v>
      </c>
      <c r="B156" s="89">
        <v>9</v>
      </c>
      <c r="C156" s="111">
        <v>0.0067294926811556155</v>
      </c>
      <c r="D156" s="89" t="s">
        <v>788</v>
      </c>
      <c r="E156" s="89" t="b">
        <v>0</v>
      </c>
      <c r="F156" s="89" t="b">
        <v>0</v>
      </c>
      <c r="G156" s="89" t="b">
        <v>0</v>
      </c>
    </row>
    <row r="157" spans="1:7" ht="15">
      <c r="A157" s="86" t="s">
        <v>1076</v>
      </c>
      <c r="B157" s="89">
        <v>9</v>
      </c>
      <c r="C157" s="111">
        <v>0.0067294926811556155</v>
      </c>
      <c r="D157" s="89" t="s">
        <v>788</v>
      </c>
      <c r="E157" s="89" t="b">
        <v>0</v>
      </c>
      <c r="F157" s="89" t="b">
        <v>0</v>
      </c>
      <c r="G157" s="89" t="b">
        <v>0</v>
      </c>
    </row>
    <row r="158" spans="1:7" ht="15">
      <c r="A158" s="86" t="s">
        <v>1077</v>
      </c>
      <c r="B158" s="89">
        <v>9</v>
      </c>
      <c r="C158" s="111">
        <v>0.0067294926811556155</v>
      </c>
      <c r="D158" s="89" t="s">
        <v>788</v>
      </c>
      <c r="E158" s="89" t="b">
        <v>0</v>
      </c>
      <c r="F158" s="89" t="b">
        <v>1</v>
      </c>
      <c r="G158" s="89" t="b">
        <v>0</v>
      </c>
    </row>
    <row r="159" spans="1:7" ht="15">
      <c r="A159" s="86" t="s">
        <v>1078</v>
      </c>
      <c r="B159" s="89">
        <v>9</v>
      </c>
      <c r="C159" s="111">
        <v>0.0067294926811556155</v>
      </c>
      <c r="D159" s="89" t="s">
        <v>788</v>
      </c>
      <c r="E159" s="89" t="b">
        <v>0</v>
      </c>
      <c r="F159" s="89" t="b">
        <v>0</v>
      </c>
      <c r="G159" s="89" t="b">
        <v>0</v>
      </c>
    </row>
    <row r="160" spans="1:7" ht="15">
      <c r="A160" s="86" t="s">
        <v>1079</v>
      </c>
      <c r="B160" s="89">
        <v>9</v>
      </c>
      <c r="C160" s="111">
        <v>0.0067294926811556155</v>
      </c>
      <c r="D160" s="89" t="s">
        <v>788</v>
      </c>
      <c r="E160" s="89" t="b">
        <v>0</v>
      </c>
      <c r="F160" s="89" t="b">
        <v>0</v>
      </c>
      <c r="G160" s="89" t="b">
        <v>0</v>
      </c>
    </row>
    <row r="161" spans="1:7" ht="15">
      <c r="A161" s="86" t="s">
        <v>1080</v>
      </c>
      <c r="B161" s="89">
        <v>9</v>
      </c>
      <c r="C161" s="111">
        <v>0.0067294926811556155</v>
      </c>
      <c r="D161" s="89" t="s">
        <v>788</v>
      </c>
      <c r="E161" s="89" t="b">
        <v>0</v>
      </c>
      <c r="F161" s="89" t="b">
        <v>0</v>
      </c>
      <c r="G161" s="89" t="b">
        <v>0</v>
      </c>
    </row>
    <row r="162" spans="1:7" ht="15">
      <c r="A162" s="86" t="s">
        <v>1081</v>
      </c>
      <c r="B162" s="89">
        <v>9</v>
      </c>
      <c r="C162" s="111">
        <v>0.0067294926811556155</v>
      </c>
      <c r="D162" s="89" t="s">
        <v>788</v>
      </c>
      <c r="E162" s="89" t="b">
        <v>0</v>
      </c>
      <c r="F162" s="89" t="b">
        <v>0</v>
      </c>
      <c r="G162" s="89" t="b">
        <v>0</v>
      </c>
    </row>
    <row r="163" spans="1:7" ht="15">
      <c r="A163" s="86" t="s">
        <v>1067</v>
      </c>
      <c r="B163" s="89">
        <v>9</v>
      </c>
      <c r="C163" s="111">
        <v>0.0067294926811556155</v>
      </c>
      <c r="D163" s="89" t="s">
        <v>788</v>
      </c>
      <c r="E163" s="89" t="b">
        <v>0</v>
      </c>
      <c r="F163" s="89" t="b">
        <v>0</v>
      </c>
      <c r="G163" s="89" t="b">
        <v>0</v>
      </c>
    </row>
    <row r="164" spans="1:7" ht="15">
      <c r="A164" s="86" t="s">
        <v>1082</v>
      </c>
      <c r="B164" s="89">
        <v>9</v>
      </c>
      <c r="C164" s="111">
        <v>0.0067294926811556155</v>
      </c>
      <c r="D164" s="89" t="s">
        <v>788</v>
      </c>
      <c r="E164" s="89" t="b">
        <v>0</v>
      </c>
      <c r="F164" s="89" t="b">
        <v>0</v>
      </c>
      <c r="G164" s="89" t="b">
        <v>0</v>
      </c>
    </row>
    <row r="165" spans="1:7" ht="15">
      <c r="A165" s="86" t="s">
        <v>1068</v>
      </c>
      <c r="B165" s="89">
        <v>9</v>
      </c>
      <c r="C165" s="111">
        <v>0.0067294926811556155</v>
      </c>
      <c r="D165" s="89" t="s">
        <v>788</v>
      </c>
      <c r="E165" s="89" t="b">
        <v>0</v>
      </c>
      <c r="F165" s="89" t="b">
        <v>0</v>
      </c>
      <c r="G165" s="89" t="b">
        <v>0</v>
      </c>
    </row>
    <row r="166" spans="1:7" ht="15">
      <c r="A166" s="86" t="s">
        <v>863</v>
      </c>
      <c r="B166" s="89">
        <v>8</v>
      </c>
      <c r="C166" s="111">
        <v>0.00692467491172139</v>
      </c>
      <c r="D166" s="89" t="s">
        <v>788</v>
      </c>
      <c r="E166" s="89" t="b">
        <v>0</v>
      </c>
      <c r="F166" s="89" t="b">
        <v>0</v>
      </c>
      <c r="G166" s="89" t="b">
        <v>0</v>
      </c>
    </row>
    <row r="167" spans="1:7" ht="15">
      <c r="A167" s="86" t="s">
        <v>864</v>
      </c>
      <c r="B167" s="89">
        <v>8</v>
      </c>
      <c r="C167" s="111">
        <v>0.00692467491172139</v>
      </c>
      <c r="D167" s="89" t="s">
        <v>788</v>
      </c>
      <c r="E167" s="89" t="b">
        <v>0</v>
      </c>
      <c r="F167" s="89" t="b">
        <v>0</v>
      </c>
      <c r="G167" s="89" t="b">
        <v>0</v>
      </c>
    </row>
    <row r="168" spans="1:7" ht="15">
      <c r="A168" s="86" t="s">
        <v>865</v>
      </c>
      <c r="B168" s="89">
        <v>8</v>
      </c>
      <c r="C168" s="111">
        <v>0.00692467491172139</v>
      </c>
      <c r="D168" s="89" t="s">
        <v>788</v>
      </c>
      <c r="E168" s="89" t="b">
        <v>0</v>
      </c>
      <c r="F168" s="89" t="b">
        <v>1</v>
      </c>
      <c r="G168" s="89" t="b">
        <v>0</v>
      </c>
    </row>
    <row r="169" spans="1:7" ht="15">
      <c r="A169" s="86" t="s">
        <v>1102</v>
      </c>
      <c r="B169" s="89">
        <v>8</v>
      </c>
      <c r="C169" s="111">
        <v>0.00692467491172139</v>
      </c>
      <c r="D169" s="89" t="s">
        <v>788</v>
      </c>
      <c r="E169" s="89" t="b">
        <v>0</v>
      </c>
      <c r="F169" s="89" t="b">
        <v>0</v>
      </c>
      <c r="G169" s="89" t="b">
        <v>0</v>
      </c>
    </row>
    <row r="170" spans="1:7" ht="15">
      <c r="A170" s="86" t="s">
        <v>1083</v>
      </c>
      <c r="B170" s="89">
        <v>8</v>
      </c>
      <c r="C170" s="111">
        <v>0.00692467491172139</v>
      </c>
      <c r="D170" s="89" t="s">
        <v>788</v>
      </c>
      <c r="E170" s="89" t="b">
        <v>0</v>
      </c>
      <c r="F170" s="89" t="b">
        <v>0</v>
      </c>
      <c r="G170" s="89" t="b">
        <v>0</v>
      </c>
    </row>
    <row r="171" spans="1:7" ht="15">
      <c r="A171" s="86" t="s">
        <v>1103</v>
      </c>
      <c r="B171" s="89">
        <v>8</v>
      </c>
      <c r="C171" s="111">
        <v>0.00692467491172139</v>
      </c>
      <c r="D171" s="89" t="s">
        <v>788</v>
      </c>
      <c r="E171" s="89" t="b">
        <v>0</v>
      </c>
      <c r="F171" s="89" t="b">
        <v>0</v>
      </c>
      <c r="G171" s="89" t="b">
        <v>0</v>
      </c>
    </row>
    <row r="172" spans="1:7" ht="15">
      <c r="A172" s="86" t="s">
        <v>1104</v>
      </c>
      <c r="B172" s="89">
        <v>8</v>
      </c>
      <c r="C172" s="111">
        <v>0.00692467491172139</v>
      </c>
      <c r="D172" s="89" t="s">
        <v>788</v>
      </c>
      <c r="E172" s="89" t="b">
        <v>0</v>
      </c>
      <c r="F172" s="89" t="b">
        <v>0</v>
      </c>
      <c r="G172" s="89" t="b">
        <v>0</v>
      </c>
    </row>
    <row r="173" spans="1:7" ht="15">
      <c r="A173" s="86" t="s">
        <v>1105</v>
      </c>
      <c r="B173" s="89">
        <v>8</v>
      </c>
      <c r="C173" s="111">
        <v>0.00692467491172139</v>
      </c>
      <c r="D173" s="89" t="s">
        <v>788</v>
      </c>
      <c r="E173" s="89" t="b">
        <v>1</v>
      </c>
      <c r="F173" s="89" t="b">
        <v>0</v>
      </c>
      <c r="G173" s="89" t="b">
        <v>0</v>
      </c>
    </row>
    <row r="174" spans="1:7" ht="15">
      <c r="A174" s="86" t="s">
        <v>1084</v>
      </c>
      <c r="B174" s="89">
        <v>8</v>
      </c>
      <c r="C174" s="111">
        <v>0.00692467491172139</v>
      </c>
      <c r="D174" s="89" t="s">
        <v>788</v>
      </c>
      <c r="E174" s="89" t="b">
        <v>0</v>
      </c>
      <c r="F174" s="89" t="b">
        <v>0</v>
      </c>
      <c r="G174" s="89" t="b">
        <v>0</v>
      </c>
    </row>
    <row r="175" spans="1:7" ht="15">
      <c r="A175" s="86" t="s">
        <v>1106</v>
      </c>
      <c r="B175" s="89">
        <v>8</v>
      </c>
      <c r="C175" s="111">
        <v>0.00692467491172139</v>
      </c>
      <c r="D175" s="89" t="s">
        <v>788</v>
      </c>
      <c r="E175" s="89" t="b">
        <v>0</v>
      </c>
      <c r="F175" s="89" t="b">
        <v>0</v>
      </c>
      <c r="G175" s="89" t="b">
        <v>0</v>
      </c>
    </row>
    <row r="176" spans="1:7" ht="15">
      <c r="A176" s="86" t="s">
        <v>1107</v>
      </c>
      <c r="B176" s="89">
        <v>8</v>
      </c>
      <c r="C176" s="111">
        <v>0.00692467491172139</v>
      </c>
      <c r="D176" s="89" t="s">
        <v>788</v>
      </c>
      <c r="E176" s="89" t="b">
        <v>0</v>
      </c>
      <c r="F176" s="89" t="b">
        <v>0</v>
      </c>
      <c r="G176" s="89" t="b">
        <v>0</v>
      </c>
    </row>
    <row r="177" spans="1:7" ht="15">
      <c r="A177" s="86" t="s">
        <v>1108</v>
      </c>
      <c r="B177" s="89">
        <v>8</v>
      </c>
      <c r="C177" s="111">
        <v>0.00692467491172139</v>
      </c>
      <c r="D177" s="89" t="s">
        <v>788</v>
      </c>
      <c r="E177" s="89" t="b">
        <v>0</v>
      </c>
      <c r="F177" s="89" t="b">
        <v>0</v>
      </c>
      <c r="G177" s="89" t="b">
        <v>0</v>
      </c>
    </row>
    <row r="178" spans="1:7" ht="15">
      <c r="A178" s="86" t="s">
        <v>1109</v>
      </c>
      <c r="B178" s="89">
        <v>8</v>
      </c>
      <c r="C178" s="111">
        <v>0.00692467491172139</v>
      </c>
      <c r="D178" s="89" t="s">
        <v>788</v>
      </c>
      <c r="E178" s="89" t="b">
        <v>0</v>
      </c>
      <c r="F178" s="89" t="b">
        <v>0</v>
      </c>
      <c r="G178" s="89" t="b">
        <v>0</v>
      </c>
    </row>
    <row r="179" spans="1:7" ht="15">
      <c r="A179" s="86" t="s">
        <v>1110</v>
      </c>
      <c r="B179" s="89">
        <v>8</v>
      </c>
      <c r="C179" s="111">
        <v>0.00692467491172139</v>
      </c>
      <c r="D179" s="89" t="s">
        <v>788</v>
      </c>
      <c r="E179" s="89" t="b">
        <v>0</v>
      </c>
      <c r="F179" s="89" t="b">
        <v>0</v>
      </c>
      <c r="G179" s="89" t="b">
        <v>0</v>
      </c>
    </row>
    <row r="180" spans="1:7" ht="15">
      <c r="A180" s="86" t="s">
        <v>1111</v>
      </c>
      <c r="B180" s="89">
        <v>8</v>
      </c>
      <c r="C180" s="111">
        <v>0.00692467491172139</v>
      </c>
      <c r="D180" s="89" t="s">
        <v>788</v>
      </c>
      <c r="E180" s="89" t="b">
        <v>0</v>
      </c>
      <c r="F180" s="89" t="b">
        <v>0</v>
      </c>
      <c r="G180" s="89" t="b">
        <v>0</v>
      </c>
    </row>
    <row r="181" spans="1:7" ht="15">
      <c r="A181" s="86" t="s">
        <v>1112</v>
      </c>
      <c r="B181" s="89">
        <v>8</v>
      </c>
      <c r="C181" s="111">
        <v>0.00692467491172139</v>
      </c>
      <c r="D181" s="89" t="s">
        <v>788</v>
      </c>
      <c r="E181" s="89" t="b">
        <v>0</v>
      </c>
      <c r="F181" s="89" t="b">
        <v>0</v>
      </c>
      <c r="G181" s="89" t="b">
        <v>0</v>
      </c>
    </row>
    <row r="182" spans="1:7" ht="15">
      <c r="A182" s="86" t="s">
        <v>861</v>
      </c>
      <c r="B182" s="89">
        <v>14</v>
      </c>
      <c r="C182" s="111">
        <v>0.003098405248820216</v>
      </c>
      <c r="D182" s="89" t="s">
        <v>789</v>
      </c>
      <c r="E182" s="89" t="b">
        <v>0</v>
      </c>
      <c r="F182" s="89" t="b">
        <v>0</v>
      </c>
      <c r="G182" s="89" t="b">
        <v>0</v>
      </c>
    </row>
    <row r="183" spans="1:7" ht="15">
      <c r="A183" s="86" t="s">
        <v>862</v>
      </c>
      <c r="B183" s="89">
        <v>14</v>
      </c>
      <c r="C183" s="111">
        <v>0.003098405248820216</v>
      </c>
      <c r="D183" s="89" t="s">
        <v>789</v>
      </c>
      <c r="E183" s="89" t="b">
        <v>0</v>
      </c>
      <c r="F183" s="89" t="b">
        <v>0</v>
      </c>
      <c r="G183" s="89" t="b">
        <v>0</v>
      </c>
    </row>
    <row r="184" spans="1:7" ht="15">
      <c r="A184" s="86" t="s">
        <v>289</v>
      </c>
      <c r="B184" s="89">
        <v>14</v>
      </c>
      <c r="C184" s="111">
        <v>0.003098405248820216</v>
      </c>
      <c r="D184" s="89" t="s">
        <v>789</v>
      </c>
      <c r="E184" s="89" t="b">
        <v>0</v>
      </c>
      <c r="F184" s="89" t="b">
        <v>0</v>
      </c>
      <c r="G184" s="89" t="b">
        <v>0</v>
      </c>
    </row>
    <row r="185" spans="1:7" ht="15">
      <c r="A185" s="86" t="s">
        <v>859</v>
      </c>
      <c r="B185" s="89">
        <v>13</v>
      </c>
      <c r="C185" s="111">
        <v>0.011169727420006022</v>
      </c>
      <c r="D185" s="89" t="s">
        <v>789</v>
      </c>
      <c r="E185" s="89" t="b">
        <v>0</v>
      </c>
      <c r="F185" s="89" t="b">
        <v>0</v>
      </c>
      <c r="G185" s="89" t="b">
        <v>0</v>
      </c>
    </row>
    <row r="186" spans="1:7" ht="15">
      <c r="A186" s="86" t="s">
        <v>860</v>
      </c>
      <c r="B186" s="89">
        <v>11</v>
      </c>
      <c r="C186" s="111">
        <v>0.013058462942102188</v>
      </c>
      <c r="D186" s="89" t="s">
        <v>789</v>
      </c>
      <c r="E186" s="89" t="b">
        <v>0</v>
      </c>
      <c r="F186" s="89" t="b">
        <v>0</v>
      </c>
      <c r="G186" s="89" t="b">
        <v>0</v>
      </c>
    </row>
    <row r="187" spans="1:7" ht="15">
      <c r="A187" s="86" t="s">
        <v>300</v>
      </c>
      <c r="B187" s="89">
        <v>10</v>
      </c>
      <c r="C187" s="111">
        <v>0.00604852812016467</v>
      </c>
      <c r="D187" s="89" t="s">
        <v>789</v>
      </c>
      <c r="E187" s="89" t="b">
        <v>0</v>
      </c>
      <c r="F187" s="89" t="b">
        <v>0</v>
      </c>
      <c r="G187" s="89" t="b">
        <v>0</v>
      </c>
    </row>
    <row r="188" spans="1:7" ht="15">
      <c r="A188" s="86" t="s">
        <v>873</v>
      </c>
      <c r="B188" s="89">
        <v>7</v>
      </c>
      <c r="C188" s="111">
        <v>0.007079937452882204</v>
      </c>
      <c r="D188" s="89" t="s">
        <v>789</v>
      </c>
      <c r="E188" s="89" t="b">
        <v>0</v>
      </c>
      <c r="F188" s="89" t="b">
        <v>0</v>
      </c>
      <c r="G188" s="89" t="b">
        <v>0</v>
      </c>
    </row>
    <row r="189" spans="1:7" ht="15">
      <c r="A189" s="86" t="s">
        <v>868</v>
      </c>
      <c r="B189" s="89">
        <v>7</v>
      </c>
      <c r="C189" s="111">
        <v>0.007079937452882204</v>
      </c>
      <c r="D189" s="89" t="s">
        <v>789</v>
      </c>
      <c r="E189" s="89" t="b">
        <v>0</v>
      </c>
      <c r="F189" s="89" t="b">
        <v>0</v>
      </c>
      <c r="G189" s="89" t="b">
        <v>0</v>
      </c>
    </row>
    <row r="190" spans="1:7" ht="15">
      <c r="A190" s="86" t="s">
        <v>874</v>
      </c>
      <c r="B190" s="89">
        <v>7</v>
      </c>
      <c r="C190" s="111">
        <v>0.007079937452882204</v>
      </c>
      <c r="D190" s="89" t="s">
        <v>789</v>
      </c>
      <c r="E190" s="89" t="b">
        <v>0</v>
      </c>
      <c r="F190" s="89" t="b">
        <v>0</v>
      </c>
      <c r="G190" s="89" t="b">
        <v>0</v>
      </c>
    </row>
    <row r="191" spans="1:7" ht="15">
      <c r="A191" s="86" t="s">
        <v>869</v>
      </c>
      <c r="B191" s="89">
        <v>7</v>
      </c>
      <c r="C191" s="111">
        <v>0.007079937452882204</v>
      </c>
      <c r="D191" s="89" t="s">
        <v>789</v>
      </c>
      <c r="E191" s="89" t="b">
        <v>0</v>
      </c>
      <c r="F191" s="89" t="b">
        <v>0</v>
      </c>
      <c r="G191" s="89" t="b">
        <v>0</v>
      </c>
    </row>
    <row r="192" spans="1:7" ht="15">
      <c r="A192" s="86" t="s">
        <v>870</v>
      </c>
      <c r="B192" s="89">
        <v>7</v>
      </c>
      <c r="C192" s="111">
        <v>0.007079937452882204</v>
      </c>
      <c r="D192" s="89" t="s">
        <v>789</v>
      </c>
      <c r="E192" s="89" t="b">
        <v>0</v>
      </c>
      <c r="F192" s="89" t="b">
        <v>0</v>
      </c>
      <c r="G192" s="89" t="b">
        <v>0</v>
      </c>
    </row>
    <row r="193" spans="1:7" ht="15">
      <c r="A193" s="86" t="s">
        <v>1087</v>
      </c>
      <c r="B193" s="89">
        <v>7</v>
      </c>
      <c r="C193" s="111">
        <v>0.007079937452882204</v>
      </c>
      <c r="D193" s="89" t="s">
        <v>789</v>
      </c>
      <c r="E193" s="89" t="b">
        <v>0</v>
      </c>
      <c r="F193" s="89" t="b">
        <v>0</v>
      </c>
      <c r="G193" s="89" t="b">
        <v>0</v>
      </c>
    </row>
    <row r="194" spans="1:7" ht="15">
      <c r="A194" s="86" t="s">
        <v>1088</v>
      </c>
      <c r="B194" s="89">
        <v>7</v>
      </c>
      <c r="C194" s="111">
        <v>0.007079937452882204</v>
      </c>
      <c r="D194" s="89" t="s">
        <v>789</v>
      </c>
      <c r="E194" s="89" t="b">
        <v>0</v>
      </c>
      <c r="F194" s="89" t="b">
        <v>0</v>
      </c>
      <c r="G194" s="89" t="b">
        <v>0</v>
      </c>
    </row>
    <row r="195" spans="1:7" ht="15">
      <c r="A195" s="86" t="s">
        <v>1089</v>
      </c>
      <c r="B195" s="89">
        <v>7</v>
      </c>
      <c r="C195" s="111">
        <v>0.007079937452882204</v>
      </c>
      <c r="D195" s="89" t="s">
        <v>789</v>
      </c>
      <c r="E195" s="89" t="b">
        <v>0</v>
      </c>
      <c r="F195" s="89" t="b">
        <v>0</v>
      </c>
      <c r="G195" s="89" t="b">
        <v>0</v>
      </c>
    </row>
    <row r="196" spans="1:7" ht="15">
      <c r="A196" s="86" t="s">
        <v>1090</v>
      </c>
      <c r="B196" s="89">
        <v>7</v>
      </c>
      <c r="C196" s="111">
        <v>0.007079937452882204</v>
      </c>
      <c r="D196" s="89" t="s">
        <v>789</v>
      </c>
      <c r="E196" s="89" t="b">
        <v>1</v>
      </c>
      <c r="F196" s="89" t="b">
        <v>0</v>
      </c>
      <c r="G196" s="89" t="b">
        <v>0</v>
      </c>
    </row>
    <row r="197" spans="1:7" ht="15">
      <c r="A197" s="86" t="s">
        <v>1091</v>
      </c>
      <c r="B197" s="89">
        <v>7</v>
      </c>
      <c r="C197" s="111">
        <v>0.007079937452882204</v>
      </c>
      <c r="D197" s="89" t="s">
        <v>789</v>
      </c>
      <c r="E197" s="89" t="b">
        <v>0</v>
      </c>
      <c r="F197" s="89" t="b">
        <v>0</v>
      </c>
      <c r="G197" s="89" t="b">
        <v>0</v>
      </c>
    </row>
    <row r="198" spans="1:7" ht="15">
      <c r="A198" s="86" t="s">
        <v>871</v>
      </c>
      <c r="B198" s="89">
        <v>7</v>
      </c>
      <c r="C198" s="111">
        <v>0.007079937452882204</v>
      </c>
      <c r="D198" s="89" t="s">
        <v>789</v>
      </c>
      <c r="E198" s="89" t="b">
        <v>0</v>
      </c>
      <c r="F198" s="89" t="b">
        <v>0</v>
      </c>
      <c r="G198" s="89" t="b">
        <v>0</v>
      </c>
    </row>
    <row r="199" spans="1:7" ht="15">
      <c r="A199" s="86" t="s">
        <v>1092</v>
      </c>
      <c r="B199" s="89">
        <v>7</v>
      </c>
      <c r="C199" s="111">
        <v>0.007079937452882204</v>
      </c>
      <c r="D199" s="89" t="s">
        <v>789</v>
      </c>
      <c r="E199" s="89" t="b">
        <v>0</v>
      </c>
      <c r="F199" s="89" t="b">
        <v>0</v>
      </c>
      <c r="G199" s="89" t="b">
        <v>0</v>
      </c>
    </row>
    <row r="200" spans="1:7" ht="15">
      <c r="A200" s="86" t="s">
        <v>1093</v>
      </c>
      <c r="B200" s="89">
        <v>7</v>
      </c>
      <c r="C200" s="111">
        <v>0.007079937452882204</v>
      </c>
      <c r="D200" s="89" t="s">
        <v>789</v>
      </c>
      <c r="E200" s="89" t="b">
        <v>0</v>
      </c>
      <c r="F200" s="89" t="b">
        <v>0</v>
      </c>
      <c r="G200" s="89" t="b">
        <v>0</v>
      </c>
    </row>
    <row r="201" spans="1:7" ht="15">
      <c r="A201" s="86" t="s">
        <v>1094</v>
      </c>
      <c r="B201" s="89">
        <v>7</v>
      </c>
      <c r="C201" s="111">
        <v>0.007079937452882204</v>
      </c>
      <c r="D201" s="89" t="s">
        <v>789</v>
      </c>
      <c r="E201" s="89" t="b">
        <v>0</v>
      </c>
      <c r="F201" s="89" t="b">
        <v>0</v>
      </c>
      <c r="G201" s="89" t="b">
        <v>0</v>
      </c>
    </row>
    <row r="202" spans="1:7" ht="15">
      <c r="A202" s="86" t="s">
        <v>1095</v>
      </c>
      <c r="B202" s="89">
        <v>7</v>
      </c>
      <c r="C202" s="111">
        <v>0.007079937452882204</v>
      </c>
      <c r="D202" s="89" t="s">
        <v>789</v>
      </c>
      <c r="E202" s="89" t="b">
        <v>0</v>
      </c>
      <c r="F202" s="89" t="b">
        <v>0</v>
      </c>
      <c r="G202" s="89" t="b">
        <v>0</v>
      </c>
    </row>
    <row r="203" spans="1:7" ht="15">
      <c r="A203" s="86" t="s">
        <v>1085</v>
      </c>
      <c r="B203" s="89">
        <v>7</v>
      </c>
      <c r="C203" s="111">
        <v>0.007079937452882204</v>
      </c>
      <c r="D203" s="89" t="s">
        <v>789</v>
      </c>
      <c r="E203" s="89" t="b">
        <v>0</v>
      </c>
      <c r="F203" s="89" t="b">
        <v>0</v>
      </c>
      <c r="G203" s="89" t="b">
        <v>0</v>
      </c>
    </row>
    <row r="204" spans="1:7" ht="15">
      <c r="A204" s="86" t="s">
        <v>1096</v>
      </c>
      <c r="B204" s="89">
        <v>7</v>
      </c>
      <c r="C204" s="111">
        <v>0.007079937452882204</v>
      </c>
      <c r="D204" s="89" t="s">
        <v>789</v>
      </c>
      <c r="E204" s="89" t="b">
        <v>0</v>
      </c>
      <c r="F204" s="89" t="b">
        <v>0</v>
      </c>
      <c r="G204" s="89" t="b">
        <v>0</v>
      </c>
    </row>
    <row r="205" spans="1:7" ht="15">
      <c r="A205" s="86" t="s">
        <v>1097</v>
      </c>
      <c r="B205" s="89">
        <v>7</v>
      </c>
      <c r="C205" s="111">
        <v>0.007079937452882204</v>
      </c>
      <c r="D205" s="89" t="s">
        <v>789</v>
      </c>
      <c r="E205" s="89" t="b">
        <v>0</v>
      </c>
      <c r="F205" s="89" t="b">
        <v>0</v>
      </c>
      <c r="G205" s="89" t="b">
        <v>0</v>
      </c>
    </row>
    <row r="206" spans="1:7" ht="15">
      <c r="A206" s="86" t="s">
        <v>1098</v>
      </c>
      <c r="B206" s="89">
        <v>7</v>
      </c>
      <c r="C206" s="111">
        <v>0.007079937452882204</v>
      </c>
      <c r="D206" s="89" t="s">
        <v>789</v>
      </c>
      <c r="E206" s="89" t="b">
        <v>0</v>
      </c>
      <c r="F206" s="89" t="b">
        <v>0</v>
      </c>
      <c r="G206" s="89" t="b">
        <v>0</v>
      </c>
    </row>
    <row r="207" spans="1:7" ht="15">
      <c r="A207" s="86" t="s">
        <v>1086</v>
      </c>
      <c r="B207" s="89">
        <v>7</v>
      </c>
      <c r="C207" s="111">
        <v>0.007079937452882204</v>
      </c>
      <c r="D207" s="89" t="s">
        <v>789</v>
      </c>
      <c r="E207" s="89" t="b">
        <v>0</v>
      </c>
      <c r="F207" s="89" t="b">
        <v>0</v>
      </c>
      <c r="G207" s="89" t="b">
        <v>0</v>
      </c>
    </row>
    <row r="208" spans="1:7" ht="15">
      <c r="A208" s="86" t="s">
        <v>866</v>
      </c>
      <c r="B208" s="89">
        <v>7</v>
      </c>
      <c r="C208" s="111">
        <v>0.007079937452882204</v>
      </c>
      <c r="D208" s="89" t="s">
        <v>789</v>
      </c>
      <c r="E208" s="89" t="b">
        <v>0</v>
      </c>
      <c r="F208" s="89" t="b">
        <v>0</v>
      </c>
      <c r="G208" s="89" t="b">
        <v>0</v>
      </c>
    </row>
    <row r="209" spans="1:7" ht="15">
      <c r="A209" s="86" t="s">
        <v>1099</v>
      </c>
      <c r="B209" s="89">
        <v>7</v>
      </c>
      <c r="C209" s="111">
        <v>0.007079937452882204</v>
      </c>
      <c r="D209" s="89" t="s">
        <v>789</v>
      </c>
      <c r="E209" s="89" t="b">
        <v>1</v>
      </c>
      <c r="F209" s="89" t="b">
        <v>0</v>
      </c>
      <c r="G209" s="89" t="b">
        <v>0</v>
      </c>
    </row>
    <row r="210" spans="1:7" ht="15">
      <c r="A210" s="86" t="s">
        <v>1100</v>
      </c>
      <c r="B210" s="89">
        <v>7</v>
      </c>
      <c r="C210" s="111">
        <v>0.007079937452882204</v>
      </c>
      <c r="D210" s="89" t="s">
        <v>789</v>
      </c>
      <c r="E210" s="89" t="b">
        <v>0</v>
      </c>
      <c r="F210" s="89" t="b">
        <v>0</v>
      </c>
      <c r="G210" s="89" t="b">
        <v>0</v>
      </c>
    </row>
    <row r="211" spans="1:7" ht="15">
      <c r="A211" s="86" t="s">
        <v>1101</v>
      </c>
      <c r="B211" s="89">
        <v>7</v>
      </c>
      <c r="C211" s="111">
        <v>0.007079937452882204</v>
      </c>
      <c r="D211" s="89" t="s">
        <v>789</v>
      </c>
      <c r="E211" s="89" t="b">
        <v>0</v>
      </c>
      <c r="F211" s="89" t="b">
        <v>0</v>
      </c>
      <c r="G211" s="89" t="b">
        <v>0</v>
      </c>
    </row>
    <row r="212" spans="1:7" ht="15">
      <c r="A212" s="86" t="s">
        <v>1067</v>
      </c>
      <c r="B212" s="89">
        <v>6</v>
      </c>
      <c r="C212" s="111">
        <v>0.007122797968419375</v>
      </c>
      <c r="D212" s="89" t="s">
        <v>789</v>
      </c>
      <c r="E212" s="89" t="b">
        <v>0</v>
      </c>
      <c r="F212" s="89" t="b">
        <v>0</v>
      </c>
      <c r="G212" s="89" t="b">
        <v>0</v>
      </c>
    </row>
    <row r="213" spans="1:7" ht="15">
      <c r="A213" s="86" t="s">
        <v>1068</v>
      </c>
      <c r="B213" s="89">
        <v>6</v>
      </c>
      <c r="C213" s="111">
        <v>0.007122797968419375</v>
      </c>
      <c r="D213" s="89" t="s">
        <v>789</v>
      </c>
      <c r="E213" s="89" t="b">
        <v>0</v>
      </c>
      <c r="F213" s="89" t="b">
        <v>0</v>
      </c>
      <c r="G213" s="89" t="b">
        <v>0</v>
      </c>
    </row>
    <row r="214" spans="1:7" ht="15">
      <c r="A214" s="86" t="s">
        <v>1069</v>
      </c>
      <c r="B214" s="89">
        <v>5</v>
      </c>
      <c r="C214" s="111">
        <v>0.006974788937562404</v>
      </c>
      <c r="D214" s="89" t="s">
        <v>789</v>
      </c>
      <c r="E214" s="89" t="b">
        <v>0</v>
      </c>
      <c r="F214" s="89" t="b">
        <v>0</v>
      </c>
      <c r="G214" s="89" t="b">
        <v>0</v>
      </c>
    </row>
    <row r="215" spans="1:7" ht="15">
      <c r="A215" s="86" t="s">
        <v>1070</v>
      </c>
      <c r="B215" s="89">
        <v>5</v>
      </c>
      <c r="C215" s="111">
        <v>0.006974788937562404</v>
      </c>
      <c r="D215" s="89" t="s">
        <v>789</v>
      </c>
      <c r="E215" s="89" t="b">
        <v>0</v>
      </c>
      <c r="F215" s="89" t="b">
        <v>0</v>
      </c>
      <c r="G215" s="89" t="b">
        <v>0</v>
      </c>
    </row>
    <row r="216" spans="1:7" ht="15">
      <c r="A216" s="86" t="s">
        <v>1071</v>
      </c>
      <c r="B216" s="89">
        <v>5</v>
      </c>
      <c r="C216" s="111">
        <v>0.006974788937562404</v>
      </c>
      <c r="D216" s="89" t="s">
        <v>789</v>
      </c>
      <c r="E216" s="89" t="b">
        <v>1</v>
      </c>
      <c r="F216" s="89" t="b">
        <v>0</v>
      </c>
      <c r="G216" s="89" t="b">
        <v>0</v>
      </c>
    </row>
    <row r="217" spans="1:7" ht="15">
      <c r="A217" s="86" t="s">
        <v>1072</v>
      </c>
      <c r="B217" s="89">
        <v>5</v>
      </c>
      <c r="C217" s="111">
        <v>0.006974788937562404</v>
      </c>
      <c r="D217" s="89" t="s">
        <v>789</v>
      </c>
      <c r="E217" s="89" t="b">
        <v>0</v>
      </c>
      <c r="F217" s="89" t="b">
        <v>0</v>
      </c>
      <c r="G217" s="89" t="b">
        <v>0</v>
      </c>
    </row>
    <row r="218" spans="1:7" ht="15">
      <c r="A218" s="86" t="s">
        <v>1073</v>
      </c>
      <c r="B218" s="89">
        <v>5</v>
      </c>
      <c r="C218" s="111">
        <v>0.006974788937562404</v>
      </c>
      <c r="D218" s="89" t="s">
        <v>789</v>
      </c>
      <c r="E218" s="89" t="b">
        <v>0</v>
      </c>
      <c r="F218" s="89" t="b">
        <v>0</v>
      </c>
      <c r="G218" s="89" t="b">
        <v>0</v>
      </c>
    </row>
    <row r="219" spans="1:7" ht="15">
      <c r="A219" s="86" t="s">
        <v>1074</v>
      </c>
      <c r="B219" s="89">
        <v>5</v>
      </c>
      <c r="C219" s="111">
        <v>0.006974788937562404</v>
      </c>
      <c r="D219" s="89" t="s">
        <v>789</v>
      </c>
      <c r="E219" s="89" t="b">
        <v>0</v>
      </c>
      <c r="F219" s="89" t="b">
        <v>0</v>
      </c>
      <c r="G219" s="89" t="b">
        <v>0</v>
      </c>
    </row>
    <row r="220" spans="1:7" ht="15">
      <c r="A220" s="86" t="s">
        <v>1075</v>
      </c>
      <c r="B220" s="89">
        <v>5</v>
      </c>
      <c r="C220" s="111">
        <v>0.006974788937562404</v>
      </c>
      <c r="D220" s="89" t="s">
        <v>789</v>
      </c>
      <c r="E220" s="89" t="b">
        <v>0</v>
      </c>
      <c r="F220" s="89" t="b">
        <v>0</v>
      </c>
      <c r="G220" s="89" t="b">
        <v>0</v>
      </c>
    </row>
    <row r="221" spans="1:7" ht="15">
      <c r="A221" s="86" t="s">
        <v>1076</v>
      </c>
      <c r="B221" s="89">
        <v>5</v>
      </c>
      <c r="C221" s="111">
        <v>0.006974788937562404</v>
      </c>
      <c r="D221" s="89" t="s">
        <v>789</v>
      </c>
      <c r="E221" s="89" t="b">
        <v>0</v>
      </c>
      <c r="F221" s="89" t="b">
        <v>0</v>
      </c>
      <c r="G221" s="89" t="b">
        <v>0</v>
      </c>
    </row>
    <row r="222" spans="1:7" ht="15">
      <c r="A222" s="86" t="s">
        <v>1077</v>
      </c>
      <c r="B222" s="89">
        <v>5</v>
      </c>
      <c r="C222" s="111">
        <v>0.006974788937562404</v>
      </c>
      <c r="D222" s="89" t="s">
        <v>789</v>
      </c>
      <c r="E222" s="89" t="b">
        <v>0</v>
      </c>
      <c r="F222" s="89" t="b">
        <v>1</v>
      </c>
      <c r="G222" s="89" t="b">
        <v>0</v>
      </c>
    </row>
    <row r="223" spans="1:7" ht="15">
      <c r="A223" s="86" t="s">
        <v>1078</v>
      </c>
      <c r="B223" s="89">
        <v>5</v>
      </c>
      <c r="C223" s="111">
        <v>0.006974788937562404</v>
      </c>
      <c r="D223" s="89" t="s">
        <v>789</v>
      </c>
      <c r="E223" s="89" t="b">
        <v>0</v>
      </c>
      <c r="F223" s="89" t="b">
        <v>0</v>
      </c>
      <c r="G223" s="89" t="b">
        <v>0</v>
      </c>
    </row>
    <row r="224" spans="1:7" ht="15">
      <c r="A224" s="86" t="s">
        <v>1079</v>
      </c>
      <c r="B224" s="89">
        <v>5</v>
      </c>
      <c r="C224" s="111">
        <v>0.006974788937562404</v>
      </c>
      <c r="D224" s="89" t="s">
        <v>789</v>
      </c>
      <c r="E224" s="89" t="b">
        <v>0</v>
      </c>
      <c r="F224" s="89" t="b">
        <v>0</v>
      </c>
      <c r="G224" s="89" t="b">
        <v>0</v>
      </c>
    </row>
    <row r="225" spans="1:7" ht="15">
      <c r="A225" s="86" t="s">
        <v>1080</v>
      </c>
      <c r="B225" s="89">
        <v>5</v>
      </c>
      <c r="C225" s="111">
        <v>0.006974788937562404</v>
      </c>
      <c r="D225" s="89" t="s">
        <v>789</v>
      </c>
      <c r="E225" s="89" t="b">
        <v>0</v>
      </c>
      <c r="F225" s="89" t="b">
        <v>0</v>
      </c>
      <c r="G225" s="89" t="b">
        <v>0</v>
      </c>
    </row>
    <row r="226" spans="1:7" ht="15">
      <c r="A226" s="86" t="s">
        <v>1081</v>
      </c>
      <c r="B226" s="89">
        <v>5</v>
      </c>
      <c r="C226" s="111">
        <v>0.006974788937562404</v>
      </c>
      <c r="D226" s="89" t="s">
        <v>789</v>
      </c>
      <c r="E226" s="89" t="b">
        <v>0</v>
      </c>
      <c r="F226" s="89" t="b">
        <v>0</v>
      </c>
      <c r="G226" s="89" t="b">
        <v>0</v>
      </c>
    </row>
    <row r="227" spans="1:7" ht="15">
      <c r="A227" s="86" t="s">
        <v>1082</v>
      </c>
      <c r="B227" s="89">
        <v>5</v>
      </c>
      <c r="C227" s="111">
        <v>0.006974788937562404</v>
      </c>
      <c r="D227" s="89" t="s">
        <v>789</v>
      </c>
      <c r="E227" s="89" t="b">
        <v>0</v>
      </c>
      <c r="F227" s="89" t="b">
        <v>0</v>
      </c>
      <c r="G227" s="89" t="b">
        <v>0</v>
      </c>
    </row>
    <row r="228" spans="1:7" ht="15">
      <c r="A228" s="86" t="s">
        <v>1120</v>
      </c>
      <c r="B228" s="89">
        <v>2</v>
      </c>
      <c r="C228" s="111">
        <v>0.004878839505061904</v>
      </c>
      <c r="D228" s="89" t="s">
        <v>789</v>
      </c>
      <c r="E228" s="89" t="b">
        <v>0</v>
      </c>
      <c r="F228" s="89" t="b">
        <v>0</v>
      </c>
      <c r="G228" s="89" t="b">
        <v>0</v>
      </c>
    </row>
    <row r="229" spans="1:7" ht="15">
      <c r="A229" s="86" t="s">
        <v>1121</v>
      </c>
      <c r="B229" s="89">
        <v>2</v>
      </c>
      <c r="C229" s="111">
        <v>0.004878839505061904</v>
      </c>
      <c r="D229" s="89" t="s">
        <v>789</v>
      </c>
      <c r="E229" s="89" t="b">
        <v>0</v>
      </c>
      <c r="F229" s="89" t="b">
        <v>0</v>
      </c>
      <c r="G229" s="89" t="b">
        <v>0</v>
      </c>
    </row>
    <row r="230" spans="1:7" ht="15">
      <c r="A230" s="86" t="s">
        <v>1122</v>
      </c>
      <c r="B230" s="89">
        <v>2</v>
      </c>
      <c r="C230" s="111">
        <v>0.004878839505061904</v>
      </c>
      <c r="D230" s="89" t="s">
        <v>789</v>
      </c>
      <c r="E230" s="89" t="b">
        <v>0</v>
      </c>
      <c r="F230" s="89" t="b">
        <v>0</v>
      </c>
      <c r="G230" s="89" t="b">
        <v>0</v>
      </c>
    </row>
    <row r="231" spans="1:7" ht="15">
      <c r="A231" s="86" t="s">
        <v>1123</v>
      </c>
      <c r="B231" s="89">
        <v>2</v>
      </c>
      <c r="C231" s="111">
        <v>0.004878839505061904</v>
      </c>
      <c r="D231" s="89" t="s">
        <v>789</v>
      </c>
      <c r="E231" s="89" t="b">
        <v>0</v>
      </c>
      <c r="F231" s="89" t="b">
        <v>0</v>
      </c>
      <c r="G231" s="89" t="b">
        <v>0</v>
      </c>
    </row>
    <row r="232" spans="1:7" ht="15">
      <c r="A232" s="86" t="s">
        <v>1124</v>
      </c>
      <c r="B232" s="89">
        <v>2</v>
      </c>
      <c r="C232" s="111">
        <v>0.004878839505061904</v>
      </c>
      <c r="D232" s="89" t="s">
        <v>789</v>
      </c>
      <c r="E232" s="89" t="b">
        <v>0</v>
      </c>
      <c r="F232" s="89" t="b">
        <v>0</v>
      </c>
      <c r="G232" s="89" t="b">
        <v>0</v>
      </c>
    </row>
    <row r="233" spans="1:7" ht="15">
      <c r="A233" s="86" t="s">
        <v>1125</v>
      </c>
      <c r="B233" s="89">
        <v>2</v>
      </c>
      <c r="C233" s="111">
        <v>0.004878839505061904</v>
      </c>
      <c r="D233" s="89" t="s">
        <v>789</v>
      </c>
      <c r="E233" s="89" t="b">
        <v>0</v>
      </c>
      <c r="F233" s="89" t="b">
        <v>0</v>
      </c>
      <c r="G233" s="89" t="b">
        <v>0</v>
      </c>
    </row>
    <row r="234" spans="1:7" ht="15">
      <c r="A234" s="86" t="s">
        <v>1126</v>
      </c>
      <c r="B234" s="89">
        <v>2</v>
      </c>
      <c r="C234" s="111">
        <v>0.004878839505061904</v>
      </c>
      <c r="D234" s="89" t="s">
        <v>789</v>
      </c>
      <c r="E234" s="89" t="b">
        <v>0</v>
      </c>
      <c r="F234" s="89" t="b">
        <v>0</v>
      </c>
      <c r="G234" s="89" t="b">
        <v>0</v>
      </c>
    </row>
    <row r="235" spans="1:7" ht="15">
      <c r="A235" s="86" t="s">
        <v>1127</v>
      </c>
      <c r="B235" s="89">
        <v>2</v>
      </c>
      <c r="C235" s="111">
        <v>0.004878839505061904</v>
      </c>
      <c r="D235" s="89" t="s">
        <v>789</v>
      </c>
      <c r="E235" s="89" t="b">
        <v>1</v>
      </c>
      <c r="F235" s="89" t="b">
        <v>0</v>
      </c>
      <c r="G235" s="89" t="b">
        <v>0</v>
      </c>
    </row>
    <row r="236" spans="1:7" ht="15">
      <c r="A236" s="86" t="s">
        <v>1128</v>
      </c>
      <c r="B236" s="89">
        <v>2</v>
      </c>
      <c r="C236" s="111">
        <v>0.004878839505061904</v>
      </c>
      <c r="D236" s="89" t="s">
        <v>789</v>
      </c>
      <c r="E236" s="89" t="b">
        <v>0</v>
      </c>
      <c r="F236" s="89" t="b">
        <v>0</v>
      </c>
      <c r="G236" s="89" t="b">
        <v>0</v>
      </c>
    </row>
    <row r="237" spans="1:7" ht="15">
      <c r="A237" s="86" t="s">
        <v>1129</v>
      </c>
      <c r="B237" s="89">
        <v>2</v>
      </c>
      <c r="C237" s="111">
        <v>0.004878839505061904</v>
      </c>
      <c r="D237" s="89" t="s">
        <v>789</v>
      </c>
      <c r="E237" s="89" t="b">
        <v>1</v>
      </c>
      <c r="F237" s="89" t="b">
        <v>0</v>
      </c>
      <c r="G237" s="89" t="b">
        <v>0</v>
      </c>
    </row>
    <row r="238" spans="1:7" ht="15">
      <c r="A238" s="86" t="s">
        <v>1130</v>
      </c>
      <c r="B238" s="89">
        <v>2</v>
      </c>
      <c r="C238" s="111">
        <v>0.004878839505061904</v>
      </c>
      <c r="D238" s="89" t="s">
        <v>789</v>
      </c>
      <c r="E238" s="89" t="b">
        <v>0</v>
      </c>
      <c r="F238" s="89" t="b">
        <v>0</v>
      </c>
      <c r="G238" s="89" t="b">
        <v>0</v>
      </c>
    </row>
    <row r="239" spans="1:7" ht="15">
      <c r="A239" s="86" t="s">
        <v>1131</v>
      </c>
      <c r="B239" s="89">
        <v>2</v>
      </c>
      <c r="C239" s="111">
        <v>0.004878839505061904</v>
      </c>
      <c r="D239" s="89" t="s">
        <v>789</v>
      </c>
      <c r="E239" s="89" t="b">
        <v>0</v>
      </c>
      <c r="F239" s="89" t="b">
        <v>0</v>
      </c>
      <c r="G239" s="89" t="b">
        <v>0</v>
      </c>
    </row>
    <row r="240" spans="1:7" ht="15">
      <c r="A240" s="86" t="s">
        <v>1132</v>
      </c>
      <c r="B240" s="89">
        <v>2</v>
      </c>
      <c r="C240" s="111">
        <v>0.004878839505061904</v>
      </c>
      <c r="D240" s="89" t="s">
        <v>789</v>
      </c>
      <c r="E240" s="89" t="b">
        <v>0</v>
      </c>
      <c r="F240" s="89" t="b">
        <v>0</v>
      </c>
      <c r="G240" s="89" t="b">
        <v>0</v>
      </c>
    </row>
    <row r="241" spans="1:7" ht="15">
      <c r="A241" s="86" t="s">
        <v>1133</v>
      </c>
      <c r="B241" s="89">
        <v>2</v>
      </c>
      <c r="C241" s="111">
        <v>0.004878839505061904</v>
      </c>
      <c r="D241" s="89" t="s">
        <v>789</v>
      </c>
      <c r="E241" s="89" t="b">
        <v>0</v>
      </c>
      <c r="F241" s="89" t="b">
        <v>0</v>
      </c>
      <c r="G241" s="89" t="b">
        <v>0</v>
      </c>
    </row>
    <row r="242" spans="1:7" ht="15">
      <c r="A242" s="86" t="s">
        <v>1134</v>
      </c>
      <c r="B242" s="89">
        <v>2</v>
      </c>
      <c r="C242" s="111">
        <v>0.004878839505061904</v>
      </c>
      <c r="D242" s="89" t="s">
        <v>789</v>
      </c>
      <c r="E242" s="89" t="b">
        <v>0</v>
      </c>
      <c r="F242" s="89" t="b">
        <v>0</v>
      </c>
      <c r="G242" s="89" t="b">
        <v>0</v>
      </c>
    </row>
    <row r="243" spans="1:7" ht="15">
      <c r="A243" s="86" t="s">
        <v>1135</v>
      </c>
      <c r="B243" s="89">
        <v>2</v>
      </c>
      <c r="C243" s="111">
        <v>0.004878839505061904</v>
      </c>
      <c r="D243" s="89" t="s">
        <v>789</v>
      </c>
      <c r="E243" s="89" t="b">
        <v>1</v>
      </c>
      <c r="F243" s="89" t="b">
        <v>0</v>
      </c>
      <c r="G243" s="89" t="b">
        <v>0</v>
      </c>
    </row>
    <row r="244" spans="1:7" ht="15">
      <c r="A244" s="86" t="s">
        <v>1136</v>
      </c>
      <c r="B244" s="89">
        <v>2</v>
      </c>
      <c r="C244" s="111">
        <v>0.004878839505061904</v>
      </c>
      <c r="D244" s="89" t="s">
        <v>789</v>
      </c>
      <c r="E244" s="89" t="b">
        <v>0</v>
      </c>
      <c r="F244" s="89" t="b">
        <v>0</v>
      </c>
      <c r="G244" s="89" t="b">
        <v>0</v>
      </c>
    </row>
    <row r="245" spans="1:7" ht="15">
      <c r="A245" s="86" t="s">
        <v>1137</v>
      </c>
      <c r="B245" s="89">
        <v>2</v>
      </c>
      <c r="C245" s="111">
        <v>0.004878839505061904</v>
      </c>
      <c r="D245" s="89" t="s">
        <v>789</v>
      </c>
      <c r="E245" s="89" t="b">
        <v>1</v>
      </c>
      <c r="F245" s="89" t="b">
        <v>0</v>
      </c>
      <c r="G245" s="89" t="b">
        <v>0</v>
      </c>
    </row>
    <row r="246" spans="1:7" ht="15">
      <c r="A246" s="86" t="s">
        <v>1138</v>
      </c>
      <c r="B246" s="89">
        <v>2</v>
      </c>
      <c r="C246" s="111">
        <v>0.004878839505061904</v>
      </c>
      <c r="D246" s="89" t="s">
        <v>789</v>
      </c>
      <c r="E246" s="89" t="b">
        <v>0</v>
      </c>
      <c r="F246" s="89" t="b">
        <v>0</v>
      </c>
      <c r="G246" s="89" t="b">
        <v>0</v>
      </c>
    </row>
    <row r="247" spans="1:7" ht="15">
      <c r="A247" s="86" t="s">
        <v>1139</v>
      </c>
      <c r="B247" s="89">
        <v>2</v>
      </c>
      <c r="C247" s="111">
        <v>0.004878839505061904</v>
      </c>
      <c r="D247" s="89" t="s">
        <v>789</v>
      </c>
      <c r="E247" s="89" t="b">
        <v>0</v>
      </c>
      <c r="F247" s="89" t="b">
        <v>1</v>
      </c>
      <c r="G247" s="89" t="b">
        <v>0</v>
      </c>
    </row>
    <row r="248" spans="1:7" ht="15">
      <c r="A248" s="86" t="s">
        <v>1140</v>
      </c>
      <c r="B248" s="89">
        <v>2</v>
      </c>
      <c r="C248" s="111">
        <v>0.004878839505061904</v>
      </c>
      <c r="D248" s="89" t="s">
        <v>789</v>
      </c>
      <c r="E248" s="89" t="b">
        <v>1</v>
      </c>
      <c r="F248" s="89" t="b">
        <v>0</v>
      </c>
      <c r="G248" s="89" t="b">
        <v>0</v>
      </c>
    </row>
    <row r="249" spans="1:7" ht="15">
      <c r="A249" s="86" t="s">
        <v>1141</v>
      </c>
      <c r="B249" s="89">
        <v>2</v>
      </c>
      <c r="C249" s="111">
        <v>0.004878839505061904</v>
      </c>
      <c r="D249" s="89" t="s">
        <v>789</v>
      </c>
      <c r="E249" s="89" t="b">
        <v>1</v>
      </c>
      <c r="F249" s="89" t="b">
        <v>0</v>
      </c>
      <c r="G249" s="89" t="b">
        <v>0</v>
      </c>
    </row>
    <row r="250" spans="1:7" ht="15">
      <c r="A250" s="86" t="s">
        <v>1083</v>
      </c>
      <c r="B250" s="89">
        <v>2</v>
      </c>
      <c r="C250" s="111">
        <v>0.004878839505061904</v>
      </c>
      <c r="D250" s="89" t="s">
        <v>789</v>
      </c>
      <c r="E250" s="89" t="b">
        <v>0</v>
      </c>
      <c r="F250" s="89" t="b">
        <v>0</v>
      </c>
      <c r="G250" s="89" t="b">
        <v>0</v>
      </c>
    </row>
    <row r="251" spans="1:7" ht="15">
      <c r="A251" s="86" t="s">
        <v>1142</v>
      </c>
      <c r="B251" s="89">
        <v>2</v>
      </c>
      <c r="C251" s="111">
        <v>0.004878839505061904</v>
      </c>
      <c r="D251" s="89" t="s">
        <v>789</v>
      </c>
      <c r="E251" s="89" t="b">
        <v>0</v>
      </c>
      <c r="F251" s="89" t="b">
        <v>0</v>
      </c>
      <c r="G251" s="89" t="b">
        <v>0</v>
      </c>
    </row>
    <row r="252" spans="1:7" ht="15">
      <c r="A252" s="86" t="s">
        <v>1143</v>
      </c>
      <c r="B252" s="89">
        <v>2</v>
      </c>
      <c r="C252" s="111">
        <v>0.004878839505061904</v>
      </c>
      <c r="D252" s="89" t="s">
        <v>789</v>
      </c>
      <c r="E252" s="89" t="b">
        <v>0</v>
      </c>
      <c r="F252" s="89" t="b">
        <v>0</v>
      </c>
      <c r="G252" s="89" t="b">
        <v>0</v>
      </c>
    </row>
    <row r="253" spans="1:7" ht="15">
      <c r="A253" s="86" t="s">
        <v>863</v>
      </c>
      <c r="B253" s="89">
        <v>3</v>
      </c>
      <c r="C253" s="111">
        <v>0.025802571056912676</v>
      </c>
      <c r="D253" s="89" t="s">
        <v>791</v>
      </c>
      <c r="E253" s="89" t="b">
        <v>0</v>
      </c>
      <c r="F253" s="89" t="b">
        <v>0</v>
      </c>
      <c r="G253" s="89" t="b">
        <v>0</v>
      </c>
    </row>
    <row r="254" spans="1:7" ht="15">
      <c r="A254" s="86" t="s">
        <v>864</v>
      </c>
      <c r="B254" s="89">
        <v>3</v>
      </c>
      <c r="C254" s="111">
        <v>0.025802571056912676</v>
      </c>
      <c r="D254" s="89" t="s">
        <v>791</v>
      </c>
      <c r="E254" s="89" t="b">
        <v>0</v>
      </c>
      <c r="F254" s="89" t="b">
        <v>0</v>
      </c>
      <c r="G254" s="89" t="b">
        <v>0</v>
      </c>
    </row>
    <row r="255" spans="1:7" ht="15">
      <c r="A255" s="86" t="s">
        <v>865</v>
      </c>
      <c r="B255" s="89">
        <v>3</v>
      </c>
      <c r="C255" s="111">
        <v>0.025802571056912676</v>
      </c>
      <c r="D255" s="89" t="s">
        <v>791</v>
      </c>
      <c r="E255" s="89" t="b">
        <v>0</v>
      </c>
      <c r="F255" s="89" t="b">
        <v>1</v>
      </c>
      <c r="G255" s="89" t="b">
        <v>0</v>
      </c>
    </row>
    <row r="256" spans="1:7" ht="15">
      <c r="A256" s="86" t="s">
        <v>846</v>
      </c>
      <c r="B256" s="89">
        <v>3</v>
      </c>
      <c r="C256" s="111">
        <v>0.025802571056912676</v>
      </c>
      <c r="D256" s="89" t="s">
        <v>791</v>
      </c>
      <c r="E256" s="89" t="b">
        <v>0</v>
      </c>
      <c r="F256" s="89" t="b">
        <v>0</v>
      </c>
      <c r="G256" s="89" t="b">
        <v>0</v>
      </c>
    </row>
    <row r="257" spans="1:7" ht="15">
      <c r="A257" s="86" t="s">
        <v>877</v>
      </c>
      <c r="B257" s="89">
        <v>3</v>
      </c>
      <c r="C257" s="111">
        <v>0.025802571056912676</v>
      </c>
      <c r="D257" s="89" t="s">
        <v>791</v>
      </c>
      <c r="E257" s="89" t="b">
        <v>0</v>
      </c>
      <c r="F257" s="89" t="b">
        <v>0</v>
      </c>
      <c r="G257" s="89" t="b">
        <v>0</v>
      </c>
    </row>
    <row r="258" spans="1:7" ht="15">
      <c r="A258" s="86" t="s">
        <v>878</v>
      </c>
      <c r="B258" s="89">
        <v>2</v>
      </c>
      <c r="C258" s="111">
        <v>0.027264071698266425</v>
      </c>
      <c r="D258" s="89" t="s">
        <v>791</v>
      </c>
      <c r="E258" s="89" t="b">
        <v>0</v>
      </c>
      <c r="F258" s="89" t="b">
        <v>0</v>
      </c>
      <c r="G258" s="89" t="b">
        <v>0</v>
      </c>
    </row>
    <row r="259" spans="1:7" ht="15">
      <c r="A259" s="86" t="s">
        <v>880</v>
      </c>
      <c r="B259" s="89">
        <v>4</v>
      </c>
      <c r="C259" s="111">
        <v>0</v>
      </c>
      <c r="D259" s="89" t="s">
        <v>792</v>
      </c>
      <c r="E259" s="89" t="b">
        <v>0</v>
      </c>
      <c r="F259" s="89" t="b">
        <v>0</v>
      </c>
      <c r="G259" s="89" t="b">
        <v>0</v>
      </c>
    </row>
    <row r="260" spans="1:7" ht="15">
      <c r="A260" s="86" t="s">
        <v>881</v>
      </c>
      <c r="B260" s="89">
        <v>4</v>
      </c>
      <c r="C260" s="111">
        <v>0</v>
      </c>
      <c r="D260" s="89" t="s">
        <v>792</v>
      </c>
      <c r="E260" s="89" t="b">
        <v>0</v>
      </c>
      <c r="F260" s="89" t="b">
        <v>0</v>
      </c>
      <c r="G260" s="89" t="b">
        <v>0</v>
      </c>
    </row>
    <row r="261" spans="1:7" ht="15">
      <c r="A261" s="86" t="s">
        <v>882</v>
      </c>
      <c r="B261" s="89">
        <v>4</v>
      </c>
      <c r="C261" s="111">
        <v>0</v>
      </c>
      <c r="D261" s="89" t="s">
        <v>792</v>
      </c>
      <c r="E261" s="89" t="b">
        <v>0</v>
      </c>
      <c r="F261" s="89" t="b">
        <v>0</v>
      </c>
      <c r="G261" s="89" t="b">
        <v>0</v>
      </c>
    </row>
    <row r="262" spans="1:7" ht="15">
      <c r="A262" s="86" t="s">
        <v>306</v>
      </c>
      <c r="B262" s="89">
        <v>4</v>
      </c>
      <c r="C262" s="111">
        <v>0</v>
      </c>
      <c r="D262" s="89" t="s">
        <v>792</v>
      </c>
      <c r="E262" s="89" t="b">
        <v>0</v>
      </c>
      <c r="F262" s="89" t="b">
        <v>0</v>
      </c>
      <c r="G262" s="89" t="b">
        <v>0</v>
      </c>
    </row>
    <row r="263" spans="1:7" ht="15">
      <c r="A263" s="86" t="s">
        <v>883</v>
      </c>
      <c r="B263" s="89">
        <v>4</v>
      </c>
      <c r="C263" s="111">
        <v>0</v>
      </c>
      <c r="D263" s="89" t="s">
        <v>792</v>
      </c>
      <c r="E263" s="89" t="b">
        <v>0</v>
      </c>
      <c r="F263" s="89" t="b">
        <v>0</v>
      </c>
      <c r="G263" s="89" t="b">
        <v>0</v>
      </c>
    </row>
    <row r="264" spans="1:7" ht="15">
      <c r="A264" s="86" t="s">
        <v>884</v>
      </c>
      <c r="B264" s="89">
        <v>4</v>
      </c>
      <c r="C264" s="111">
        <v>0</v>
      </c>
      <c r="D264" s="89" t="s">
        <v>792</v>
      </c>
      <c r="E264" s="89" t="b">
        <v>0</v>
      </c>
      <c r="F264" s="89" t="b">
        <v>0</v>
      </c>
      <c r="G264" s="89" t="b">
        <v>0</v>
      </c>
    </row>
    <row r="265" spans="1:7" ht="15">
      <c r="A265" s="86" t="s">
        <v>885</v>
      </c>
      <c r="B265" s="89">
        <v>4</v>
      </c>
      <c r="C265" s="111">
        <v>0</v>
      </c>
      <c r="D265" s="89" t="s">
        <v>792</v>
      </c>
      <c r="E265" s="89" t="b">
        <v>0</v>
      </c>
      <c r="F265" s="89" t="b">
        <v>0</v>
      </c>
      <c r="G265" s="89" t="b">
        <v>0</v>
      </c>
    </row>
    <row r="266" spans="1:7" ht="15">
      <c r="A266" s="86" t="s">
        <v>886</v>
      </c>
      <c r="B266" s="89">
        <v>4</v>
      </c>
      <c r="C266" s="111">
        <v>0</v>
      </c>
      <c r="D266" s="89" t="s">
        <v>792</v>
      </c>
      <c r="E266" s="89" t="b">
        <v>0</v>
      </c>
      <c r="F266" s="89" t="b">
        <v>0</v>
      </c>
      <c r="G266" s="89" t="b">
        <v>0</v>
      </c>
    </row>
    <row r="267" spans="1:7" ht="15">
      <c r="A267" s="86" t="s">
        <v>887</v>
      </c>
      <c r="B267" s="89">
        <v>4</v>
      </c>
      <c r="C267" s="111">
        <v>0</v>
      </c>
      <c r="D267" s="89" t="s">
        <v>792</v>
      </c>
      <c r="E267" s="89" t="b">
        <v>0</v>
      </c>
      <c r="F267" s="89" t="b">
        <v>0</v>
      </c>
      <c r="G267" s="89" t="b">
        <v>0</v>
      </c>
    </row>
    <row r="268" spans="1:7" ht="15">
      <c r="A268" s="86" t="s">
        <v>888</v>
      </c>
      <c r="B268" s="89">
        <v>4</v>
      </c>
      <c r="C268" s="111">
        <v>0</v>
      </c>
      <c r="D268" s="89" t="s">
        <v>792</v>
      </c>
      <c r="E268" s="89" t="b">
        <v>0</v>
      </c>
      <c r="F268" s="89" t="b">
        <v>0</v>
      </c>
      <c r="G268" s="89" t="b">
        <v>0</v>
      </c>
    </row>
    <row r="269" spans="1:7" ht="15">
      <c r="A269" s="86" t="s">
        <v>1113</v>
      </c>
      <c r="B269" s="89">
        <v>4</v>
      </c>
      <c r="C269" s="111">
        <v>0</v>
      </c>
      <c r="D269" s="89" t="s">
        <v>792</v>
      </c>
      <c r="E269" s="89" t="b">
        <v>0</v>
      </c>
      <c r="F269" s="89" t="b">
        <v>0</v>
      </c>
      <c r="G269" s="89" t="b">
        <v>0</v>
      </c>
    </row>
    <row r="270" spans="1:7" ht="15">
      <c r="A270" s="86" t="s">
        <v>1114</v>
      </c>
      <c r="B270" s="89">
        <v>4</v>
      </c>
      <c r="C270" s="111">
        <v>0</v>
      </c>
      <c r="D270" s="89" t="s">
        <v>792</v>
      </c>
      <c r="E270" s="89" t="b">
        <v>0</v>
      </c>
      <c r="F270" s="89" t="b">
        <v>0</v>
      </c>
      <c r="G270" s="89" t="b">
        <v>0</v>
      </c>
    </row>
    <row r="271" spans="1:7" ht="15">
      <c r="A271" s="86" t="s">
        <v>1115</v>
      </c>
      <c r="B271" s="89">
        <v>4</v>
      </c>
      <c r="C271" s="111">
        <v>0</v>
      </c>
      <c r="D271" s="89" t="s">
        <v>792</v>
      </c>
      <c r="E271" s="89" t="b">
        <v>0</v>
      </c>
      <c r="F271" s="89" t="b">
        <v>0</v>
      </c>
      <c r="G271" s="89" t="b">
        <v>0</v>
      </c>
    </row>
    <row r="272" spans="1:7" ht="15">
      <c r="A272" s="86" t="s">
        <v>1116</v>
      </c>
      <c r="B272" s="89">
        <v>4</v>
      </c>
      <c r="C272" s="111">
        <v>0</v>
      </c>
      <c r="D272" s="89" t="s">
        <v>792</v>
      </c>
      <c r="E272" s="89" t="b">
        <v>0</v>
      </c>
      <c r="F272" s="89" t="b">
        <v>0</v>
      </c>
      <c r="G272" s="89" t="b">
        <v>0</v>
      </c>
    </row>
    <row r="273" spans="1:7" ht="15">
      <c r="A273" s="86" t="s">
        <v>295</v>
      </c>
      <c r="B273" s="89">
        <v>4</v>
      </c>
      <c r="C273" s="111">
        <v>0</v>
      </c>
      <c r="D273" s="89" t="s">
        <v>792</v>
      </c>
      <c r="E273" s="89" t="b">
        <v>0</v>
      </c>
      <c r="F273" s="89" t="b">
        <v>0</v>
      </c>
      <c r="G273" s="89" t="b">
        <v>0</v>
      </c>
    </row>
    <row r="274" spans="1:7" ht="15">
      <c r="A274" s="86" t="s">
        <v>297</v>
      </c>
      <c r="B274" s="89">
        <v>4</v>
      </c>
      <c r="C274" s="111">
        <v>0</v>
      </c>
      <c r="D274" s="89" t="s">
        <v>792</v>
      </c>
      <c r="E274" s="89" t="b">
        <v>0</v>
      </c>
      <c r="F274" s="89" t="b">
        <v>0</v>
      </c>
      <c r="G274" s="89" t="b">
        <v>0</v>
      </c>
    </row>
    <row r="275" spans="1:7" ht="15">
      <c r="A275" s="86" t="s">
        <v>1117</v>
      </c>
      <c r="B275" s="89">
        <v>4</v>
      </c>
      <c r="C275" s="111">
        <v>0</v>
      </c>
      <c r="D275" s="89" t="s">
        <v>792</v>
      </c>
      <c r="E275" s="89" t="b">
        <v>0</v>
      </c>
      <c r="F275" s="89" t="b">
        <v>0</v>
      </c>
      <c r="G275" s="89" t="b">
        <v>0</v>
      </c>
    </row>
    <row r="276" spans="1:7" ht="15">
      <c r="A276" s="86" t="s">
        <v>1118</v>
      </c>
      <c r="B276" s="89">
        <v>4</v>
      </c>
      <c r="C276" s="111">
        <v>0</v>
      </c>
      <c r="D276" s="89" t="s">
        <v>792</v>
      </c>
      <c r="E276" s="89" t="b">
        <v>0</v>
      </c>
      <c r="F276" s="89" t="b">
        <v>0</v>
      </c>
      <c r="G276" s="89" t="b">
        <v>0</v>
      </c>
    </row>
    <row r="277" spans="1:7" ht="15">
      <c r="A277" s="86" t="s">
        <v>300</v>
      </c>
      <c r="B277" s="89">
        <v>4</v>
      </c>
      <c r="C277" s="111">
        <v>0</v>
      </c>
      <c r="D277" s="89" t="s">
        <v>792</v>
      </c>
      <c r="E277" s="89" t="b">
        <v>0</v>
      </c>
      <c r="F277" s="89" t="b">
        <v>0</v>
      </c>
      <c r="G277" s="89" t="b">
        <v>0</v>
      </c>
    </row>
    <row r="278" spans="1:7" ht="15">
      <c r="A278" s="86" t="s">
        <v>1119</v>
      </c>
      <c r="B278" s="89">
        <v>4</v>
      </c>
      <c r="C278" s="111">
        <v>0</v>
      </c>
      <c r="D278" s="89" t="s">
        <v>792</v>
      </c>
      <c r="E278" s="89" t="b">
        <v>0</v>
      </c>
      <c r="F278" s="89" t="b">
        <v>0</v>
      </c>
      <c r="G278" s="89" t="b">
        <v>0</v>
      </c>
    </row>
    <row r="279" spans="1:7" ht="15">
      <c r="A279" s="86" t="s">
        <v>307</v>
      </c>
      <c r="B279" s="89">
        <v>4</v>
      </c>
      <c r="C279" s="111">
        <v>0</v>
      </c>
      <c r="D279" s="89" t="s">
        <v>793</v>
      </c>
      <c r="E279" s="89" t="b">
        <v>0</v>
      </c>
      <c r="F279" s="89" t="b">
        <v>0</v>
      </c>
      <c r="G279" s="89" t="b">
        <v>0</v>
      </c>
    </row>
    <row r="280" spans="1:7" ht="15">
      <c r="A280" s="86" t="s">
        <v>289</v>
      </c>
      <c r="B280" s="89">
        <v>4</v>
      </c>
      <c r="C280" s="111">
        <v>0</v>
      </c>
      <c r="D280" s="89" t="s">
        <v>793</v>
      </c>
      <c r="E280" s="89" t="b">
        <v>0</v>
      </c>
      <c r="F280" s="89" t="b">
        <v>0</v>
      </c>
      <c r="G280" s="89" t="b">
        <v>0</v>
      </c>
    </row>
    <row r="281" spans="1:7" ht="15">
      <c r="A281" s="86" t="s">
        <v>292</v>
      </c>
      <c r="B281" s="89">
        <v>2</v>
      </c>
      <c r="C281" s="111">
        <v>0.013683181621090055</v>
      </c>
      <c r="D281" s="89" t="s">
        <v>793</v>
      </c>
      <c r="E281" s="89" t="b">
        <v>0</v>
      </c>
      <c r="F281" s="89" t="b">
        <v>0</v>
      </c>
      <c r="G281" s="89" t="b">
        <v>0</v>
      </c>
    </row>
    <row r="282" spans="1:7" ht="15">
      <c r="A282" s="86" t="s">
        <v>890</v>
      </c>
      <c r="B282" s="89">
        <v>2</v>
      </c>
      <c r="C282" s="111">
        <v>0.013683181621090055</v>
      </c>
      <c r="D282" s="89" t="s">
        <v>793</v>
      </c>
      <c r="E282" s="89" t="b">
        <v>0</v>
      </c>
      <c r="F282" s="89" t="b">
        <v>0</v>
      </c>
      <c r="G282" s="89" t="b">
        <v>0</v>
      </c>
    </row>
    <row r="283" spans="1:7" ht="15">
      <c r="A283" s="86" t="s">
        <v>891</v>
      </c>
      <c r="B283" s="89">
        <v>2</v>
      </c>
      <c r="C283" s="111">
        <v>0.013683181621090055</v>
      </c>
      <c r="D283" s="89" t="s">
        <v>793</v>
      </c>
      <c r="E283" s="89" t="b">
        <v>0</v>
      </c>
      <c r="F283" s="89" t="b">
        <v>0</v>
      </c>
      <c r="G283" s="89" t="b">
        <v>0</v>
      </c>
    </row>
    <row r="284" spans="1:7" ht="15">
      <c r="A284" s="86" t="s">
        <v>892</v>
      </c>
      <c r="B284" s="89">
        <v>2</v>
      </c>
      <c r="C284" s="111">
        <v>0.013683181621090055</v>
      </c>
      <c r="D284" s="89" t="s">
        <v>793</v>
      </c>
      <c r="E284" s="89" t="b">
        <v>0</v>
      </c>
      <c r="F284" s="89" t="b">
        <v>0</v>
      </c>
      <c r="G284" s="89" t="b">
        <v>0</v>
      </c>
    </row>
    <row r="285" spans="1:7" ht="15">
      <c r="A285" s="86" t="s">
        <v>893</v>
      </c>
      <c r="B285" s="89">
        <v>2</v>
      </c>
      <c r="C285" s="111">
        <v>0.013683181621090055</v>
      </c>
      <c r="D285" s="89" t="s">
        <v>793</v>
      </c>
      <c r="E285" s="89" t="b">
        <v>0</v>
      </c>
      <c r="F285" s="89" t="b">
        <v>0</v>
      </c>
      <c r="G285" s="89" t="b">
        <v>0</v>
      </c>
    </row>
    <row r="286" spans="1:7" ht="15">
      <c r="A286" s="86" t="s">
        <v>894</v>
      </c>
      <c r="B286" s="89">
        <v>2</v>
      </c>
      <c r="C286" s="111">
        <v>0.013683181621090055</v>
      </c>
      <c r="D286" s="89" t="s">
        <v>793</v>
      </c>
      <c r="E286" s="89" t="b">
        <v>0</v>
      </c>
      <c r="F286" s="89" t="b">
        <v>0</v>
      </c>
      <c r="G286" s="89" t="b">
        <v>0</v>
      </c>
    </row>
    <row r="287" spans="1:7" ht="15">
      <c r="A287" s="86" t="s">
        <v>895</v>
      </c>
      <c r="B287" s="89">
        <v>2</v>
      </c>
      <c r="C287" s="111">
        <v>0.013683181621090055</v>
      </c>
      <c r="D287" s="89" t="s">
        <v>793</v>
      </c>
      <c r="E287" s="89" t="b">
        <v>0</v>
      </c>
      <c r="F287" s="89" t="b">
        <v>0</v>
      </c>
      <c r="G287" s="89" t="b">
        <v>0</v>
      </c>
    </row>
    <row r="288" spans="1:7" ht="15">
      <c r="A288" s="86" t="s">
        <v>896</v>
      </c>
      <c r="B288" s="89">
        <v>2</v>
      </c>
      <c r="C288" s="111">
        <v>0.013683181621090055</v>
      </c>
      <c r="D288" s="89" t="s">
        <v>793</v>
      </c>
      <c r="E288" s="89" t="b">
        <v>0</v>
      </c>
      <c r="F288" s="89" t="b">
        <v>0</v>
      </c>
      <c r="G288" s="89" t="b">
        <v>0</v>
      </c>
    </row>
    <row r="289" spans="1:7" ht="15">
      <c r="A289" s="86" t="s">
        <v>1144</v>
      </c>
      <c r="B289" s="89">
        <v>2</v>
      </c>
      <c r="C289" s="111">
        <v>0.013683181621090055</v>
      </c>
      <c r="D289" s="89" t="s">
        <v>793</v>
      </c>
      <c r="E289" s="89" t="b">
        <v>0</v>
      </c>
      <c r="F289" s="89" t="b">
        <v>0</v>
      </c>
      <c r="G289" s="89" t="b">
        <v>0</v>
      </c>
    </row>
    <row r="290" spans="1:7" ht="15">
      <c r="A290" s="86" t="s">
        <v>1145</v>
      </c>
      <c r="B290" s="89">
        <v>2</v>
      </c>
      <c r="C290" s="111">
        <v>0.013683181621090055</v>
      </c>
      <c r="D290" s="89" t="s">
        <v>793</v>
      </c>
      <c r="E290" s="89" t="b">
        <v>0</v>
      </c>
      <c r="F290" s="89" t="b">
        <v>0</v>
      </c>
      <c r="G290" s="89" t="b">
        <v>0</v>
      </c>
    </row>
    <row r="291" spans="1:7" ht="15">
      <c r="A291" s="86" t="s">
        <v>1146</v>
      </c>
      <c r="B291" s="89">
        <v>2</v>
      </c>
      <c r="C291" s="111">
        <v>0.013683181621090055</v>
      </c>
      <c r="D291" s="89" t="s">
        <v>793</v>
      </c>
      <c r="E291" s="89" t="b">
        <v>0</v>
      </c>
      <c r="F291" s="89" t="b">
        <v>0</v>
      </c>
      <c r="G291" s="89" t="b">
        <v>0</v>
      </c>
    </row>
    <row r="292" spans="1:7" ht="15">
      <c r="A292" s="86" t="s">
        <v>1147</v>
      </c>
      <c r="B292" s="89">
        <v>2</v>
      </c>
      <c r="C292" s="111">
        <v>0.013683181621090055</v>
      </c>
      <c r="D292" s="89" t="s">
        <v>793</v>
      </c>
      <c r="E292" s="89" t="b">
        <v>0</v>
      </c>
      <c r="F292" s="89" t="b">
        <v>0</v>
      </c>
      <c r="G292" s="89" t="b">
        <v>0</v>
      </c>
    </row>
    <row r="293" spans="1:7" ht="15">
      <c r="A293" s="86" t="s">
        <v>1148</v>
      </c>
      <c r="B293" s="89">
        <v>2</v>
      </c>
      <c r="C293" s="111">
        <v>0.013683181621090055</v>
      </c>
      <c r="D293" s="89" t="s">
        <v>793</v>
      </c>
      <c r="E293" s="89" t="b">
        <v>0</v>
      </c>
      <c r="F293" s="89" t="b">
        <v>0</v>
      </c>
      <c r="G293" s="89" t="b">
        <v>0</v>
      </c>
    </row>
    <row r="294" spans="1:7" ht="15">
      <c r="A294" s="86" t="s">
        <v>1149</v>
      </c>
      <c r="B294" s="89">
        <v>2</v>
      </c>
      <c r="C294" s="111">
        <v>0.013683181621090055</v>
      </c>
      <c r="D294" s="89" t="s">
        <v>793</v>
      </c>
      <c r="E294" s="89" t="b">
        <v>0</v>
      </c>
      <c r="F294" s="89" t="b">
        <v>0</v>
      </c>
      <c r="G294" s="89" t="b">
        <v>0</v>
      </c>
    </row>
    <row r="295" spans="1:7" ht="15">
      <c r="A295" s="86" t="s">
        <v>1150</v>
      </c>
      <c r="B295" s="89">
        <v>2</v>
      </c>
      <c r="C295" s="111">
        <v>0.013683181621090055</v>
      </c>
      <c r="D295" s="89" t="s">
        <v>793</v>
      </c>
      <c r="E295" s="89" t="b">
        <v>0</v>
      </c>
      <c r="F295" s="89" t="b">
        <v>0</v>
      </c>
      <c r="G295" s="89" t="b">
        <v>0</v>
      </c>
    </row>
    <row r="296" spans="1:7" ht="15">
      <c r="A296" s="86" t="s">
        <v>1151</v>
      </c>
      <c r="B296" s="89">
        <v>2</v>
      </c>
      <c r="C296" s="111">
        <v>0.013683181621090055</v>
      </c>
      <c r="D296" s="89" t="s">
        <v>793</v>
      </c>
      <c r="E296" s="89" t="b">
        <v>0</v>
      </c>
      <c r="F296" s="89" t="b">
        <v>0</v>
      </c>
      <c r="G296" s="89" t="b">
        <v>0</v>
      </c>
    </row>
    <row r="297" spans="1:7" ht="15">
      <c r="A297" s="86" t="s">
        <v>1152</v>
      </c>
      <c r="B297" s="89">
        <v>2</v>
      </c>
      <c r="C297" s="111">
        <v>0.013683181621090055</v>
      </c>
      <c r="D297" s="89" t="s">
        <v>793</v>
      </c>
      <c r="E297" s="89" t="b">
        <v>0</v>
      </c>
      <c r="F297" s="89" t="b">
        <v>0</v>
      </c>
      <c r="G297" s="89" t="b">
        <v>0</v>
      </c>
    </row>
    <row r="298" spans="1:7" ht="15">
      <c r="A298" s="86" t="s">
        <v>878</v>
      </c>
      <c r="B298" s="89">
        <v>2</v>
      </c>
      <c r="C298" s="111">
        <v>0.013683181621090055</v>
      </c>
      <c r="D298" s="89" t="s">
        <v>793</v>
      </c>
      <c r="E298" s="89" t="b">
        <v>0</v>
      </c>
      <c r="F298" s="89" t="b">
        <v>0</v>
      </c>
      <c r="G298" s="89" t="b">
        <v>0</v>
      </c>
    </row>
    <row r="299" spans="1:7" ht="15">
      <c r="A299" s="86" t="s">
        <v>289</v>
      </c>
      <c r="B299" s="89">
        <v>2</v>
      </c>
      <c r="C299" s="111">
        <v>0</v>
      </c>
      <c r="D299" s="89" t="s">
        <v>794</v>
      </c>
      <c r="E299" s="89" t="b">
        <v>0</v>
      </c>
      <c r="F299" s="89" t="b">
        <v>0</v>
      </c>
      <c r="G299" s="89" t="b">
        <v>0</v>
      </c>
    </row>
    <row r="300" spans="1:7" ht="15">
      <c r="A300" s="86" t="s">
        <v>863</v>
      </c>
      <c r="B300" s="89">
        <v>7</v>
      </c>
      <c r="C300" s="111">
        <v>0</v>
      </c>
      <c r="D300" s="89" t="s">
        <v>795</v>
      </c>
      <c r="E300" s="89" t="b">
        <v>0</v>
      </c>
      <c r="F300" s="89" t="b">
        <v>0</v>
      </c>
      <c r="G300" s="89" t="b">
        <v>0</v>
      </c>
    </row>
    <row r="301" spans="1:7" ht="15">
      <c r="A301" s="86" t="s">
        <v>864</v>
      </c>
      <c r="B301" s="89">
        <v>7</v>
      </c>
      <c r="C301" s="111">
        <v>0</v>
      </c>
      <c r="D301" s="89" t="s">
        <v>795</v>
      </c>
      <c r="E301" s="89" t="b">
        <v>0</v>
      </c>
      <c r="F301" s="89" t="b">
        <v>0</v>
      </c>
      <c r="G301" s="89" t="b">
        <v>0</v>
      </c>
    </row>
    <row r="302" spans="1:7" ht="15">
      <c r="A302" s="86" t="s">
        <v>865</v>
      </c>
      <c r="B302" s="89">
        <v>7</v>
      </c>
      <c r="C302" s="111">
        <v>0</v>
      </c>
      <c r="D302" s="89" t="s">
        <v>795</v>
      </c>
      <c r="E302" s="89" t="b">
        <v>0</v>
      </c>
      <c r="F302" s="89" t="b">
        <v>1</v>
      </c>
      <c r="G302" s="89" t="b">
        <v>0</v>
      </c>
    </row>
    <row r="303" spans="1:7" ht="15">
      <c r="A303" s="86" t="s">
        <v>846</v>
      </c>
      <c r="B303" s="89">
        <v>7</v>
      </c>
      <c r="C303" s="111">
        <v>0</v>
      </c>
      <c r="D303" s="89" t="s">
        <v>795</v>
      </c>
      <c r="E303" s="89" t="b">
        <v>0</v>
      </c>
      <c r="F303" s="89" t="b">
        <v>0</v>
      </c>
      <c r="G303" s="89" t="b">
        <v>0</v>
      </c>
    </row>
    <row r="304" spans="1:7" ht="15">
      <c r="A304" s="86" t="s">
        <v>877</v>
      </c>
      <c r="B304" s="89">
        <v>7</v>
      </c>
      <c r="C304" s="111">
        <v>0</v>
      </c>
      <c r="D304" s="89" t="s">
        <v>795</v>
      </c>
      <c r="E304" s="89" t="b">
        <v>0</v>
      </c>
      <c r="F304" s="89" t="b">
        <v>0</v>
      </c>
      <c r="G304" s="89" t="b">
        <v>0</v>
      </c>
    </row>
    <row r="305" spans="1:7" ht="15">
      <c r="A305" s="86" t="s">
        <v>899</v>
      </c>
      <c r="B305" s="89">
        <v>7</v>
      </c>
      <c r="C305" s="111">
        <v>0</v>
      </c>
      <c r="D305" s="89" t="s">
        <v>795</v>
      </c>
      <c r="E305" s="89" t="b">
        <v>0</v>
      </c>
      <c r="F305" s="89" t="b">
        <v>0</v>
      </c>
      <c r="G305" s="89" t="b">
        <v>0</v>
      </c>
    </row>
    <row r="306" spans="1:7" ht="15">
      <c r="A306" s="86" t="s">
        <v>900</v>
      </c>
      <c r="B306" s="89">
        <v>7</v>
      </c>
      <c r="C306" s="111">
        <v>0</v>
      </c>
      <c r="D306" s="89" t="s">
        <v>795</v>
      </c>
      <c r="E306" s="89" t="b">
        <v>0</v>
      </c>
      <c r="F306" s="89" t="b">
        <v>0</v>
      </c>
      <c r="G306" s="89" t="b">
        <v>0</v>
      </c>
    </row>
    <row r="307" spans="1:7" ht="15">
      <c r="A307" s="86" t="s">
        <v>901</v>
      </c>
      <c r="B307" s="89">
        <v>7</v>
      </c>
      <c r="C307" s="111">
        <v>0</v>
      </c>
      <c r="D307" s="89" t="s">
        <v>795</v>
      </c>
      <c r="E307" s="89" t="b">
        <v>0</v>
      </c>
      <c r="F307" s="89" t="b">
        <v>0</v>
      </c>
      <c r="G307" s="89" t="b">
        <v>0</v>
      </c>
    </row>
    <row r="308" spans="1:7" ht="15">
      <c r="A308" s="86" t="s">
        <v>902</v>
      </c>
      <c r="B308" s="89">
        <v>7</v>
      </c>
      <c r="C308" s="111">
        <v>0</v>
      </c>
      <c r="D308" s="89" t="s">
        <v>795</v>
      </c>
      <c r="E308" s="89" t="b">
        <v>0</v>
      </c>
      <c r="F308" s="89" t="b">
        <v>0</v>
      </c>
      <c r="G30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5CEDA7B-22F7-4C81-B8C9-6020BA0DB3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2021-04-05T09:26:08Z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